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HR\Desktop\2023\БАСГОВ\2025\ФХД\"/>
    </mc:Choice>
  </mc:AlternateContent>
  <bookViews>
    <workbookView xWindow="0" yWindow="0" windowWidth="28800" windowHeight="11730" tabRatio="547" activeTab="2"/>
  </bookViews>
  <sheets>
    <sheet name="Тит.лист" sheetId="11" r:id="rId1"/>
    <sheet name="Р1" sheetId="59" r:id="rId2"/>
    <sheet name="Р2" sheetId="60" r:id="rId3"/>
    <sheet name="Лист согласования" sheetId="40" state="hidden" r:id="rId4"/>
    <sheet name="Остатки 2024" sheetId="58" r:id="rId5"/>
    <sheet name="4 (2025)" sheetId="4" r:id="rId6"/>
    <sheet name="Анализ КП" sheetId="61" state="hidden" r:id="rId7"/>
    <sheet name="4 (2026)" sheetId="64" state="hidden" r:id="rId8"/>
    <sheet name="4 (2027)" sheetId="65" state="hidden" r:id="rId9"/>
    <sheet name="5 (2025)" sheetId="50" r:id="rId10"/>
    <sheet name="5 (2026)" sheetId="66" state="hidden" r:id="rId11"/>
    <sheet name="5 (2027)" sheetId="67" state="hidden" r:id="rId12"/>
    <sheet name="2 (2025)" sheetId="51" r:id="rId13"/>
    <sheet name="ПГ 24" sheetId="62" state="hidden" r:id="rId14"/>
    <sheet name="Аналитика" sheetId="42" state="hidden" r:id="rId15"/>
    <sheet name="ЛО" sheetId="63" state="hidden" r:id="rId16"/>
    <sheet name="КП" sheetId="9" state="hidden" r:id="rId17"/>
    <sheet name="КП Коммуналка " sheetId="37" state="hidden" r:id="rId18"/>
    <sheet name="ПГ" sheetId="20" state="hidden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edn1" localSheetId="0">Тит.лист!#REF!</definedName>
    <definedName name="_edn10" localSheetId="0">Тит.лист!#REF!</definedName>
    <definedName name="_edn11" localSheetId="0">Тит.лист!#REF!</definedName>
    <definedName name="_edn12" localSheetId="0">Тит.лист!#REF!</definedName>
    <definedName name="_edn13" localSheetId="0">Тит.лист!#REF!</definedName>
    <definedName name="_edn14" localSheetId="0">Тит.лист!#REF!</definedName>
    <definedName name="_edn15" localSheetId="0">Тит.лист!#REF!</definedName>
    <definedName name="_edn16" localSheetId="0">Тит.лист!#REF!</definedName>
    <definedName name="_edn2" localSheetId="0">Тит.лист!#REF!</definedName>
    <definedName name="_edn3" localSheetId="0">Тит.лист!#REF!</definedName>
    <definedName name="_edn4" localSheetId="0">Тит.лист!#REF!</definedName>
    <definedName name="_edn5" localSheetId="0">Тит.лист!#REF!</definedName>
    <definedName name="_edn6" localSheetId="0">Тит.лист!#REF!</definedName>
    <definedName name="_edn7" localSheetId="0">Тит.лист!#REF!</definedName>
    <definedName name="_edn8" localSheetId="0">Тит.лист!#REF!</definedName>
    <definedName name="_edn9" localSheetId="0">Тит.лист!#REF!</definedName>
    <definedName name="_ednref1" localSheetId="0">Тит.лист!$A$18</definedName>
    <definedName name="_ednref10" localSheetId="0">'[1]Раздел 2'!$A$1</definedName>
    <definedName name="_ednref11" localSheetId="0">'[1]Раздел 2'!#REF!</definedName>
    <definedName name="_ednref12" localSheetId="0">'[1]Раздел 2'!#REF!</definedName>
    <definedName name="_ednref13" localSheetId="0">'[1]Раздел 2'!$B$9</definedName>
    <definedName name="_ednref14" localSheetId="0">'[1]Раздел 2'!$B$13</definedName>
    <definedName name="_ednref15" localSheetId="0">'[1]Раздел 2'!$B$17</definedName>
    <definedName name="_ednref16" localSheetId="0">'[1]Раздел 2'!#REF!</definedName>
    <definedName name="_ednref2" localSheetId="0">Тит.лист!$A$19</definedName>
    <definedName name="_ednref3" localSheetId="0">Тит.лист!#REF!</definedName>
    <definedName name="_ednref4" localSheetId="0">Тит.лист!#REF!</definedName>
    <definedName name="_ednref5" localSheetId="0">Тит.лист!#REF!</definedName>
    <definedName name="_ednref6" localSheetId="0">Тит.лист!#REF!</definedName>
    <definedName name="_ednref7" localSheetId="0">Тит.лист!#REF!</definedName>
    <definedName name="_ednref8" localSheetId="0">Тит.лист!#REF!</definedName>
    <definedName name="_ednref9" localSheetId="0">Тит.лист!#REF!</definedName>
    <definedName name="_xlnm._FilterDatabase" localSheetId="12" hidden="1">'2 (2025)'!#REF!</definedName>
    <definedName name="_xlnm._FilterDatabase" localSheetId="5" hidden="1">'4 (2025)'!$A$5:$J$5</definedName>
    <definedName name="_xlnm._FilterDatabase" localSheetId="7" hidden="1">'4 (2026)'!$A$5:$J$5</definedName>
    <definedName name="_xlnm._FilterDatabase" localSheetId="8" hidden="1">'4 (2027)'!$A$5:$J$5</definedName>
    <definedName name="_xlnm._FilterDatabase" localSheetId="9" hidden="1">'5 (2025)'!$A$4:$G$4</definedName>
    <definedName name="_xlnm._FilterDatabase" localSheetId="10" hidden="1">'5 (2026)'!$A$4:$G$4</definedName>
    <definedName name="_xlnm._FilterDatabase" localSheetId="11" hidden="1">'5 (2027)'!$A$4:$G$4</definedName>
    <definedName name="_xlnm._FilterDatabase" localSheetId="16" hidden="1">КП!$A$8:$AT$66</definedName>
    <definedName name="_xlnm._FilterDatabase" localSheetId="4" hidden="1">'Остатки 2024'!$A$5:$J$5</definedName>
    <definedName name="APPT" localSheetId="12">#REF!</definedName>
    <definedName name="APPT" localSheetId="7">#REF!</definedName>
    <definedName name="APPT" localSheetId="8">#REF!</definedName>
    <definedName name="APPT" localSheetId="9">#REF!</definedName>
    <definedName name="APPT" localSheetId="10">#REF!</definedName>
    <definedName name="APPT" localSheetId="11">#REF!</definedName>
    <definedName name="APPT" localSheetId="14">#REF!</definedName>
    <definedName name="APPT" localSheetId="3">#REF!</definedName>
    <definedName name="APPT" localSheetId="4">#REF!</definedName>
    <definedName name="APPT" localSheetId="1">#REF!</definedName>
    <definedName name="APPT" localSheetId="2">#REF!</definedName>
    <definedName name="APPT">#REF!</definedName>
    <definedName name="BBB" localSheetId="12">#REF!</definedName>
    <definedName name="BBB" localSheetId="7">#REF!</definedName>
    <definedName name="BBB" localSheetId="8">#REF!</definedName>
    <definedName name="BBB" localSheetId="9">#REF!</definedName>
    <definedName name="BBB" localSheetId="10">#REF!</definedName>
    <definedName name="BBB" localSheetId="11">#REF!</definedName>
    <definedName name="BBB" localSheetId="14">#REF!</definedName>
    <definedName name="BBB" localSheetId="3">#REF!</definedName>
    <definedName name="BBB" localSheetId="4">#REF!</definedName>
    <definedName name="BBB" localSheetId="1">#REF!</definedName>
    <definedName name="BBB" localSheetId="2">#REF!</definedName>
    <definedName name="BBB">#REF!</definedName>
    <definedName name="bjhgjkl" localSheetId="12">#REF!</definedName>
    <definedName name="bjhgjkl" localSheetId="7">#REF!</definedName>
    <definedName name="bjhgjkl" localSheetId="8">#REF!</definedName>
    <definedName name="bjhgjkl" localSheetId="9">#REF!</definedName>
    <definedName name="bjhgjkl" localSheetId="10">#REF!</definedName>
    <definedName name="bjhgjkl" localSheetId="11">#REF!</definedName>
    <definedName name="bjhgjkl" localSheetId="14">#REF!</definedName>
    <definedName name="bjhgjkl" localSheetId="17">#REF!</definedName>
    <definedName name="bjhgjkl" localSheetId="3">#REF!</definedName>
    <definedName name="bjhgjkl" localSheetId="4">#REF!</definedName>
    <definedName name="bjhgjkl" localSheetId="1">#REF!</definedName>
    <definedName name="bjhgjkl" localSheetId="2">#REF!</definedName>
    <definedName name="bjhgjkl" localSheetId="0">#REF!</definedName>
    <definedName name="bjhgjkl">#REF!</definedName>
    <definedName name="bjhgjyuk" localSheetId="12">#REF!</definedName>
    <definedName name="bjhgjyuk" localSheetId="7">#REF!</definedName>
    <definedName name="bjhgjyuk" localSheetId="8">#REF!</definedName>
    <definedName name="bjhgjyuk" localSheetId="9">#REF!</definedName>
    <definedName name="bjhgjyuk" localSheetId="10">#REF!</definedName>
    <definedName name="bjhgjyuk" localSheetId="11">#REF!</definedName>
    <definedName name="bjhgjyuk" localSheetId="14">#REF!</definedName>
    <definedName name="bjhgjyuk" localSheetId="17">#REF!</definedName>
    <definedName name="bjhgjyuk" localSheetId="3">#REF!</definedName>
    <definedName name="bjhgjyuk" localSheetId="4">#REF!</definedName>
    <definedName name="bjhgjyuk" localSheetId="1">#REF!</definedName>
    <definedName name="bjhgjyuk" localSheetId="2">#REF!</definedName>
    <definedName name="bjhgjyuk" localSheetId="0">#REF!</definedName>
    <definedName name="bjhgjyuk">#REF!</definedName>
    <definedName name="ex" localSheetId="12">#REF!</definedName>
    <definedName name="ex" localSheetId="7">#REF!</definedName>
    <definedName name="ex" localSheetId="8">#REF!</definedName>
    <definedName name="ex" localSheetId="9">#REF!</definedName>
    <definedName name="ex" localSheetId="10">#REF!</definedName>
    <definedName name="ex" localSheetId="11">#REF!</definedName>
    <definedName name="ex" localSheetId="14">#REF!</definedName>
    <definedName name="ex" localSheetId="17">#REF!</definedName>
    <definedName name="ex" localSheetId="3">#REF!</definedName>
    <definedName name="ex" localSheetId="4">#REF!</definedName>
    <definedName name="ex" localSheetId="1">#REF!</definedName>
    <definedName name="ex" localSheetId="2">#REF!</definedName>
    <definedName name="ex" localSheetId="0">#REF!</definedName>
    <definedName name="ex">#REF!</definedName>
    <definedName name="Excel_BuiltIn" localSheetId="12">#REF!,#REF!</definedName>
    <definedName name="Excel_BuiltIn" localSheetId="7">#REF!,#REF!</definedName>
    <definedName name="Excel_BuiltIn" localSheetId="8">#REF!,#REF!</definedName>
    <definedName name="Excel_BuiltIn" localSheetId="9">#REF!,#REF!</definedName>
    <definedName name="Excel_BuiltIn" localSheetId="10">#REF!,#REF!</definedName>
    <definedName name="Excel_BuiltIn" localSheetId="11">#REF!,#REF!</definedName>
    <definedName name="Excel_BuiltIn" localSheetId="14">#REF!,#REF!</definedName>
    <definedName name="Excel_BuiltIn" localSheetId="3">#REF!,#REF!</definedName>
    <definedName name="Excel_BuiltIn" localSheetId="4">#REF!,#REF!</definedName>
    <definedName name="Excel_BuiltIn" localSheetId="1">#REF!,#REF!</definedName>
    <definedName name="Excel_BuiltIn" localSheetId="2">#REF!,#REF!</definedName>
    <definedName name="Excel_BuiltIn">#REF!,#REF!</definedName>
    <definedName name="Excel_BuiltIn__FilterDatabase_1" localSheetId="12">#REF!</definedName>
    <definedName name="Excel_BuiltIn__FilterDatabase_1" localSheetId="7">#REF!</definedName>
    <definedName name="Excel_BuiltIn__FilterDatabase_1" localSheetId="8">#REF!</definedName>
    <definedName name="Excel_BuiltIn__FilterDatabase_1" localSheetId="9">#REF!</definedName>
    <definedName name="Excel_BuiltIn__FilterDatabase_1" localSheetId="10">#REF!</definedName>
    <definedName name="Excel_BuiltIn__FilterDatabase_1" localSheetId="11">#REF!</definedName>
    <definedName name="Excel_BuiltIn__FilterDatabase_1" localSheetId="14">#REF!</definedName>
    <definedName name="Excel_BuiltIn__FilterDatabase_1" localSheetId="17">#REF!</definedName>
    <definedName name="Excel_BuiltIn__FilterDatabase_1" localSheetId="3">#REF!</definedName>
    <definedName name="Excel_BuiltIn__FilterDatabase_1" localSheetId="4">#REF!</definedName>
    <definedName name="Excel_BuiltIn__FilterDatabase_1" localSheetId="1">#REF!</definedName>
    <definedName name="Excel_BuiltIn__FilterDatabase_1" localSheetId="2">#REF!</definedName>
    <definedName name="Excel_BuiltIn__FilterDatabase_1" localSheetId="0">#REF!</definedName>
    <definedName name="Excel_BuiltIn__FilterDatabase_1">#REF!</definedName>
    <definedName name="Excel_BuiltIn__FilterDatabase_1_1" localSheetId="12">#REF!</definedName>
    <definedName name="Excel_BuiltIn__FilterDatabase_1_1" localSheetId="7">#REF!</definedName>
    <definedName name="Excel_BuiltIn__FilterDatabase_1_1" localSheetId="8">#REF!</definedName>
    <definedName name="Excel_BuiltIn__FilterDatabase_1_1" localSheetId="9">#REF!</definedName>
    <definedName name="Excel_BuiltIn__FilterDatabase_1_1" localSheetId="10">#REF!</definedName>
    <definedName name="Excel_BuiltIn__FilterDatabase_1_1" localSheetId="11">#REF!</definedName>
    <definedName name="Excel_BuiltIn__FilterDatabase_1_1" localSheetId="14">#REF!</definedName>
    <definedName name="Excel_BuiltIn__FilterDatabase_1_1" localSheetId="17">#REF!</definedName>
    <definedName name="Excel_BuiltIn__FilterDatabase_1_1" localSheetId="3">#REF!</definedName>
    <definedName name="Excel_BuiltIn__FilterDatabase_1_1" localSheetId="4">#REF!</definedName>
    <definedName name="Excel_BuiltIn__FilterDatabase_1_1" localSheetId="1">#REF!</definedName>
    <definedName name="Excel_BuiltIn__FilterDatabase_1_1" localSheetId="2">#REF!</definedName>
    <definedName name="Excel_BuiltIn__FilterDatabase_1_1" localSheetId="0">#REF!</definedName>
    <definedName name="Excel_BuiltIn__FilterDatabase_1_1">#REF!</definedName>
    <definedName name="Excel_BuiltIn__FilterDatabase_2" localSheetId="12">#REF!</definedName>
    <definedName name="Excel_BuiltIn__FilterDatabase_2" localSheetId="7">#REF!</definedName>
    <definedName name="Excel_BuiltIn__FilterDatabase_2" localSheetId="8">#REF!</definedName>
    <definedName name="Excel_BuiltIn__FilterDatabase_2" localSheetId="9">#REF!</definedName>
    <definedName name="Excel_BuiltIn__FilterDatabase_2" localSheetId="10">#REF!</definedName>
    <definedName name="Excel_BuiltIn__FilterDatabase_2" localSheetId="11">#REF!</definedName>
    <definedName name="Excel_BuiltIn__FilterDatabase_2" localSheetId="14">#REF!</definedName>
    <definedName name="Excel_BuiltIn__FilterDatabase_2" localSheetId="17">#REF!</definedName>
    <definedName name="Excel_BuiltIn__FilterDatabase_2" localSheetId="3">#REF!</definedName>
    <definedName name="Excel_BuiltIn__FilterDatabase_2" localSheetId="4">#REF!</definedName>
    <definedName name="Excel_BuiltIn__FilterDatabase_2" localSheetId="1">#REF!</definedName>
    <definedName name="Excel_BuiltIn__FilterDatabase_2" localSheetId="2">#REF!</definedName>
    <definedName name="Excel_BuiltIn__FilterDatabase_2" localSheetId="0">#REF!</definedName>
    <definedName name="Excel_BuiltIn__FilterDatabase_2">#REF!</definedName>
    <definedName name="Excel_BuiltIn__FilterDatabase_2_1" localSheetId="12">#REF!</definedName>
    <definedName name="Excel_BuiltIn__FilterDatabase_2_1" localSheetId="7">#REF!</definedName>
    <definedName name="Excel_BuiltIn__FilterDatabase_2_1" localSheetId="8">#REF!</definedName>
    <definedName name="Excel_BuiltIn__FilterDatabase_2_1" localSheetId="10">#REF!</definedName>
    <definedName name="Excel_BuiltIn__FilterDatabase_2_1" localSheetId="11">#REF!</definedName>
    <definedName name="Excel_BuiltIn__FilterDatabase_2_1">#REF!</definedName>
    <definedName name="Excel_BuiltIn__FilterDatabase_3" localSheetId="12">#REF!</definedName>
    <definedName name="Excel_BuiltIn__FilterDatabase_3" localSheetId="7">#REF!</definedName>
    <definedName name="Excel_BuiltIn__FilterDatabase_3" localSheetId="8">#REF!</definedName>
    <definedName name="Excel_BuiltIn__FilterDatabase_3" localSheetId="10">#REF!</definedName>
    <definedName name="Excel_BuiltIn__FilterDatabase_3" localSheetId="11">#REF!</definedName>
    <definedName name="Excel_BuiltIn__FilterDatabase_3">#REF!</definedName>
    <definedName name="Excel_BuiltIn__FilterDatabase_4" localSheetId="12">#REF!</definedName>
    <definedName name="Excel_BuiltIn__FilterDatabase_4" localSheetId="7">#REF!</definedName>
    <definedName name="Excel_BuiltIn__FilterDatabase_4" localSheetId="8">#REF!</definedName>
    <definedName name="Excel_BuiltIn__FilterDatabase_4" localSheetId="9">#REF!</definedName>
    <definedName name="Excel_BuiltIn__FilterDatabase_4" localSheetId="10">#REF!</definedName>
    <definedName name="Excel_BuiltIn__FilterDatabase_4" localSheetId="11">#REF!</definedName>
    <definedName name="Excel_BuiltIn__FilterDatabase_4" localSheetId="14">#REF!</definedName>
    <definedName name="Excel_BuiltIn__FilterDatabase_4" localSheetId="17">#REF!</definedName>
    <definedName name="Excel_BuiltIn__FilterDatabase_4" localSheetId="3">#REF!</definedName>
    <definedName name="Excel_BuiltIn__FilterDatabase_4" localSheetId="4">#REF!</definedName>
    <definedName name="Excel_BuiltIn__FilterDatabase_4" localSheetId="1">#REF!</definedName>
    <definedName name="Excel_BuiltIn__FilterDatabase_4" localSheetId="2">#REF!</definedName>
    <definedName name="Excel_BuiltIn__FilterDatabase_4" localSheetId="0">#REF!</definedName>
    <definedName name="Excel_BuiltIn__FilterDatabase_4">#REF!</definedName>
    <definedName name="Excel_BuiltIn__FilterDatabase_4_1" localSheetId="12">#REF!</definedName>
    <definedName name="Excel_BuiltIn__FilterDatabase_4_1" localSheetId="7">#REF!</definedName>
    <definedName name="Excel_BuiltIn__FilterDatabase_4_1" localSheetId="8">#REF!</definedName>
    <definedName name="Excel_BuiltIn__FilterDatabase_4_1" localSheetId="10">#REF!</definedName>
    <definedName name="Excel_BuiltIn__FilterDatabase_4_1" localSheetId="11">#REF!</definedName>
    <definedName name="Excel_BuiltIn__FilterDatabase_4_1">#REF!</definedName>
    <definedName name="Excel_BuiltIn__FilterDatabase_5" localSheetId="12">#REF!</definedName>
    <definedName name="Excel_BuiltIn__FilterDatabase_5" localSheetId="7">#REF!</definedName>
    <definedName name="Excel_BuiltIn__FilterDatabase_5" localSheetId="8">#REF!</definedName>
    <definedName name="Excel_BuiltIn__FilterDatabase_5" localSheetId="9">#REF!</definedName>
    <definedName name="Excel_BuiltIn__FilterDatabase_5" localSheetId="10">#REF!</definedName>
    <definedName name="Excel_BuiltIn__FilterDatabase_5" localSheetId="11">#REF!</definedName>
    <definedName name="Excel_BuiltIn__FilterDatabase_5" localSheetId="14">#REF!</definedName>
    <definedName name="Excel_BuiltIn__FilterDatabase_5" localSheetId="17">#REF!</definedName>
    <definedName name="Excel_BuiltIn__FilterDatabase_5" localSheetId="3">#REF!</definedName>
    <definedName name="Excel_BuiltIn__FilterDatabase_5" localSheetId="4">#REF!</definedName>
    <definedName name="Excel_BuiltIn__FilterDatabase_5" localSheetId="1">#REF!</definedName>
    <definedName name="Excel_BuiltIn__FilterDatabase_5" localSheetId="2">#REF!</definedName>
    <definedName name="Excel_BuiltIn__FilterDatabase_5" localSheetId="0">#REF!</definedName>
    <definedName name="Excel_BuiltIn__FilterDatabase_5">#REF!</definedName>
    <definedName name="Excel_BuiltIn__FilterDatabase_6" localSheetId="12">#REF!</definedName>
    <definedName name="Excel_BuiltIn__FilterDatabase_6" localSheetId="7">#REF!</definedName>
    <definedName name="Excel_BuiltIn__FilterDatabase_6" localSheetId="8">#REF!</definedName>
    <definedName name="Excel_BuiltIn__FilterDatabase_6" localSheetId="9">#REF!</definedName>
    <definedName name="Excel_BuiltIn__FilterDatabase_6" localSheetId="10">#REF!</definedName>
    <definedName name="Excel_BuiltIn__FilterDatabase_6" localSheetId="11">#REF!</definedName>
    <definedName name="Excel_BuiltIn__FilterDatabase_6" localSheetId="14">#REF!</definedName>
    <definedName name="Excel_BuiltIn__FilterDatabase_6" localSheetId="17">#REF!</definedName>
    <definedName name="Excel_BuiltIn__FilterDatabase_6" localSheetId="3">#REF!</definedName>
    <definedName name="Excel_BuiltIn__FilterDatabase_6" localSheetId="4">#REF!</definedName>
    <definedName name="Excel_BuiltIn__FilterDatabase_6" localSheetId="1">#REF!</definedName>
    <definedName name="Excel_BuiltIn__FilterDatabase_6" localSheetId="2">#REF!</definedName>
    <definedName name="Excel_BuiltIn__FilterDatabase_6" localSheetId="0">#REF!</definedName>
    <definedName name="Excel_BuiltIn__FilterDatabase_6">#REF!</definedName>
    <definedName name="Excel_BuiltIn__FilterDatabase_7" localSheetId="12">#REF!</definedName>
    <definedName name="Excel_BuiltIn__FilterDatabase_7" localSheetId="7">#REF!</definedName>
    <definedName name="Excel_BuiltIn__FilterDatabase_7" localSheetId="8">#REF!</definedName>
    <definedName name="Excel_BuiltIn__FilterDatabase_7" localSheetId="9">#REF!</definedName>
    <definedName name="Excel_BuiltIn__FilterDatabase_7" localSheetId="10">#REF!</definedName>
    <definedName name="Excel_BuiltIn__FilterDatabase_7" localSheetId="11">#REF!</definedName>
    <definedName name="Excel_BuiltIn__FilterDatabase_7" localSheetId="14">#REF!</definedName>
    <definedName name="Excel_BuiltIn__FilterDatabase_7" localSheetId="17">#REF!</definedName>
    <definedName name="Excel_BuiltIn__FilterDatabase_7" localSheetId="3">#REF!</definedName>
    <definedName name="Excel_BuiltIn__FilterDatabase_7" localSheetId="4">#REF!</definedName>
    <definedName name="Excel_BuiltIn__FilterDatabase_7" localSheetId="1">#REF!</definedName>
    <definedName name="Excel_BuiltIn__FilterDatabase_7" localSheetId="2">#REF!</definedName>
    <definedName name="Excel_BuiltIn__FilterDatabase_7" localSheetId="0">#REF!</definedName>
    <definedName name="Excel_BuiltIn__FilterDatabase_7">#REF!</definedName>
    <definedName name="Excel_BuiltIn__FilterDatabase_8" localSheetId="12">#REF!</definedName>
    <definedName name="Excel_BuiltIn__FilterDatabase_8" localSheetId="7">#REF!</definedName>
    <definedName name="Excel_BuiltIn__FilterDatabase_8" localSheetId="8">#REF!</definedName>
    <definedName name="Excel_BuiltIn__FilterDatabase_8" localSheetId="9">#REF!</definedName>
    <definedName name="Excel_BuiltIn__FilterDatabase_8" localSheetId="10">#REF!</definedName>
    <definedName name="Excel_BuiltIn__FilterDatabase_8" localSheetId="11">#REF!</definedName>
    <definedName name="Excel_BuiltIn__FilterDatabase_8" localSheetId="14">#REF!</definedName>
    <definedName name="Excel_BuiltIn__FilterDatabase_8" localSheetId="17">#REF!</definedName>
    <definedName name="Excel_BuiltIn__FilterDatabase_8" localSheetId="3">#REF!</definedName>
    <definedName name="Excel_BuiltIn__FilterDatabase_8" localSheetId="4">#REF!</definedName>
    <definedName name="Excel_BuiltIn__FilterDatabase_8" localSheetId="1">#REF!</definedName>
    <definedName name="Excel_BuiltIn__FilterDatabase_8" localSheetId="2">#REF!</definedName>
    <definedName name="Excel_BuiltIn__FilterDatabase_8" localSheetId="0">#REF!</definedName>
    <definedName name="Excel_BuiltIn__FilterDatabase_8">#REF!</definedName>
    <definedName name="Excel_BuiltIn_Print_Area_1" localSheetId="12">#REF!</definedName>
    <definedName name="Excel_BuiltIn_Print_Area_1" localSheetId="7">#REF!</definedName>
    <definedName name="Excel_BuiltIn_Print_Area_1" localSheetId="8">#REF!</definedName>
    <definedName name="Excel_BuiltIn_Print_Area_1" localSheetId="10">#REF!</definedName>
    <definedName name="Excel_BuiltIn_Print_Area_1" localSheetId="11">#REF!</definedName>
    <definedName name="Excel_BuiltIn_Print_Area_1">#REF!</definedName>
    <definedName name="Excel_BuiltIn_Print_Area_14" localSheetId="12">#REF!</definedName>
    <definedName name="Excel_BuiltIn_Print_Area_14" localSheetId="7">#REF!</definedName>
    <definedName name="Excel_BuiltIn_Print_Area_14" localSheetId="8">#REF!</definedName>
    <definedName name="Excel_BuiltIn_Print_Area_14" localSheetId="10">#REF!</definedName>
    <definedName name="Excel_BuiltIn_Print_Area_14" localSheetId="11">#REF!</definedName>
    <definedName name="Excel_BuiltIn_Print_Area_14">#REF!</definedName>
    <definedName name="Excel_BuiltIn_Print_Area_15" localSheetId="12">#REF!</definedName>
    <definedName name="Excel_BuiltIn_Print_Area_15" localSheetId="7">#REF!</definedName>
    <definedName name="Excel_BuiltIn_Print_Area_15" localSheetId="8">#REF!</definedName>
    <definedName name="Excel_BuiltIn_Print_Area_15" localSheetId="10">#REF!</definedName>
    <definedName name="Excel_BuiltIn_Print_Area_15" localSheetId="11">#REF!</definedName>
    <definedName name="Excel_BuiltIn_Print_Area_15">#REF!</definedName>
    <definedName name="Excel_BuiltIn_Print_Area_16" localSheetId="12">#REF!</definedName>
    <definedName name="Excel_BuiltIn_Print_Area_16" localSheetId="7">#REF!</definedName>
    <definedName name="Excel_BuiltIn_Print_Area_16" localSheetId="8">#REF!</definedName>
    <definedName name="Excel_BuiltIn_Print_Area_16" localSheetId="10">#REF!</definedName>
    <definedName name="Excel_BuiltIn_Print_Area_16" localSheetId="11">#REF!</definedName>
    <definedName name="Excel_BuiltIn_Print_Area_16">#REF!</definedName>
    <definedName name="Excel_BuiltIn_Print_Area_2" localSheetId="12">#REF!</definedName>
    <definedName name="Excel_BuiltIn_Print_Area_2" localSheetId="7">#REF!</definedName>
    <definedName name="Excel_BuiltIn_Print_Area_2" localSheetId="8">#REF!</definedName>
    <definedName name="Excel_BuiltIn_Print_Area_2" localSheetId="9">#REF!</definedName>
    <definedName name="Excel_BuiltIn_Print_Area_2" localSheetId="10">#REF!</definedName>
    <definedName name="Excel_BuiltIn_Print_Area_2" localSheetId="11">#REF!</definedName>
    <definedName name="Excel_BuiltIn_Print_Area_2" localSheetId="14">#REF!</definedName>
    <definedName name="Excel_BuiltIn_Print_Area_2" localSheetId="17">#REF!</definedName>
    <definedName name="Excel_BuiltIn_Print_Area_2" localSheetId="3">#REF!</definedName>
    <definedName name="Excel_BuiltIn_Print_Area_2" localSheetId="4">#REF!</definedName>
    <definedName name="Excel_BuiltIn_Print_Area_2" localSheetId="1">#REF!</definedName>
    <definedName name="Excel_BuiltIn_Print_Area_2" localSheetId="2">#REF!</definedName>
    <definedName name="Excel_BuiltIn_Print_Area_2" localSheetId="0">#REF!</definedName>
    <definedName name="Excel_BuiltIn_Print_Area_2">#REF!</definedName>
    <definedName name="Excel_BuiltIn_Print_Area_3" localSheetId="12">#REF!</definedName>
    <definedName name="Excel_BuiltIn_Print_Area_3" localSheetId="7">#REF!</definedName>
    <definedName name="Excel_BuiltIn_Print_Area_3" localSheetId="8">#REF!</definedName>
    <definedName name="Excel_BuiltIn_Print_Area_3" localSheetId="10">#REF!</definedName>
    <definedName name="Excel_BuiltIn_Print_Area_3" localSheetId="11">#REF!</definedName>
    <definedName name="Excel_BuiltIn_Print_Area_3">#REF!</definedName>
    <definedName name="Excel_BuiltIn_Print_Area_4" localSheetId="12">#REF!</definedName>
    <definedName name="Excel_BuiltIn_Print_Area_4" localSheetId="7">#REF!</definedName>
    <definedName name="Excel_BuiltIn_Print_Area_4" localSheetId="8">#REF!</definedName>
    <definedName name="Excel_BuiltIn_Print_Area_4" localSheetId="10">#REF!</definedName>
    <definedName name="Excel_BuiltIn_Print_Area_4" localSheetId="11">#REF!</definedName>
    <definedName name="Excel_BuiltIn_Print_Area_4">#REF!</definedName>
    <definedName name="Excel_BuiltIn_Print_Titles_1" localSheetId="12">#REF!</definedName>
    <definedName name="Excel_BuiltIn_Print_Titles_1" localSheetId="7">#REF!</definedName>
    <definedName name="Excel_BuiltIn_Print_Titles_1" localSheetId="8">#REF!</definedName>
    <definedName name="Excel_BuiltIn_Print_Titles_1" localSheetId="9">#REF!</definedName>
    <definedName name="Excel_BuiltIn_Print_Titles_1" localSheetId="10">#REF!</definedName>
    <definedName name="Excel_BuiltIn_Print_Titles_1" localSheetId="11">#REF!</definedName>
    <definedName name="Excel_BuiltIn_Print_Titles_1" localSheetId="14">#REF!</definedName>
    <definedName name="Excel_BuiltIn_Print_Titles_1" localSheetId="17">#REF!</definedName>
    <definedName name="Excel_BuiltIn_Print_Titles_1" localSheetId="3">#REF!</definedName>
    <definedName name="Excel_BuiltIn_Print_Titles_1" localSheetId="4">#REF!</definedName>
    <definedName name="Excel_BuiltIn_Print_Titles_1" localSheetId="1">#REF!</definedName>
    <definedName name="Excel_BuiltIn_Print_Titles_1" localSheetId="2">#REF!</definedName>
    <definedName name="Excel_BuiltIn_Print_Titles_1" localSheetId="0">#REF!</definedName>
    <definedName name="Excel_BuiltIn_Print_Titles_1">#REF!</definedName>
    <definedName name="Excel_BuiltIn_Print_Titles_1_1">('[2]Спец-сты школы '!$A$1:$B$3,'[2]Спец-сты школы '!$A$13:$IV$16)</definedName>
    <definedName name="Excel_BuiltIn_Print_Titles_12" localSheetId="12">(#REF!,#REF!)</definedName>
    <definedName name="Excel_BuiltIn_Print_Titles_12" localSheetId="7">(#REF!,#REF!)</definedName>
    <definedName name="Excel_BuiltIn_Print_Titles_12" localSheetId="8">(#REF!,#REF!)</definedName>
    <definedName name="Excel_BuiltIn_Print_Titles_12" localSheetId="10">(#REF!,#REF!)</definedName>
    <definedName name="Excel_BuiltIn_Print_Titles_12" localSheetId="11">(#REF!,#REF!)</definedName>
    <definedName name="Excel_BuiltIn_Print_Titles_12">(#REF!,#REF!)</definedName>
    <definedName name="Excel_BuiltIn_Print_Titles_2" localSheetId="12">#REF!,#REF!</definedName>
    <definedName name="Excel_BuiltIn_Print_Titles_2" localSheetId="7">#REF!,#REF!</definedName>
    <definedName name="Excel_BuiltIn_Print_Titles_2" localSheetId="8">#REF!,#REF!</definedName>
    <definedName name="Excel_BuiltIn_Print_Titles_2" localSheetId="9">#REF!,#REF!</definedName>
    <definedName name="Excel_BuiltIn_Print_Titles_2" localSheetId="10">#REF!,#REF!</definedName>
    <definedName name="Excel_BuiltIn_Print_Titles_2" localSheetId="11">#REF!,#REF!</definedName>
    <definedName name="Excel_BuiltIn_Print_Titles_2" localSheetId="14">#REF!,#REF!</definedName>
    <definedName name="Excel_BuiltIn_Print_Titles_2" localSheetId="17">#REF!,#REF!</definedName>
    <definedName name="Excel_BuiltIn_Print_Titles_2" localSheetId="3">#REF!,#REF!</definedName>
    <definedName name="Excel_BuiltIn_Print_Titles_2" localSheetId="4">#REF!,#REF!</definedName>
    <definedName name="Excel_BuiltIn_Print_Titles_2" localSheetId="1">#REF!,#REF!</definedName>
    <definedName name="Excel_BuiltIn_Print_Titles_2" localSheetId="2">#REF!,#REF!</definedName>
    <definedName name="Excel_BuiltIn_Print_Titles_2" localSheetId="0">#REF!,#REF!</definedName>
    <definedName name="Excel_BuiltIn_Print_Titles_2">#REF!,#REF!</definedName>
    <definedName name="Excel_BuiltIn_Print_Titles_2_1" localSheetId="12">#REF!,#REF!</definedName>
    <definedName name="Excel_BuiltIn_Print_Titles_2_1" localSheetId="7">#REF!,#REF!</definedName>
    <definedName name="Excel_BuiltIn_Print_Titles_2_1" localSheetId="8">#REF!,#REF!</definedName>
    <definedName name="Excel_BuiltIn_Print_Titles_2_1" localSheetId="9">#REF!,#REF!</definedName>
    <definedName name="Excel_BuiltIn_Print_Titles_2_1" localSheetId="10">#REF!,#REF!</definedName>
    <definedName name="Excel_BuiltIn_Print_Titles_2_1" localSheetId="11">#REF!,#REF!</definedName>
    <definedName name="Excel_BuiltIn_Print_Titles_2_1" localSheetId="14">#REF!,#REF!</definedName>
    <definedName name="Excel_BuiltIn_Print_Titles_2_1" localSheetId="17">#REF!,#REF!</definedName>
    <definedName name="Excel_BuiltIn_Print_Titles_2_1" localSheetId="3">#REF!,#REF!</definedName>
    <definedName name="Excel_BuiltIn_Print_Titles_2_1" localSheetId="4">#REF!,#REF!</definedName>
    <definedName name="Excel_BuiltIn_Print_Titles_2_1" localSheetId="1">#REF!,#REF!</definedName>
    <definedName name="Excel_BuiltIn_Print_Titles_2_1" localSheetId="2">#REF!,#REF!</definedName>
    <definedName name="Excel_BuiltIn_Print_Titles_2_1" localSheetId="0">#REF!,#REF!</definedName>
    <definedName name="Excel_BuiltIn_Print_Titles_2_1">#REF!,#REF!</definedName>
    <definedName name="Excel_BuiltIn_Print_Titles_2_1_1" localSheetId="3">[3]Учителя!$A:$B,[3]Учителя!$11:$14</definedName>
    <definedName name="Excel_BuiltIn_Print_Titles_2_1_1">[4]Учителя!$A:$B,[4]Учителя!$11:$14</definedName>
    <definedName name="Excel_BuiltIn_Print_Titles_3" localSheetId="12">'[5]Спец_сты школы 35'!$13:$16</definedName>
    <definedName name="Excel_BuiltIn_Print_Titles_3" localSheetId="9">'[5]Спец_сты школы 35'!$13:$16</definedName>
    <definedName name="Excel_BuiltIn_Print_Titles_3" localSheetId="10">'[5]Спец_сты школы 35'!$13:$16</definedName>
    <definedName name="Excel_BuiltIn_Print_Titles_3" localSheetId="11">'[5]Спец_сты школы 35'!$13:$16</definedName>
    <definedName name="Excel_BuiltIn_Print_Titles_3" localSheetId="14">'[5]Спец_сты школы 35'!$13:$16</definedName>
    <definedName name="Excel_BuiltIn_Print_Titles_3" localSheetId="17">'[6]Спец_сты школы 35'!$13:$16</definedName>
    <definedName name="Excel_BuiltIn_Print_Titles_3" localSheetId="3">'[7]Спец_сты школы 35'!$A$13:$IV$16</definedName>
    <definedName name="Excel_BuiltIn_Print_Titles_3" localSheetId="1">'[8]Спец_сты школы 35'!$13:$16</definedName>
    <definedName name="Excel_BuiltIn_Print_Titles_3" localSheetId="2">'[8]Спец_сты школы 35'!$13:$16</definedName>
    <definedName name="Excel_BuiltIn_Print_Titles_3">'[5]Спец_сты школы 35'!$13:$16</definedName>
    <definedName name="Excel_BuiltIn_Print_Titles_3_1">('[2]Спец-сты школы '!$A$1:$B$65520,'[2]Спец-сты школы '!$A$13:$IV$16)</definedName>
    <definedName name="Excel_BuiltIn_Print_Titles_4" localSheetId="12">#REF!</definedName>
    <definedName name="Excel_BuiltIn_Print_Titles_4" localSheetId="7">#REF!</definedName>
    <definedName name="Excel_BuiltIn_Print_Titles_4" localSheetId="8">#REF!</definedName>
    <definedName name="Excel_BuiltIn_Print_Titles_4" localSheetId="10">#REF!</definedName>
    <definedName name="Excel_BuiltIn_Print_Titles_4" localSheetId="11">#REF!</definedName>
    <definedName name="Excel_BuiltIn_Print_Titles_4">#REF!</definedName>
    <definedName name="Excel_BuiltIn_Print_Titles_5_1">([9]служ!$B$1:$C$65536,[9]служ!$B$9:$IV$13)</definedName>
    <definedName name="Excel_BuiltIn_Print_Titles_8" localSheetId="12">#REF!</definedName>
    <definedName name="Excel_BuiltIn_Print_Titles_8" localSheetId="7">#REF!</definedName>
    <definedName name="Excel_BuiltIn_Print_Titles_8" localSheetId="8">#REF!</definedName>
    <definedName name="Excel_BuiltIn_Print_Titles_8" localSheetId="9">#REF!</definedName>
    <definedName name="Excel_BuiltIn_Print_Titles_8" localSheetId="10">#REF!</definedName>
    <definedName name="Excel_BuiltIn_Print_Titles_8" localSheetId="11">#REF!</definedName>
    <definedName name="Excel_BuiltIn_Print_Titles_8" localSheetId="14">#REF!</definedName>
    <definedName name="Excel_BuiltIn_Print_Titles_8" localSheetId="17">#REF!</definedName>
    <definedName name="Excel_BuiltIn_Print_Titles_8" localSheetId="3">#REF!</definedName>
    <definedName name="Excel_BuiltIn_Print_Titles_8" localSheetId="4">#REF!</definedName>
    <definedName name="Excel_BuiltIn_Print_Titles_8" localSheetId="1">#REF!</definedName>
    <definedName name="Excel_BuiltIn_Print_Titles_8" localSheetId="2">#REF!</definedName>
    <definedName name="Excel_BuiltIn_Print_Titles_8" localSheetId="0">#REF!</definedName>
    <definedName name="Excel_BuiltIn_Print_Titles_8">#REF!</definedName>
    <definedName name="Exel_" localSheetId="12">#REF!</definedName>
    <definedName name="Exel_" localSheetId="7">#REF!</definedName>
    <definedName name="Exel_" localSheetId="8">#REF!</definedName>
    <definedName name="Exel_" localSheetId="9">#REF!</definedName>
    <definedName name="Exel_" localSheetId="10">#REF!</definedName>
    <definedName name="Exel_" localSheetId="11">#REF!</definedName>
    <definedName name="Exel_" localSheetId="14">#REF!</definedName>
    <definedName name="Exel_" localSheetId="17">#REF!</definedName>
    <definedName name="Exel_" localSheetId="3">#REF!</definedName>
    <definedName name="Exel_" localSheetId="4">#REF!</definedName>
    <definedName name="Exel_" localSheetId="1">#REF!</definedName>
    <definedName name="Exel_" localSheetId="2">#REF!</definedName>
    <definedName name="Exel_" localSheetId="0">#REF!</definedName>
    <definedName name="Exel_">#REF!</definedName>
    <definedName name="fghsyreyrytyty" localSheetId="12">#REF!</definedName>
    <definedName name="fghsyreyrytyty" localSheetId="7">#REF!</definedName>
    <definedName name="fghsyreyrytyty" localSheetId="8">#REF!</definedName>
    <definedName name="fghsyreyrytyty" localSheetId="9">#REF!</definedName>
    <definedName name="fghsyreyrytyty" localSheetId="10">#REF!</definedName>
    <definedName name="fghsyreyrytyty" localSheetId="11">#REF!</definedName>
    <definedName name="fghsyreyrytyty" localSheetId="14">#REF!</definedName>
    <definedName name="fghsyreyrytyty" localSheetId="17">#REF!</definedName>
    <definedName name="fghsyreyrytyty" localSheetId="3">#REF!</definedName>
    <definedName name="fghsyreyrytyty" localSheetId="4">#REF!</definedName>
    <definedName name="fghsyreyrytyty" localSheetId="1">#REF!</definedName>
    <definedName name="fghsyreyrytyty" localSheetId="2">#REF!</definedName>
    <definedName name="fghsyreyrytyty" localSheetId="0">#REF!</definedName>
    <definedName name="fghsyreyrytyty">#REF!</definedName>
    <definedName name="FIO" localSheetId="12">#REF!</definedName>
    <definedName name="FIO" localSheetId="7">#REF!</definedName>
    <definedName name="FIO" localSheetId="8">#REF!</definedName>
    <definedName name="FIO" localSheetId="9">#REF!</definedName>
    <definedName name="FIO" localSheetId="10">#REF!</definedName>
    <definedName name="FIO" localSheetId="11">#REF!</definedName>
    <definedName name="FIO" localSheetId="14">#REF!</definedName>
    <definedName name="FIO" localSheetId="3">#REF!</definedName>
    <definedName name="FIO" localSheetId="4">#REF!</definedName>
    <definedName name="FIO" localSheetId="1">#REF!</definedName>
    <definedName name="FIO" localSheetId="2">#REF!</definedName>
    <definedName name="FIO">#REF!</definedName>
    <definedName name="gfhgfdhgf" localSheetId="12">#REF!</definedName>
    <definedName name="gfhgfdhgf" localSheetId="7">#REF!</definedName>
    <definedName name="gfhgfdhgf" localSheetId="8">#REF!</definedName>
    <definedName name="gfhgfdhgf" localSheetId="9">#REF!</definedName>
    <definedName name="gfhgfdhgf" localSheetId="10">#REF!</definedName>
    <definedName name="gfhgfdhgf" localSheetId="11">#REF!</definedName>
    <definedName name="gfhgfdhgf" localSheetId="14">#REF!</definedName>
    <definedName name="gfhgfdhgf" localSheetId="17">#REF!</definedName>
    <definedName name="gfhgfdhgf" localSheetId="3">#REF!</definedName>
    <definedName name="gfhgfdhgf" localSheetId="4">#REF!</definedName>
    <definedName name="gfhgfdhgf" localSheetId="1">#REF!</definedName>
    <definedName name="gfhgfdhgf" localSheetId="2">#REF!</definedName>
    <definedName name="gfhgfdhgf" localSheetId="0">#REF!</definedName>
    <definedName name="gfhgfdhgf">#REF!</definedName>
    <definedName name="gfjhgj" localSheetId="12">#REF!</definedName>
    <definedName name="gfjhgj" localSheetId="7">#REF!</definedName>
    <definedName name="gfjhgj" localSheetId="8">#REF!</definedName>
    <definedName name="gfjhgj" localSheetId="9">#REF!</definedName>
    <definedName name="gfjhgj" localSheetId="10">#REF!</definedName>
    <definedName name="gfjhgj" localSheetId="11">#REF!</definedName>
    <definedName name="gfjhgj" localSheetId="14">#REF!</definedName>
    <definedName name="gfjhgj" localSheetId="17">#REF!</definedName>
    <definedName name="gfjhgj" localSheetId="3">#REF!</definedName>
    <definedName name="gfjhgj" localSheetId="4">#REF!</definedName>
    <definedName name="gfjhgj" localSheetId="1">#REF!</definedName>
    <definedName name="gfjhgj" localSheetId="2">#REF!</definedName>
    <definedName name="gfjhgj" localSheetId="0">#REF!</definedName>
    <definedName name="gfjhgj">#REF!</definedName>
    <definedName name="hgfjhfgj" localSheetId="12">#REF!</definedName>
    <definedName name="hgfjhfgj" localSheetId="7">#REF!</definedName>
    <definedName name="hgfjhfgj" localSheetId="8">#REF!</definedName>
    <definedName name="hgfjhfgj" localSheetId="9">#REF!</definedName>
    <definedName name="hgfjhfgj" localSheetId="10">#REF!</definedName>
    <definedName name="hgfjhfgj" localSheetId="11">#REF!</definedName>
    <definedName name="hgfjhfgj" localSheetId="14">#REF!</definedName>
    <definedName name="hgfjhfgj" localSheetId="17">#REF!</definedName>
    <definedName name="hgfjhfgj" localSheetId="3">#REF!</definedName>
    <definedName name="hgfjhfgj" localSheetId="4">#REF!</definedName>
    <definedName name="hgfjhfgj" localSheetId="1">#REF!</definedName>
    <definedName name="hgfjhfgj" localSheetId="2">#REF!</definedName>
    <definedName name="hgfjhfgj" localSheetId="0">#REF!</definedName>
    <definedName name="hgfjhfgj">#REF!</definedName>
    <definedName name="hgjghdjhd" localSheetId="12">#REF!</definedName>
    <definedName name="hgjghdjhd" localSheetId="7">#REF!</definedName>
    <definedName name="hgjghdjhd" localSheetId="8">#REF!</definedName>
    <definedName name="hgjghdjhd" localSheetId="9">#REF!</definedName>
    <definedName name="hgjghdjhd" localSheetId="10">#REF!</definedName>
    <definedName name="hgjghdjhd" localSheetId="11">#REF!</definedName>
    <definedName name="hgjghdjhd" localSheetId="14">#REF!</definedName>
    <definedName name="hgjghdjhd" localSheetId="17">#REF!</definedName>
    <definedName name="hgjghdjhd" localSheetId="3">#REF!</definedName>
    <definedName name="hgjghdjhd" localSheetId="4">#REF!</definedName>
    <definedName name="hgjghdjhd" localSheetId="1">#REF!</definedName>
    <definedName name="hgjghdjhd" localSheetId="2">#REF!</definedName>
    <definedName name="hgjghdjhd" localSheetId="0">#REF!</definedName>
    <definedName name="hgjghdjhd">#REF!</definedName>
    <definedName name="hgjhghjjhkjkljkljl" localSheetId="12">#REF!,#REF!</definedName>
    <definedName name="hgjhghjjhkjkljkljl" localSheetId="7">#REF!,#REF!</definedName>
    <definedName name="hgjhghjjhkjkljkljl" localSheetId="8">#REF!,#REF!</definedName>
    <definedName name="hgjhghjjhkjkljkljl" localSheetId="9">#REF!,#REF!</definedName>
    <definedName name="hgjhghjjhkjkljkljl" localSheetId="10">#REF!,#REF!</definedName>
    <definedName name="hgjhghjjhkjkljkljl" localSheetId="11">#REF!,#REF!</definedName>
    <definedName name="hgjhghjjhkjkljkljl" localSheetId="14">#REF!,#REF!</definedName>
    <definedName name="hgjhghjjhkjkljkljl" localSheetId="17">#REF!,#REF!</definedName>
    <definedName name="hgjhghjjhkjkljkljl" localSheetId="3">#REF!,#REF!</definedName>
    <definedName name="hgjhghjjhkjkljkljl" localSheetId="4">#REF!,#REF!</definedName>
    <definedName name="hgjhghjjhkjkljkljl" localSheetId="1">#REF!,#REF!</definedName>
    <definedName name="hgjhghjjhkjkljkljl" localSheetId="2">#REF!,#REF!</definedName>
    <definedName name="hgjhghjjhkjkljkljl" localSheetId="0">#REF!,#REF!</definedName>
    <definedName name="hgjhghjjhkjkljkljl">#REF!,#REF!</definedName>
    <definedName name="hjmhgkmhgk" localSheetId="12">#REF!</definedName>
    <definedName name="hjmhgkmhgk" localSheetId="7">#REF!</definedName>
    <definedName name="hjmhgkmhgk" localSheetId="8">#REF!</definedName>
    <definedName name="hjmhgkmhgk" localSheetId="9">#REF!</definedName>
    <definedName name="hjmhgkmhgk" localSheetId="10">#REF!</definedName>
    <definedName name="hjmhgkmhgk" localSheetId="11">#REF!</definedName>
    <definedName name="hjmhgkmhgk" localSheetId="14">#REF!</definedName>
    <definedName name="hjmhgkmhgk" localSheetId="17">#REF!</definedName>
    <definedName name="hjmhgkmhgk" localSheetId="3">#REF!</definedName>
    <definedName name="hjmhgkmhgk" localSheetId="4">#REF!</definedName>
    <definedName name="hjmhgkmhgk" localSheetId="1">#REF!</definedName>
    <definedName name="hjmhgkmhgk" localSheetId="2">#REF!</definedName>
    <definedName name="hjmhgkmhgk" localSheetId="0">#REF!</definedName>
    <definedName name="hjmhgkmhgk">#REF!</definedName>
    <definedName name="IS_DOCUMENT" localSheetId="1">Р1!$A$53</definedName>
    <definedName name="IS_DOCUMENT" localSheetId="2">Р2!#REF!</definedName>
    <definedName name="k" localSheetId="12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1">#REF!</definedName>
    <definedName name="k" localSheetId="14">#REF!</definedName>
    <definedName name="k" localSheetId="17">#REF!</definedName>
    <definedName name="k" localSheetId="3">#REF!</definedName>
    <definedName name="k" localSheetId="4">#REF!</definedName>
    <definedName name="k" localSheetId="1">#REF!</definedName>
    <definedName name="k" localSheetId="2">#REF!</definedName>
    <definedName name="k" localSheetId="0">#REF!</definedName>
    <definedName name="k">#REF!</definedName>
    <definedName name="muk">('[10]Спец-сты школы '!$A$1:$B$65530,'[10]Спец-сты школы '!$A$13:$IV$16)</definedName>
    <definedName name="nnbfbfbfbfsklerfsersett" localSheetId="12">#REF!</definedName>
    <definedName name="nnbfbfbfbfsklerfsersett" localSheetId="7">#REF!</definedName>
    <definedName name="nnbfbfbfbfsklerfsersett" localSheetId="8">#REF!</definedName>
    <definedName name="nnbfbfbfbfsklerfsersett" localSheetId="9">#REF!</definedName>
    <definedName name="nnbfbfbfbfsklerfsersett" localSheetId="10">#REF!</definedName>
    <definedName name="nnbfbfbfbfsklerfsersett" localSheetId="11">#REF!</definedName>
    <definedName name="nnbfbfbfbfsklerfsersett" localSheetId="14">#REF!</definedName>
    <definedName name="nnbfbfbfbfsklerfsersett" localSheetId="17">#REF!</definedName>
    <definedName name="nnbfbfbfbfsklerfsersett" localSheetId="3">#REF!</definedName>
    <definedName name="nnbfbfbfbfsklerfsersett" localSheetId="4">#REF!</definedName>
    <definedName name="nnbfbfbfbfsklerfsersett" localSheetId="1">#REF!</definedName>
    <definedName name="nnbfbfbfbfsklerfsersett" localSheetId="2">#REF!</definedName>
    <definedName name="nnbfbfbfbfsklerfsersett" localSheetId="0">#REF!</definedName>
    <definedName name="nnbfbfbfbfsklerfsersett">#REF!</definedName>
    <definedName name="nnn" localSheetId="12">#REF!</definedName>
    <definedName name="nnn" localSheetId="7">#REF!</definedName>
    <definedName name="nnn" localSheetId="8">#REF!</definedName>
    <definedName name="nnn" localSheetId="9">#REF!</definedName>
    <definedName name="nnn" localSheetId="10">#REF!</definedName>
    <definedName name="nnn" localSheetId="11">#REF!</definedName>
    <definedName name="nnn" localSheetId="14">#REF!</definedName>
    <definedName name="nnn" localSheetId="17">#REF!</definedName>
    <definedName name="nnn" localSheetId="3">#REF!</definedName>
    <definedName name="nnn" localSheetId="4">#REF!</definedName>
    <definedName name="nnn" localSheetId="1">#REF!</definedName>
    <definedName name="nnn" localSheetId="2">#REF!</definedName>
    <definedName name="nnn" localSheetId="0">#REF!</definedName>
    <definedName name="nnn">#REF!</definedName>
    <definedName name="qwqwqw" localSheetId="12">#REF!</definedName>
    <definedName name="qwqwqw" localSheetId="7">#REF!</definedName>
    <definedName name="qwqwqw" localSheetId="8">#REF!</definedName>
    <definedName name="qwqwqw" localSheetId="9">#REF!</definedName>
    <definedName name="qwqwqw" localSheetId="10">#REF!</definedName>
    <definedName name="qwqwqw" localSheetId="11">#REF!</definedName>
    <definedName name="qwqwqw" localSheetId="14">#REF!</definedName>
    <definedName name="qwqwqw" localSheetId="17">#REF!</definedName>
    <definedName name="qwqwqw" localSheetId="3">#REF!</definedName>
    <definedName name="qwqwqw" localSheetId="4">#REF!</definedName>
    <definedName name="qwqwqw" localSheetId="1">#REF!</definedName>
    <definedName name="qwqwqw" localSheetId="2">#REF!</definedName>
    <definedName name="qwqwqw" localSheetId="0">#REF!</definedName>
    <definedName name="qwqwqw">#REF!</definedName>
    <definedName name="SIGN" localSheetId="12">#REF!</definedName>
    <definedName name="SIGN" localSheetId="7">#REF!</definedName>
    <definedName name="SIGN" localSheetId="8">#REF!</definedName>
    <definedName name="SIGN" localSheetId="9">#REF!</definedName>
    <definedName name="SIGN" localSheetId="10">#REF!</definedName>
    <definedName name="SIGN" localSheetId="11">#REF!</definedName>
    <definedName name="SIGN" localSheetId="14">#REF!</definedName>
    <definedName name="SIGN" localSheetId="3">#REF!</definedName>
    <definedName name="SIGN" localSheetId="4">#REF!</definedName>
    <definedName name="SIGN" localSheetId="1">#REF!</definedName>
    <definedName name="SIGN" localSheetId="2">#REF!</definedName>
    <definedName name="SIGN">#REF!</definedName>
    <definedName name="ygikulio" localSheetId="12">#REF!</definedName>
    <definedName name="ygikulio" localSheetId="7">#REF!</definedName>
    <definedName name="ygikulio" localSheetId="8">#REF!</definedName>
    <definedName name="ygikulio" localSheetId="9">#REF!</definedName>
    <definedName name="ygikulio" localSheetId="10">#REF!</definedName>
    <definedName name="ygikulio" localSheetId="11">#REF!</definedName>
    <definedName name="ygikulio" localSheetId="14">#REF!</definedName>
    <definedName name="ygikulio" localSheetId="17">#REF!</definedName>
    <definedName name="ygikulio" localSheetId="3">#REF!</definedName>
    <definedName name="ygikulio" localSheetId="4">#REF!</definedName>
    <definedName name="ygikulio" localSheetId="1">#REF!</definedName>
    <definedName name="ygikulio" localSheetId="2">#REF!</definedName>
    <definedName name="ygikulio" localSheetId="0">#REF!</definedName>
    <definedName name="ygikulio">#REF!</definedName>
    <definedName name="Z_40F850CD_4338_41AA_9FA0_C2426FF8E8BA_.wvu.FilterData" localSheetId="5" hidden="1">'4 (2025)'!$A$5:$J$5</definedName>
    <definedName name="Z_40F850CD_4338_41AA_9FA0_C2426FF8E8BA_.wvu.FilterData" localSheetId="7" hidden="1">'4 (2026)'!$A$5:$J$5</definedName>
    <definedName name="Z_40F850CD_4338_41AA_9FA0_C2426FF8E8BA_.wvu.FilterData" localSheetId="8" hidden="1">'4 (2027)'!$A$5:$J$5</definedName>
    <definedName name="Z_40F850CD_4338_41AA_9FA0_C2426FF8E8BA_.wvu.FilterData" localSheetId="4" hidden="1">'Остатки 2024'!$A$5:$J$5</definedName>
    <definedName name="Z_498A9AAD_4435_4DFE_AE3B_D7EFD969E121_.wvu.FilterData" localSheetId="5" hidden="1">'4 (2025)'!$A$5:$J$5</definedName>
    <definedName name="Z_498A9AAD_4435_4DFE_AE3B_D7EFD969E121_.wvu.FilterData" localSheetId="7" hidden="1">'4 (2026)'!$A$5:$J$5</definedName>
    <definedName name="Z_498A9AAD_4435_4DFE_AE3B_D7EFD969E121_.wvu.FilterData" localSheetId="8" hidden="1">'4 (2027)'!$A$5:$J$5</definedName>
    <definedName name="Z_498A9AAD_4435_4DFE_AE3B_D7EFD969E121_.wvu.FilterData" localSheetId="9" hidden="1">'5 (2025)'!$A$4:$G$4</definedName>
    <definedName name="Z_498A9AAD_4435_4DFE_AE3B_D7EFD969E121_.wvu.FilterData" localSheetId="10" hidden="1">'5 (2026)'!$A$4:$G$4</definedName>
    <definedName name="Z_498A9AAD_4435_4DFE_AE3B_D7EFD969E121_.wvu.FilterData" localSheetId="11" hidden="1">'5 (2027)'!$A$4:$G$4</definedName>
    <definedName name="Z_498A9AAD_4435_4DFE_AE3B_D7EFD969E121_.wvu.FilterData" localSheetId="4" hidden="1">'Остатки 2024'!$A$5:$J$5</definedName>
    <definedName name="Z_5C5BBEAE_66DE_49E4_8EDB_AF23DAB0B03E_.wvu.FilterData" localSheetId="5" hidden="1">'4 (2025)'!$A$5:$J$5</definedName>
    <definedName name="Z_5C5BBEAE_66DE_49E4_8EDB_AF23DAB0B03E_.wvu.FilterData" localSheetId="7" hidden="1">'4 (2026)'!$A$5:$J$5</definedName>
    <definedName name="Z_5C5BBEAE_66DE_49E4_8EDB_AF23DAB0B03E_.wvu.FilterData" localSheetId="8" hidden="1">'4 (2027)'!$A$5:$J$5</definedName>
    <definedName name="Z_5C5BBEAE_66DE_49E4_8EDB_AF23DAB0B03E_.wvu.FilterData" localSheetId="4" hidden="1">'Остатки 2024'!$A$5:$J$5</definedName>
    <definedName name="Z_72E753B7_D2D9_4DC9_A137_A3016C33161E_.wvu.FilterData" localSheetId="12" hidden="1">'2 (2025)'!#REF!</definedName>
    <definedName name="Z_72E753B7_D2D9_4DC9_A137_A3016C33161E_.wvu.FilterData" localSheetId="5" hidden="1">'4 (2025)'!$A$5:$J$5</definedName>
    <definedName name="Z_72E753B7_D2D9_4DC9_A137_A3016C33161E_.wvu.FilterData" localSheetId="7" hidden="1">'4 (2026)'!$A$5:$J$5</definedName>
    <definedName name="Z_72E753B7_D2D9_4DC9_A137_A3016C33161E_.wvu.FilterData" localSheetId="8" hidden="1">'4 (2027)'!$A$5:$J$5</definedName>
    <definedName name="Z_72E753B7_D2D9_4DC9_A137_A3016C33161E_.wvu.FilterData" localSheetId="9" hidden="1">'5 (2025)'!$A$4:$G$4</definedName>
    <definedName name="Z_72E753B7_D2D9_4DC9_A137_A3016C33161E_.wvu.FilterData" localSheetId="10" hidden="1">'5 (2026)'!$A$4:$G$4</definedName>
    <definedName name="Z_72E753B7_D2D9_4DC9_A137_A3016C33161E_.wvu.FilterData" localSheetId="11" hidden="1">'5 (2027)'!$A$4:$G$4</definedName>
    <definedName name="Z_72E753B7_D2D9_4DC9_A137_A3016C33161E_.wvu.FilterData" localSheetId="4" hidden="1">'Остатки 2024'!$A$5:$J$5</definedName>
    <definedName name="Z_72E753B7_D2D9_4DC9_A137_A3016C33161E_.wvu.PrintArea" localSheetId="12" hidden="1">'2 (2025)'!$A$1:$J$624</definedName>
    <definedName name="Z_72E753B7_D2D9_4DC9_A137_A3016C33161E_.wvu.PrintArea" localSheetId="5" hidden="1">'4 (2025)'!$A$1:$J$1176</definedName>
    <definedName name="Z_72E753B7_D2D9_4DC9_A137_A3016C33161E_.wvu.PrintArea" localSheetId="7" hidden="1">'4 (2026)'!$A$1:$J$957</definedName>
    <definedName name="Z_72E753B7_D2D9_4DC9_A137_A3016C33161E_.wvu.PrintArea" localSheetId="8" hidden="1">'4 (2027)'!$A$1:$J$957</definedName>
    <definedName name="Z_72E753B7_D2D9_4DC9_A137_A3016C33161E_.wvu.PrintArea" localSheetId="9" hidden="1">'5 (2025)'!$A$1:$G$283</definedName>
    <definedName name="Z_72E753B7_D2D9_4DC9_A137_A3016C33161E_.wvu.PrintArea" localSheetId="10" hidden="1">'5 (2026)'!$A$1:$G$282</definedName>
    <definedName name="Z_72E753B7_D2D9_4DC9_A137_A3016C33161E_.wvu.PrintArea" localSheetId="11" hidden="1">'5 (2027)'!$A$1:$G$281</definedName>
    <definedName name="Z_72E753B7_D2D9_4DC9_A137_A3016C33161E_.wvu.PrintArea" localSheetId="4" hidden="1">'Остатки 2024'!$A$1:$J$649</definedName>
    <definedName name="Z_72E753B7_D2D9_4DC9_A137_A3016C33161E_.wvu.PrintArea" localSheetId="0" hidden="1">Тит.лист!$A$1:$G$33</definedName>
    <definedName name="Z_87A0B50C_83DB_4246_97C7_1DC9B33B3D6F_.wvu.FilterData" localSheetId="5" hidden="1">'4 (2025)'!$A$5:$J$5</definedName>
    <definedName name="Z_87A0B50C_83DB_4246_97C7_1DC9B33B3D6F_.wvu.FilterData" localSheetId="7" hidden="1">'4 (2026)'!$A$5:$J$5</definedName>
    <definedName name="Z_87A0B50C_83DB_4246_97C7_1DC9B33B3D6F_.wvu.FilterData" localSheetId="8" hidden="1">'4 (2027)'!$A$5:$J$5</definedName>
    <definedName name="Z_87A0B50C_83DB_4246_97C7_1DC9B33B3D6F_.wvu.FilterData" localSheetId="4" hidden="1">'Остатки 2024'!$A$5:$J$5</definedName>
    <definedName name="Z_9111C1F7_CC71_40F4_B5FA_F268B23233D8_.wvu.FilterData" localSheetId="5" hidden="1">'4 (2025)'!$A$5:$J$5</definedName>
    <definedName name="Z_9111C1F7_CC71_40F4_B5FA_F268B23233D8_.wvu.FilterData" localSheetId="7" hidden="1">'4 (2026)'!$A$5:$J$5</definedName>
    <definedName name="Z_9111C1F7_CC71_40F4_B5FA_F268B23233D8_.wvu.FilterData" localSheetId="8" hidden="1">'4 (2027)'!$A$5:$J$5</definedName>
    <definedName name="Z_9111C1F7_CC71_40F4_B5FA_F268B23233D8_.wvu.FilterData" localSheetId="4" hidden="1">'Остатки 2024'!$A$5:$J$5</definedName>
    <definedName name="Z_D48DDD22_50B2_4457_BF85_D480CA857DEF_.wvu.FilterData" localSheetId="12" hidden="1">'2 (2025)'!#REF!</definedName>
    <definedName name="Z_D48DDD22_50B2_4457_BF85_D480CA857DEF_.wvu.FilterData" localSheetId="5" hidden="1">'4 (2025)'!$A$5:$J$5</definedName>
    <definedName name="Z_D48DDD22_50B2_4457_BF85_D480CA857DEF_.wvu.FilterData" localSheetId="7" hidden="1">'4 (2026)'!$A$5:$J$5</definedName>
    <definedName name="Z_D48DDD22_50B2_4457_BF85_D480CA857DEF_.wvu.FilterData" localSheetId="8" hidden="1">'4 (2027)'!$A$5:$J$5</definedName>
    <definedName name="Z_D48DDD22_50B2_4457_BF85_D480CA857DEF_.wvu.FilterData" localSheetId="9" hidden="1">'5 (2025)'!$A$4:$G$4</definedName>
    <definedName name="Z_D48DDD22_50B2_4457_BF85_D480CA857DEF_.wvu.FilterData" localSheetId="10" hidden="1">'5 (2026)'!$A$4:$G$4</definedName>
    <definedName name="Z_D48DDD22_50B2_4457_BF85_D480CA857DEF_.wvu.FilterData" localSheetId="11" hidden="1">'5 (2027)'!$A$4:$G$4</definedName>
    <definedName name="Z_D48DDD22_50B2_4457_BF85_D480CA857DEF_.wvu.FilterData" localSheetId="4" hidden="1">'Остатки 2024'!$A$5:$J$5</definedName>
    <definedName name="Z_D48DDD22_50B2_4457_BF85_D480CA857DEF_.wvu.PrintArea" localSheetId="12" hidden="1">'2 (2025)'!$A$1:$J$624</definedName>
    <definedName name="Z_D48DDD22_50B2_4457_BF85_D480CA857DEF_.wvu.PrintArea" localSheetId="5" hidden="1">'4 (2025)'!$A$1:$J$1176</definedName>
    <definedName name="Z_D48DDD22_50B2_4457_BF85_D480CA857DEF_.wvu.PrintArea" localSheetId="7" hidden="1">'4 (2026)'!$A$1:$J$957</definedName>
    <definedName name="Z_D48DDD22_50B2_4457_BF85_D480CA857DEF_.wvu.PrintArea" localSheetId="8" hidden="1">'4 (2027)'!$A$1:$J$957</definedName>
    <definedName name="Z_D48DDD22_50B2_4457_BF85_D480CA857DEF_.wvu.PrintArea" localSheetId="9" hidden="1">'5 (2025)'!$A$1:$G$283</definedName>
    <definedName name="Z_D48DDD22_50B2_4457_BF85_D480CA857DEF_.wvu.PrintArea" localSheetId="10" hidden="1">'5 (2026)'!$A$1:$G$282</definedName>
    <definedName name="Z_D48DDD22_50B2_4457_BF85_D480CA857DEF_.wvu.PrintArea" localSheetId="11" hidden="1">'5 (2027)'!$A$1:$G$281</definedName>
    <definedName name="Z_D48DDD22_50B2_4457_BF85_D480CA857DEF_.wvu.PrintArea" localSheetId="4" hidden="1">'Остатки 2024'!$A$1:$J$649</definedName>
    <definedName name="Z_D48DDD22_50B2_4457_BF85_D480CA857DEF_.wvu.PrintArea" localSheetId="0" hidden="1">Тит.лист!$A$1:$G$33</definedName>
    <definedName name="Z_F0FF0708_97A4_45AE_84B8_14A9418AB8F8_.wvu.FilterData" localSheetId="5" hidden="1">'4 (2025)'!$A$5:$J$5</definedName>
    <definedName name="Z_F0FF0708_97A4_45AE_84B8_14A9418AB8F8_.wvu.FilterData" localSheetId="7" hidden="1">'4 (2026)'!$A$5:$J$5</definedName>
    <definedName name="Z_F0FF0708_97A4_45AE_84B8_14A9418AB8F8_.wvu.FilterData" localSheetId="8" hidden="1">'4 (2027)'!$A$5:$J$5</definedName>
    <definedName name="Z_F0FF0708_97A4_45AE_84B8_14A9418AB8F8_.wvu.FilterData" localSheetId="4" hidden="1">'Остатки 2024'!$A$5:$J$5</definedName>
    <definedName name="аааа" localSheetId="12">#REF!</definedName>
    <definedName name="аааа" localSheetId="7">#REF!</definedName>
    <definedName name="аааа" localSheetId="8">#REF!</definedName>
    <definedName name="аааа" localSheetId="9">#REF!</definedName>
    <definedName name="аааа" localSheetId="10">#REF!</definedName>
    <definedName name="аааа" localSheetId="11">#REF!</definedName>
    <definedName name="аааа" localSheetId="14">#REF!</definedName>
    <definedName name="аааа" localSheetId="4">#REF!</definedName>
    <definedName name="аааа">#REF!</definedName>
    <definedName name="АнализФХД" localSheetId="12">#REF!</definedName>
    <definedName name="АнализФХД" localSheetId="7">#REF!</definedName>
    <definedName name="АнализФХД" localSheetId="8">#REF!</definedName>
    <definedName name="АнализФХД" localSheetId="9">#REF!</definedName>
    <definedName name="АнализФХД" localSheetId="10">#REF!</definedName>
    <definedName name="АнализФХД" localSheetId="11">#REF!</definedName>
    <definedName name="АнализФХД" localSheetId="14">#REF!</definedName>
    <definedName name="АнализФХД" localSheetId="17">#REF!</definedName>
    <definedName name="АнализФХД" localSheetId="3">#REF!</definedName>
    <definedName name="АнализФХД" localSheetId="4">#REF!</definedName>
    <definedName name="АнализФХД" localSheetId="1">#REF!</definedName>
    <definedName name="АнализФХД" localSheetId="2">#REF!</definedName>
    <definedName name="АнализФХД" localSheetId="0">#REF!</definedName>
    <definedName name="АнализФХД">#REF!</definedName>
    <definedName name="апюрмглдфыктп" localSheetId="12">#REF!</definedName>
    <definedName name="апюрмглдфыктп" localSheetId="7">#REF!</definedName>
    <definedName name="апюрмглдфыктп" localSheetId="8">#REF!</definedName>
    <definedName name="апюрмглдфыктп" localSheetId="9">#REF!</definedName>
    <definedName name="апюрмглдфыктп" localSheetId="10">#REF!</definedName>
    <definedName name="апюрмглдфыктп" localSheetId="11">#REF!</definedName>
    <definedName name="апюрмглдфыктп" localSheetId="14">#REF!</definedName>
    <definedName name="апюрмглдфыктп" localSheetId="17">#REF!</definedName>
    <definedName name="апюрмглдфыктп" localSheetId="3">#REF!</definedName>
    <definedName name="апюрмглдфыктп" localSheetId="4">#REF!</definedName>
    <definedName name="апюрмглдфыктп" localSheetId="1">#REF!</definedName>
    <definedName name="апюрмглдфыктп" localSheetId="2">#REF!</definedName>
    <definedName name="апюрмглдфыктп" localSheetId="0">#REF!</definedName>
    <definedName name="апюрмглдфыктп">#REF!</definedName>
    <definedName name="бюдж" localSheetId="3">[11]Учителя!$A$1:$B$65536,[11]Учителя!$A$11:$IV$14</definedName>
    <definedName name="бюдж">[11]Учителя!$A:$B,[11]Учителя!$11:$14</definedName>
    <definedName name="бюджет" localSheetId="12">#REF!</definedName>
    <definedName name="бюджет" localSheetId="7">#REF!</definedName>
    <definedName name="бюджет" localSheetId="8">#REF!</definedName>
    <definedName name="бюджет" localSheetId="9">#REF!</definedName>
    <definedName name="бюджет" localSheetId="10">#REF!</definedName>
    <definedName name="бюджет" localSheetId="11">#REF!</definedName>
    <definedName name="бюджет" localSheetId="14">#REF!</definedName>
    <definedName name="бюджет" localSheetId="17">#REF!</definedName>
    <definedName name="бюджет" localSheetId="3">#REF!</definedName>
    <definedName name="бюджет" localSheetId="4">#REF!</definedName>
    <definedName name="бюджет" localSheetId="1">#REF!</definedName>
    <definedName name="бюджет" localSheetId="2">#REF!</definedName>
    <definedName name="бюджет" localSheetId="0">#REF!</definedName>
    <definedName name="бюджет">#REF!</definedName>
    <definedName name="ваапрпопро" localSheetId="12">#REF!</definedName>
    <definedName name="ваапрпопро" localSheetId="7">#REF!</definedName>
    <definedName name="ваапрпопро" localSheetId="8">#REF!</definedName>
    <definedName name="ваапрпопро" localSheetId="9">#REF!</definedName>
    <definedName name="ваапрпопро" localSheetId="10">#REF!</definedName>
    <definedName name="ваапрпопро" localSheetId="11">#REF!</definedName>
    <definedName name="ваапрпопро" localSheetId="14">#REF!</definedName>
    <definedName name="ваапрпопро" localSheetId="17">#REF!</definedName>
    <definedName name="ваапрпопро" localSheetId="3">#REF!</definedName>
    <definedName name="ваапрпопро" localSheetId="4">#REF!</definedName>
    <definedName name="ваапрпопро" localSheetId="1">#REF!</definedName>
    <definedName name="ваапрпопро" localSheetId="2">#REF!</definedName>
    <definedName name="ваапрпопро" localSheetId="0">#REF!</definedName>
    <definedName name="ваапрпопро">#REF!</definedName>
    <definedName name="внеб" localSheetId="3">[11]Учителя!$A$1:$B$65536,[11]Учителя!$A$11:$IV$14</definedName>
    <definedName name="внеб">[11]Учителя!$A:$B,[11]Учителя!$11:$14</definedName>
    <definedName name="выпааврпо" localSheetId="12">#REF!</definedName>
    <definedName name="выпааврпо" localSheetId="7">#REF!</definedName>
    <definedName name="выпааврпо" localSheetId="8">#REF!</definedName>
    <definedName name="выпааврпо" localSheetId="9">#REF!</definedName>
    <definedName name="выпааврпо" localSheetId="10">#REF!</definedName>
    <definedName name="выпааврпо" localSheetId="11">#REF!</definedName>
    <definedName name="выпааврпо" localSheetId="14">#REF!</definedName>
    <definedName name="выпааврпо" localSheetId="17">#REF!</definedName>
    <definedName name="выпааврпо" localSheetId="3">#REF!</definedName>
    <definedName name="выпааврпо" localSheetId="4">#REF!</definedName>
    <definedName name="выпааврпо" localSheetId="1">#REF!</definedName>
    <definedName name="выпааврпо" localSheetId="2">#REF!</definedName>
    <definedName name="выпааврпо" localSheetId="0">#REF!</definedName>
    <definedName name="выпааврпо">#REF!</definedName>
    <definedName name="гуля" localSheetId="12">#REF!</definedName>
    <definedName name="гуля" localSheetId="7">#REF!</definedName>
    <definedName name="гуля" localSheetId="8">#REF!</definedName>
    <definedName name="гуля" localSheetId="9">#REF!</definedName>
    <definedName name="гуля" localSheetId="10">#REF!</definedName>
    <definedName name="гуля" localSheetId="11">#REF!</definedName>
    <definedName name="гуля" localSheetId="14">#REF!</definedName>
    <definedName name="гуля" localSheetId="4">#REF!</definedName>
    <definedName name="гуля">#REF!</definedName>
    <definedName name="длаправлдр" localSheetId="12">#REF!,#REF!</definedName>
    <definedName name="длаправлдр" localSheetId="7">#REF!,#REF!</definedName>
    <definedName name="длаправлдр" localSheetId="8">#REF!,#REF!</definedName>
    <definedName name="длаправлдр" localSheetId="9">#REF!,#REF!</definedName>
    <definedName name="длаправлдр" localSheetId="10">#REF!,#REF!</definedName>
    <definedName name="длаправлдр" localSheetId="11">#REF!,#REF!</definedName>
    <definedName name="длаправлдр" localSheetId="14">#REF!,#REF!</definedName>
    <definedName name="длаправлдр" localSheetId="17">#REF!,#REF!</definedName>
    <definedName name="длаправлдр" localSheetId="3">#REF!,#REF!</definedName>
    <definedName name="длаправлдр" localSheetId="4">#REF!,#REF!</definedName>
    <definedName name="длаправлдр" localSheetId="1">#REF!,#REF!</definedName>
    <definedName name="длаправлдр" localSheetId="2">#REF!,#REF!</definedName>
    <definedName name="длаправлдр" localSheetId="0">#REF!,#REF!</definedName>
    <definedName name="длаправлдр">#REF!,#REF!</definedName>
    <definedName name="дшгепщшеп" localSheetId="12">#REF!</definedName>
    <definedName name="дшгепщшеп" localSheetId="7">#REF!</definedName>
    <definedName name="дшгепщшеп" localSheetId="8">#REF!</definedName>
    <definedName name="дшгепщшеп" localSheetId="9">#REF!</definedName>
    <definedName name="дшгепщшеп" localSheetId="10">#REF!</definedName>
    <definedName name="дшгепщшеп" localSheetId="11">#REF!</definedName>
    <definedName name="дшгепщшеп" localSheetId="14">#REF!</definedName>
    <definedName name="дшгепщшеп" localSheetId="17">#REF!</definedName>
    <definedName name="дшгепщшеп" localSheetId="3">#REF!</definedName>
    <definedName name="дшгепщшеп" localSheetId="4">#REF!</definedName>
    <definedName name="дшгепщшеп" localSheetId="1">#REF!</definedName>
    <definedName name="дшгепщшеп" localSheetId="2">#REF!</definedName>
    <definedName name="дшгепщшеп" localSheetId="0">#REF!</definedName>
    <definedName name="дшгепщшеп">#REF!</definedName>
    <definedName name="еее" localSheetId="12">#REF!</definedName>
    <definedName name="еее" localSheetId="7">#REF!</definedName>
    <definedName name="еее" localSheetId="8">#REF!</definedName>
    <definedName name="еее" localSheetId="9">#REF!</definedName>
    <definedName name="еее" localSheetId="10">#REF!</definedName>
    <definedName name="еее" localSheetId="11">#REF!</definedName>
    <definedName name="еее" localSheetId="4">#REF!</definedName>
    <definedName name="еее" localSheetId="1">#REF!</definedName>
    <definedName name="еее" localSheetId="2">#REF!</definedName>
    <definedName name="еее">#REF!</definedName>
    <definedName name="еееееееее" localSheetId="12">#REF!</definedName>
    <definedName name="еееееееее" localSheetId="7">#REF!</definedName>
    <definedName name="еееееееее" localSheetId="8">#REF!</definedName>
    <definedName name="еееееееее" localSheetId="9">#REF!</definedName>
    <definedName name="еееееееее" localSheetId="10">#REF!</definedName>
    <definedName name="еееееееее" localSheetId="11">#REF!</definedName>
    <definedName name="еееееееее" localSheetId="14">#REF!</definedName>
    <definedName name="еееееееее" localSheetId="3">#REF!</definedName>
    <definedName name="еееееееее" localSheetId="4">#REF!</definedName>
    <definedName name="еееееееее" localSheetId="1">#REF!</definedName>
    <definedName name="еееееееее" localSheetId="2">#REF!</definedName>
    <definedName name="еееееееее">#REF!</definedName>
    <definedName name="жлтжпргоплод" localSheetId="12">#REF!</definedName>
    <definedName name="жлтжпргоплод" localSheetId="7">#REF!</definedName>
    <definedName name="жлтжпргоплод" localSheetId="8">#REF!</definedName>
    <definedName name="жлтжпргоплод" localSheetId="9">#REF!</definedName>
    <definedName name="жлтжпргоплод" localSheetId="10">#REF!</definedName>
    <definedName name="жлтжпргоплод" localSheetId="11">#REF!</definedName>
    <definedName name="жлтжпргоплод" localSheetId="14">#REF!</definedName>
    <definedName name="жлтжпргоплод" localSheetId="17">#REF!</definedName>
    <definedName name="жлтжпргоплод" localSheetId="3">#REF!</definedName>
    <definedName name="жлтжпргоплод" localSheetId="4">#REF!</definedName>
    <definedName name="жлтжпргоплод" localSheetId="1">#REF!</definedName>
    <definedName name="жлтжпргоплод" localSheetId="2">#REF!</definedName>
    <definedName name="жлтжпргоплод" localSheetId="0">#REF!</definedName>
    <definedName name="жлтжпргоплод">#REF!</definedName>
    <definedName name="_xlnm.Print_Titles" localSheetId="16">КП!$3:$5</definedName>
    <definedName name="_xlnm.Print_Titles" localSheetId="18">ПГ!$4:$8</definedName>
    <definedName name="_xlnm.Print_Titles" localSheetId="1">Р1!$4:$7</definedName>
    <definedName name="иит" localSheetId="12">#REF!</definedName>
    <definedName name="иит" localSheetId="7">#REF!</definedName>
    <definedName name="иит" localSheetId="8">#REF!</definedName>
    <definedName name="иит" localSheetId="9">#REF!</definedName>
    <definedName name="иит" localSheetId="10">#REF!</definedName>
    <definedName name="иит" localSheetId="11">#REF!</definedName>
    <definedName name="иит" localSheetId="14">#REF!</definedName>
    <definedName name="иит" localSheetId="4">#REF!</definedName>
    <definedName name="иит">#REF!</definedName>
    <definedName name="имот" localSheetId="12">#REF!</definedName>
    <definedName name="имот" localSheetId="7">#REF!</definedName>
    <definedName name="имот" localSheetId="8">#REF!</definedName>
    <definedName name="имот" localSheetId="9">#REF!</definedName>
    <definedName name="имот" localSheetId="10">#REF!</definedName>
    <definedName name="имот" localSheetId="11">#REF!</definedName>
    <definedName name="имот" localSheetId="14">#REF!</definedName>
    <definedName name="имот" localSheetId="17">#REF!</definedName>
    <definedName name="имот" localSheetId="3">#REF!</definedName>
    <definedName name="имот" localSheetId="4">#REF!</definedName>
    <definedName name="имот" localSheetId="1">#REF!</definedName>
    <definedName name="имот" localSheetId="2">#REF!</definedName>
    <definedName name="имот" localSheetId="0">#REF!</definedName>
    <definedName name="имот">#REF!</definedName>
    <definedName name="инн" localSheetId="12">'[12]Спец_сты школы 35'!$A$13:$IV$16</definedName>
    <definedName name="инн" localSheetId="9">'[5]Спец_сты школы 35'!$13:$16</definedName>
    <definedName name="инн" localSheetId="10">'[5]Спец_сты школы 35'!$13:$16</definedName>
    <definedName name="инн" localSheetId="11">'[5]Спец_сты школы 35'!$13:$16</definedName>
    <definedName name="инн" localSheetId="14">'[5]Спец_сты школы 35'!$13:$16</definedName>
    <definedName name="инн" localSheetId="3">'[5]Спец_сты школы 35'!$13:$16</definedName>
    <definedName name="инн">'[13]Спец_сты школы 35'!$A$13:$IV$16</definedName>
    <definedName name="инфо" localSheetId="12">#REF!,#REF!</definedName>
    <definedName name="инфо" localSheetId="7">#REF!,#REF!</definedName>
    <definedName name="инфо" localSheetId="8">#REF!,#REF!</definedName>
    <definedName name="инфо" localSheetId="9">#REF!,#REF!</definedName>
    <definedName name="инфо" localSheetId="10">#REF!,#REF!</definedName>
    <definedName name="инфо" localSheetId="11">#REF!,#REF!</definedName>
    <definedName name="инфо" localSheetId="14">#REF!,#REF!</definedName>
    <definedName name="инфо" localSheetId="17">#REF!,#REF!</definedName>
    <definedName name="инфо" localSheetId="3">#REF!,#REF!</definedName>
    <definedName name="инфо" localSheetId="4">#REF!,#REF!</definedName>
    <definedName name="инфо" localSheetId="1">#REF!,#REF!</definedName>
    <definedName name="инфо" localSheetId="2">#REF!,#REF!</definedName>
    <definedName name="инфо" localSheetId="0">#REF!,#REF!</definedName>
    <definedName name="инфо">#REF!,#REF!</definedName>
    <definedName name="испрбюд" localSheetId="12">#REF!</definedName>
    <definedName name="испрбюд" localSheetId="7">#REF!</definedName>
    <definedName name="испрбюд" localSheetId="8">#REF!</definedName>
    <definedName name="испрбюд" localSheetId="9">#REF!</definedName>
    <definedName name="испрбюд" localSheetId="10">#REF!</definedName>
    <definedName name="испрбюд" localSheetId="11">#REF!</definedName>
    <definedName name="испрбюд" localSheetId="14">#REF!</definedName>
    <definedName name="испрбюд" localSheetId="17">#REF!</definedName>
    <definedName name="испрбюд" localSheetId="3">#REF!</definedName>
    <definedName name="испрбюд" localSheetId="4">#REF!</definedName>
    <definedName name="испрбюд" localSheetId="1">#REF!</definedName>
    <definedName name="испрбюд" localSheetId="2">#REF!</definedName>
    <definedName name="испрбюд" localSheetId="0">#REF!</definedName>
    <definedName name="испрбюд">#REF!</definedName>
    <definedName name="итп" localSheetId="12">#REF!</definedName>
    <definedName name="итп" localSheetId="7">#REF!</definedName>
    <definedName name="итп" localSheetId="8">#REF!</definedName>
    <definedName name="итп" localSheetId="9">#REF!</definedName>
    <definedName name="итп" localSheetId="10">#REF!</definedName>
    <definedName name="итп" localSheetId="11">#REF!</definedName>
    <definedName name="итп" localSheetId="14">#REF!</definedName>
    <definedName name="итп" localSheetId="3">#REF!</definedName>
    <definedName name="итп" localSheetId="4">#REF!</definedName>
    <definedName name="итп" localSheetId="1">#REF!</definedName>
    <definedName name="итп" localSheetId="2">#REF!</definedName>
    <definedName name="итп">#REF!</definedName>
    <definedName name="КВР" localSheetId="12">#REF!</definedName>
    <definedName name="КВР" localSheetId="7">#REF!</definedName>
    <definedName name="КВР" localSheetId="8">#REF!</definedName>
    <definedName name="КВР" localSheetId="9">#REF!</definedName>
    <definedName name="КВР" localSheetId="10">#REF!</definedName>
    <definedName name="КВР" localSheetId="11">#REF!</definedName>
    <definedName name="КВР" localSheetId="14">#REF!</definedName>
    <definedName name="КВР" localSheetId="4">#REF!</definedName>
    <definedName name="КВР">#REF!</definedName>
    <definedName name="КВФО" localSheetId="12">#REF!</definedName>
    <definedName name="КВФО" localSheetId="7">#REF!</definedName>
    <definedName name="КВФО" localSheetId="8">#REF!</definedName>
    <definedName name="КВФО" localSheetId="9">#REF!</definedName>
    <definedName name="КВФО" localSheetId="10">#REF!</definedName>
    <definedName name="КВФО" localSheetId="11">#REF!</definedName>
    <definedName name="КВФО" localSheetId="14">#REF!</definedName>
    <definedName name="КВФО" localSheetId="4">#REF!</definedName>
    <definedName name="КВФО">#REF!</definedName>
    <definedName name="копияч" localSheetId="12">#REF!</definedName>
    <definedName name="копияч" localSheetId="7">#REF!</definedName>
    <definedName name="копияч" localSheetId="8">#REF!</definedName>
    <definedName name="копияч" localSheetId="9">#REF!</definedName>
    <definedName name="копияч" localSheetId="10">#REF!</definedName>
    <definedName name="копияч" localSheetId="11">#REF!</definedName>
    <definedName name="копияч" localSheetId="14">#REF!</definedName>
    <definedName name="копияч" localSheetId="17">#REF!</definedName>
    <definedName name="копияч" localSheetId="3">#REF!</definedName>
    <definedName name="копияч" localSheetId="4">#REF!</definedName>
    <definedName name="копияч" localSheetId="1">#REF!</definedName>
    <definedName name="копияч" localSheetId="2">#REF!</definedName>
    <definedName name="копияч" localSheetId="0">#REF!</definedName>
    <definedName name="копияч">#REF!</definedName>
    <definedName name="КОСГУ" localSheetId="12">#REF!</definedName>
    <definedName name="КОСГУ" localSheetId="7">#REF!</definedName>
    <definedName name="КОСГУ" localSheetId="8">#REF!</definedName>
    <definedName name="КОСГУ" localSheetId="9">#REF!</definedName>
    <definedName name="КОСГУ" localSheetId="10">#REF!</definedName>
    <definedName name="КОСГУ" localSheetId="11">#REF!</definedName>
    <definedName name="КОСГУ" localSheetId="14">#REF!</definedName>
    <definedName name="КОСГУ" localSheetId="4">#REF!</definedName>
    <definedName name="КОСГУ">#REF!</definedName>
    <definedName name="_xlnm.Criteria" localSheetId="12">'2 (2025)'!#REF!</definedName>
    <definedName name="_xlnm.Criteria" localSheetId="5">'4 (2025)'!#REF!</definedName>
    <definedName name="_xlnm.Criteria" localSheetId="7">'4 (2026)'!#REF!</definedName>
    <definedName name="_xlnm.Criteria" localSheetId="8">'4 (2027)'!#REF!</definedName>
    <definedName name="_xlnm.Criteria" localSheetId="9">'5 (2025)'!#REF!</definedName>
    <definedName name="_xlnm.Criteria" localSheetId="10">'5 (2026)'!#REF!</definedName>
    <definedName name="_xlnm.Criteria" localSheetId="11">'5 (2027)'!#REF!</definedName>
    <definedName name="_xlnm.Criteria" localSheetId="4">'Остатки 2024'!#REF!</definedName>
    <definedName name="КФСР" localSheetId="12">#REF!</definedName>
    <definedName name="КФСР" localSheetId="7">#REF!</definedName>
    <definedName name="КФСР" localSheetId="8">#REF!</definedName>
    <definedName name="КФСР" localSheetId="9">#REF!</definedName>
    <definedName name="КФСР" localSheetId="10">#REF!</definedName>
    <definedName name="КФСР" localSheetId="11">#REF!</definedName>
    <definedName name="КФСР" localSheetId="14">#REF!</definedName>
    <definedName name="КФСР" localSheetId="4">#REF!</definedName>
    <definedName name="КФСР">#REF!</definedName>
    <definedName name="КЦС" localSheetId="12">#REF!</definedName>
    <definedName name="КЦС" localSheetId="7">#REF!</definedName>
    <definedName name="КЦС" localSheetId="8">#REF!</definedName>
    <definedName name="КЦС" localSheetId="9">#REF!</definedName>
    <definedName name="КЦС" localSheetId="10">#REF!</definedName>
    <definedName name="КЦС" localSheetId="11">#REF!</definedName>
    <definedName name="КЦС" localSheetId="14">#REF!</definedName>
    <definedName name="КЦС" localSheetId="4">#REF!</definedName>
    <definedName name="КЦС">#REF!</definedName>
    <definedName name="кцс_к" localSheetId="12">#REF!</definedName>
    <definedName name="кцс_к" localSheetId="7">#REF!</definedName>
    <definedName name="кцс_к" localSheetId="8">#REF!</definedName>
    <definedName name="кцс_к" localSheetId="9">#REF!</definedName>
    <definedName name="кцс_к" localSheetId="10">#REF!</definedName>
    <definedName name="кцс_к" localSheetId="11">#REF!</definedName>
    <definedName name="кцс_к" localSheetId="14">#REF!</definedName>
    <definedName name="кцс_к" localSheetId="4">#REF!</definedName>
    <definedName name="кцс_к">#REF!</definedName>
    <definedName name="КЦС_наименование" localSheetId="12">#REF!</definedName>
    <definedName name="КЦС_наименование" localSheetId="7">#REF!</definedName>
    <definedName name="КЦС_наименование" localSheetId="8">#REF!</definedName>
    <definedName name="КЦС_наименование" localSheetId="9">#REF!</definedName>
    <definedName name="КЦС_наименование" localSheetId="10">#REF!</definedName>
    <definedName name="КЦС_наименование" localSheetId="11">#REF!</definedName>
    <definedName name="КЦС_наименование" localSheetId="14">#REF!</definedName>
    <definedName name="КЦС_наименование" localSheetId="4">#REF!</definedName>
    <definedName name="КЦС_наименование">#REF!</definedName>
    <definedName name="КЦС_наименование_К" localSheetId="12">[14]КОНТРОЛЬ!$B$3:$B$55</definedName>
    <definedName name="КЦС_наименование_К" localSheetId="9">#REF!</definedName>
    <definedName name="КЦС_наименование_К" localSheetId="10">#REF!</definedName>
    <definedName name="КЦС_наименование_К" localSheetId="11">#REF!</definedName>
    <definedName name="КЦС_наименование_К" localSheetId="14">#REF!</definedName>
    <definedName name="КЦС_наименование_К" localSheetId="3">#REF!</definedName>
    <definedName name="КЦС_наименование_К" localSheetId="1">[15]КОНТРОЛЬ!$B$3:$B$55</definedName>
    <definedName name="КЦС_наименование_К" localSheetId="2">[15]КОНТРОЛЬ!$B$3:$B$55</definedName>
    <definedName name="КЦС_наименование_К">[16]КОНТРОЛЬ!$B$3:$B$55</definedName>
    <definedName name="КЦСы" localSheetId="12">#REF!</definedName>
    <definedName name="КЦСы" localSheetId="7">#REF!</definedName>
    <definedName name="КЦСы" localSheetId="8">#REF!</definedName>
    <definedName name="КЦСы" localSheetId="9">#REF!</definedName>
    <definedName name="КЦСы" localSheetId="10">#REF!</definedName>
    <definedName name="КЦСы" localSheetId="11">#REF!</definedName>
    <definedName name="КЦСы" localSheetId="14">#REF!</definedName>
    <definedName name="КЦСы" localSheetId="4">#REF!</definedName>
    <definedName name="КЦСы">#REF!</definedName>
    <definedName name="лллллллллллллл" localSheetId="12">#REF!</definedName>
    <definedName name="лллллллллллллл" localSheetId="7">#REF!</definedName>
    <definedName name="лллллллллллллл" localSheetId="8">#REF!</definedName>
    <definedName name="лллллллллллллл" localSheetId="9">#REF!</definedName>
    <definedName name="лллллллллллллл" localSheetId="10">#REF!</definedName>
    <definedName name="лллллллллллллл" localSheetId="11">#REF!</definedName>
    <definedName name="лллллллллллллл" localSheetId="14">#REF!</definedName>
    <definedName name="лллллллллллллл" localSheetId="17">#REF!</definedName>
    <definedName name="лллллллллллллл" localSheetId="3">#REF!</definedName>
    <definedName name="лллллллллллллл" localSheetId="4">#REF!</definedName>
    <definedName name="лллллллллллллл" localSheetId="1">#REF!</definedName>
    <definedName name="лллллллллллллл" localSheetId="2">#REF!</definedName>
    <definedName name="лллллллллллллл" localSheetId="0">#REF!</definedName>
    <definedName name="лллллллллллллл">#REF!</definedName>
    <definedName name="лллллллллллллллллллллллллллл" localSheetId="12">#REF!</definedName>
    <definedName name="лллллллллллллллллллллллллллл" localSheetId="7">#REF!</definedName>
    <definedName name="лллллллллллллллллллллллллллл" localSheetId="8">#REF!</definedName>
    <definedName name="лллллллллллллллллллллллллллл" localSheetId="9">#REF!</definedName>
    <definedName name="лллллллллллллллллллллллллллл" localSheetId="10">#REF!</definedName>
    <definedName name="лллллллллллллллллллллллллллл" localSheetId="11">#REF!</definedName>
    <definedName name="лллллллллллллллллллллллллллл" localSheetId="14">#REF!</definedName>
    <definedName name="лллллллллллллллллллллллллллл" localSheetId="17">#REF!</definedName>
    <definedName name="лллллллллллллллллллллллллллл" localSheetId="3">#REF!</definedName>
    <definedName name="лллллллллллллллллллллллллллл" localSheetId="4">#REF!</definedName>
    <definedName name="лллллллллллллллллллллллллллл" localSheetId="1">#REF!</definedName>
    <definedName name="лллллллллллллллллллллллллллл" localSheetId="2">#REF!</definedName>
    <definedName name="лллллллллллллллллллллллллллл" localSheetId="0">#REF!</definedName>
    <definedName name="лллллллллллллллллллллллллллл">#REF!</definedName>
    <definedName name="лодпнгшгншщ" localSheetId="12">#REF!</definedName>
    <definedName name="лодпнгшгншщ" localSheetId="7">#REF!</definedName>
    <definedName name="лодпнгшгншщ" localSheetId="8">#REF!</definedName>
    <definedName name="лодпнгшгншщ" localSheetId="9">#REF!</definedName>
    <definedName name="лодпнгшгншщ" localSheetId="10">#REF!</definedName>
    <definedName name="лодпнгшгншщ" localSheetId="11">#REF!</definedName>
    <definedName name="лодпнгшгншщ" localSheetId="14">#REF!</definedName>
    <definedName name="лодпнгшгншщ" localSheetId="17">#REF!</definedName>
    <definedName name="лодпнгшгншщ" localSheetId="3">#REF!</definedName>
    <definedName name="лодпнгшгншщ" localSheetId="4">#REF!</definedName>
    <definedName name="лодпнгшгншщ" localSheetId="1">#REF!</definedName>
    <definedName name="лодпнгшгншщ" localSheetId="2">#REF!</definedName>
    <definedName name="лодпнгшгншщ" localSheetId="0">#REF!</definedName>
    <definedName name="лодпнгшгншщ">#REF!</definedName>
    <definedName name="лрпнори" localSheetId="12">#REF!</definedName>
    <definedName name="лрпнори" localSheetId="7">#REF!</definedName>
    <definedName name="лрпнори" localSheetId="8">#REF!</definedName>
    <definedName name="лрпнори" localSheetId="10">#REF!</definedName>
    <definedName name="лрпнори" localSheetId="11">#REF!</definedName>
    <definedName name="лрпнори">#REF!</definedName>
    <definedName name="Месяц" localSheetId="12">#REF!</definedName>
    <definedName name="Месяц" localSheetId="7">#REF!</definedName>
    <definedName name="Месяц" localSheetId="8">#REF!</definedName>
    <definedName name="Месяц" localSheetId="9">#REF!</definedName>
    <definedName name="Месяц" localSheetId="10">#REF!</definedName>
    <definedName name="Месяц" localSheetId="11">#REF!</definedName>
    <definedName name="Месяц" localSheetId="14">#REF!</definedName>
    <definedName name="Месяц" localSheetId="4">#REF!</definedName>
    <definedName name="Месяц">#REF!</definedName>
    <definedName name="неурагшнркаор" localSheetId="12">#REF!,#REF!</definedName>
    <definedName name="неурагшнркаор" localSheetId="7">#REF!,#REF!</definedName>
    <definedName name="неурагшнркаор" localSheetId="8">#REF!,#REF!</definedName>
    <definedName name="неурагшнркаор" localSheetId="10">#REF!,#REF!</definedName>
    <definedName name="неурагшнркаор" localSheetId="11">#REF!,#REF!</definedName>
    <definedName name="неурагшнркаор">#REF!,#REF!</definedName>
    <definedName name="ннн" localSheetId="12">#REF!</definedName>
    <definedName name="ннн" localSheetId="7">#REF!</definedName>
    <definedName name="ннн" localSheetId="8">#REF!</definedName>
    <definedName name="ннн" localSheetId="9">#REF!</definedName>
    <definedName name="ннн" localSheetId="10">#REF!</definedName>
    <definedName name="ннн" localSheetId="11">#REF!</definedName>
    <definedName name="ннн" localSheetId="14">#REF!</definedName>
    <definedName name="ннн" localSheetId="4">#REF!</definedName>
    <definedName name="ннн">#REF!</definedName>
    <definedName name="новая" localSheetId="12">#REF!</definedName>
    <definedName name="новая" localSheetId="7">#REF!</definedName>
    <definedName name="новая" localSheetId="8">#REF!</definedName>
    <definedName name="новая" localSheetId="9">#REF!</definedName>
    <definedName name="новая" localSheetId="10">#REF!</definedName>
    <definedName name="новая" localSheetId="11">#REF!</definedName>
    <definedName name="новая" localSheetId="14">#REF!</definedName>
    <definedName name="новая" localSheetId="17">#REF!</definedName>
    <definedName name="новая" localSheetId="3">#REF!</definedName>
    <definedName name="новая" localSheetId="4">#REF!</definedName>
    <definedName name="новая" localSheetId="1">#REF!</definedName>
    <definedName name="новая" localSheetId="2">#REF!</definedName>
    <definedName name="новая" localSheetId="0">#REF!</definedName>
    <definedName name="новая">#REF!</definedName>
    <definedName name="новьда" localSheetId="12">#REF!</definedName>
    <definedName name="новьда" localSheetId="7">#REF!</definedName>
    <definedName name="новьда" localSheetId="8">#REF!</definedName>
    <definedName name="новьда" localSheetId="9">#REF!</definedName>
    <definedName name="новьда" localSheetId="10">#REF!</definedName>
    <definedName name="новьда" localSheetId="11">#REF!</definedName>
    <definedName name="новьда" localSheetId="14">#REF!</definedName>
    <definedName name="новьда" localSheetId="17">#REF!</definedName>
    <definedName name="новьда" localSheetId="3">#REF!</definedName>
    <definedName name="новьда" localSheetId="4">#REF!</definedName>
    <definedName name="новьда" localSheetId="1">#REF!</definedName>
    <definedName name="новьда" localSheetId="2">#REF!</definedName>
    <definedName name="новьда" localSheetId="0">#REF!</definedName>
    <definedName name="новьда">#REF!</definedName>
    <definedName name="о" localSheetId="12">#REF!</definedName>
    <definedName name="о" localSheetId="7">#REF!</definedName>
    <definedName name="о" localSheetId="8">#REF!</definedName>
    <definedName name="о" localSheetId="9">#REF!</definedName>
    <definedName name="о" localSheetId="10">#REF!</definedName>
    <definedName name="о" localSheetId="11">#REF!</definedName>
    <definedName name="о" localSheetId="14">#REF!</definedName>
    <definedName name="о" localSheetId="17">#REF!</definedName>
    <definedName name="о" localSheetId="3">#REF!</definedName>
    <definedName name="о" localSheetId="4">#REF!</definedName>
    <definedName name="о" localSheetId="1">#REF!</definedName>
    <definedName name="о" localSheetId="2">#REF!</definedName>
    <definedName name="о" localSheetId="0">#REF!</definedName>
    <definedName name="о">#REF!</definedName>
    <definedName name="о56" localSheetId="12">#REF!</definedName>
    <definedName name="о56" localSheetId="7">#REF!</definedName>
    <definedName name="о56" localSheetId="8">#REF!</definedName>
    <definedName name="о56" localSheetId="9">#REF!</definedName>
    <definedName name="о56" localSheetId="10">#REF!</definedName>
    <definedName name="о56" localSheetId="11">#REF!</definedName>
    <definedName name="о56" localSheetId="4">#REF!</definedName>
    <definedName name="о56" localSheetId="1">#REF!</definedName>
    <definedName name="о56" localSheetId="2">#REF!</definedName>
    <definedName name="о56">#REF!</definedName>
    <definedName name="_xlnm.Print_Area" localSheetId="12">'2 (2025)'!$A$1:$J$811</definedName>
    <definedName name="_xlnm.Print_Area" localSheetId="5">'4 (2025)'!$A$1:$J$1176</definedName>
    <definedName name="_xlnm.Print_Area" localSheetId="7">'4 (2026)'!$A$1:$J$957</definedName>
    <definedName name="_xlnm.Print_Area" localSheetId="8">'4 (2027)'!$A$1:$J$957</definedName>
    <definedName name="_xlnm.Print_Area" localSheetId="9">'5 (2025)'!$A$1:$G$283</definedName>
    <definedName name="_xlnm.Print_Area" localSheetId="10">'5 (2026)'!$A$1:$G$282</definedName>
    <definedName name="_xlnm.Print_Area" localSheetId="11">'5 (2027)'!$A$1:$G$281</definedName>
    <definedName name="_xlnm.Print_Area" localSheetId="14">Аналитика!$A$38:$I$57</definedName>
    <definedName name="_xlnm.Print_Area" localSheetId="16">КП!$A$1:$S$177</definedName>
    <definedName name="_xlnm.Print_Area" localSheetId="17">'КП Коммуналка '!$A$1:$T$40</definedName>
    <definedName name="_xlnm.Print_Area" localSheetId="4">'Остатки 2024'!$A$1:$J$649</definedName>
    <definedName name="_xlnm.Print_Area" localSheetId="18">ПГ!$B$1:$DH$111</definedName>
    <definedName name="_xlnm.Print_Area" localSheetId="1">Р1!$A$1:$H$166</definedName>
    <definedName name="_xlnm.Print_Area" localSheetId="2">Р2!$A$1:$DA$95</definedName>
    <definedName name="_xlnm.Print_Area" localSheetId="0">Тит.лист!$A$1:$K$41</definedName>
    <definedName name="ОК" localSheetId="12">#REF!</definedName>
    <definedName name="ОК" localSheetId="7">#REF!</definedName>
    <definedName name="ОК" localSheetId="8">#REF!</definedName>
    <definedName name="ОК" localSheetId="9">#REF!</definedName>
    <definedName name="ОК" localSheetId="10">#REF!</definedName>
    <definedName name="ОК" localSheetId="11">#REF!</definedName>
    <definedName name="ОК" localSheetId="14">#REF!</definedName>
    <definedName name="ОК" localSheetId="4">#REF!</definedName>
    <definedName name="ОК">#REF!</definedName>
    <definedName name="ОК_к" localSheetId="12">[14]КОНТРОЛЬ!$D$3:$D$55</definedName>
    <definedName name="ОК_к" localSheetId="9">#REF!</definedName>
    <definedName name="ОК_к" localSheetId="10">#REF!</definedName>
    <definedName name="ОК_к" localSheetId="11">#REF!</definedName>
    <definedName name="ОК_к" localSheetId="14">#REF!</definedName>
    <definedName name="ОК_к" localSheetId="3">#REF!</definedName>
    <definedName name="ОК_к" localSheetId="1">[15]КОНТРОЛЬ!$D$3:$D$55</definedName>
    <definedName name="ОК_к" localSheetId="2">[15]КОНТРОЛЬ!$D$3:$D$55</definedName>
    <definedName name="ОК_к">[16]КОНТРОЛЬ!$D$3:$D$55</definedName>
    <definedName name="ол" localSheetId="3">[17]Учителя!$A$1:$B$65510,[17]Учителя!$A$13:$IV$15</definedName>
    <definedName name="ол">[17]Учителя!$A$1:$B$65510,[17]Учителя!$13:$15</definedName>
    <definedName name="ооо" localSheetId="12">#REF!,#REF!</definedName>
    <definedName name="ооо" localSheetId="7">#REF!,#REF!</definedName>
    <definedName name="ооо" localSheetId="8">#REF!,#REF!</definedName>
    <definedName name="ооо" localSheetId="9">#REF!,#REF!</definedName>
    <definedName name="ооо" localSheetId="10">#REF!,#REF!</definedName>
    <definedName name="ооо" localSheetId="11">#REF!,#REF!</definedName>
    <definedName name="ооо" localSheetId="4">#REF!,#REF!</definedName>
    <definedName name="ооо" localSheetId="1">#REF!,#REF!</definedName>
    <definedName name="ооо" localSheetId="2">#REF!,#REF!</definedName>
    <definedName name="ооо">#REF!,#REF!</definedName>
    <definedName name="ор" localSheetId="12">#REF!,#REF!</definedName>
    <definedName name="ор" localSheetId="7">#REF!,#REF!</definedName>
    <definedName name="ор" localSheetId="8">#REF!,#REF!</definedName>
    <definedName name="ор" localSheetId="9">#REF!,#REF!</definedName>
    <definedName name="ор" localSheetId="10">#REF!,#REF!</definedName>
    <definedName name="ор" localSheetId="11">#REF!,#REF!</definedName>
    <definedName name="ор" localSheetId="14">#REF!,#REF!</definedName>
    <definedName name="ор" localSheetId="17">#REF!,#REF!</definedName>
    <definedName name="ор" localSheetId="3">#REF!,#REF!</definedName>
    <definedName name="ор" localSheetId="4">#REF!,#REF!</definedName>
    <definedName name="ор" localSheetId="1">#REF!,#REF!</definedName>
    <definedName name="ор" localSheetId="2">#REF!,#REF!</definedName>
    <definedName name="ор" localSheetId="0">#REF!,#REF!</definedName>
    <definedName name="ор">#REF!,#REF!</definedName>
    <definedName name="орт" localSheetId="12">#REF!</definedName>
    <definedName name="орт" localSheetId="7">#REF!</definedName>
    <definedName name="орт" localSheetId="8">#REF!</definedName>
    <definedName name="орт" localSheetId="9">#REF!</definedName>
    <definedName name="орт" localSheetId="10">#REF!</definedName>
    <definedName name="орт" localSheetId="11">#REF!</definedName>
    <definedName name="орт" localSheetId="14">#REF!</definedName>
    <definedName name="орт" localSheetId="17">#REF!</definedName>
    <definedName name="орт" localSheetId="3">#REF!</definedName>
    <definedName name="орт" localSheetId="4">#REF!</definedName>
    <definedName name="орт" localSheetId="1">#REF!</definedName>
    <definedName name="орт" localSheetId="2">#REF!</definedName>
    <definedName name="орт" localSheetId="0">#REF!</definedName>
    <definedName name="орт">#REF!</definedName>
    <definedName name="ос26" localSheetId="12">#REF!,#REF!</definedName>
    <definedName name="ос26" localSheetId="7">#REF!,#REF!</definedName>
    <definedName name="ос26" localSheetId="8">#REF!,#REF!</definedName>
    <definedName name="ос26" localSheetId="9">#REF!,#REF!</definedName>
    <definedName name="ос26" localSheetId="10">#REF!,#REF!</definedName>
    <definedName name="ос26" localSheetId="11">#REF!,#REF!</definedName>
    <definedName name="ос26" localSheetId="4">#REF!,#REF!</definedName>
    <definedName name="ос26" localSheetId="1">#REF!,#REF!</definedName>
    <definedName name="ос26" localSheetId="2">#REF!,#REF!</definedName>
    <definedName name="ос26">#REF!,#REF!</definedName>
    <definedName name="Основание_закупок" localSheetId="12">[14]ДАННЫЕ!$H$2:$H$10</definedName>
    <definedName name="Основание_закупок" localSheetId="9">#REF!</definedName>
    <definedName name="Основание_закупок" localSheetId="10">#REF!</definedName>
    <definedName name="Основание_закупок" localSheetId="11">#REF!</definedName>
    <definedName name="Основание_закупок" localSheetId="14">#REF!</definedName>
    <definedName name="Основание_закупок" localSheetId="3">#REF!</definedName>
    <definedName name="Основание_закупок" localSheetId="1">[15]ДАННЫЕ!$H$2:$H$10</definedName>
    <definedName name="Основание_закупок" localSheetId="2">[15]ДАННЫЕ!$H$2:$H$10</definedName>
    <definedName name="Основание_закупок">[16]ДАННЫЕ!$H$2:$H$10</definedName>
    <definedName name="ост" localSheetId="12">#REF!,#REF!</definedName>
    <definedName name="ост" localSheetId="7">#REF!,#REF!</definedName>
    <definedName name="ост" localSheetId="8">#REF!,#REF!</definedName>
    <definedName name="ост" localSheetId="9">#REF!,#REF!</definedName>
    <definedName name="ост" localSheetId="10">#REF!,#REF!</definedName>
    <definedName name="ост" localSheetId="11">#REF!,#REF!</definedName>
    <definedName name="ост" localSheetId="4">#REF!,#REF!</definedName>
    <definedName name="ост" localSheetId="1">#REF!,#REF!</definedName>
    <definedName name="ост" localSheetId="2">#REF!,#REF!</definedName>
    <definedName name="ост">#REF!,#REF!</definedName>
    <definedName name="Остатки" localSheetId="12">#REF!,#REF!</definedName>
    <definedName name="Остатки" localSheetId="7">#REF!,#REF!</definedName>
    <definedName name="Остатки" localSheetId="8">#REF!,#REF!</definedName>
    <definedName name="Остатки" localSheetId="9">#REF!,#REF!</definedName>
    <definedName name="Остатки" localSheetId="10">#REF!,#REF!</definedName>
    <definedName name="Остатки" localSheetId="11">#REF!,#REF!</definedName>
    <definedName name="Остатки" localSheetId="14">#REF!,#REF!</definedName>
    <definedName name="Остатки" localSheetId="3">#REF!,#REF!</definedName>
    <definedName name="Остатки" localSheetId="4">#REF!,#REF!</definedName>
    <definedName name="Остатки" localSheetId="1">#REF!,#REF!</definedName>
    <definedName name="Остатки" localSheetId="2">#REF!,#REF!</definedName>
    <definedName name="Остатки">#REF!,#REF!</definedName>
    <definedName name="отлр" localSheetId="12">#REF!</definedName>
    <definedName name="отлр" localSheetId="7">#REF!</definedName>
    <definedName name="отлр" localSheetId="8">#REF!</definedName>
    <definedName name="отлр" localSheetId="9">#REF!</definedName>
    <definedName name="отлр" localSheetId="10">#REF!</definedName>
    <definedName name="отлр" localSheetId="11">#REF!</definedName>
    <definedName name="отлр" localSheetId="14">#REF!</definedName>
    <definedName name="отлр" localSheetId="17">#REF!</definedName>
    <definedName name="отлр" localSheetId="3">#REF!</definedName>
    <definedName name="отлр" localSheetId="4">#REF!</definedName>
    <definedName name="отлр" localSheetId="1">#REF!</definedName>
    <definedName name="отлр" localSheetId="2">#REF!</definedName>
    <definedName name="отлр" localSheetId="0">#REF!</definedName>
    <definedName name="отлр">#REF!</definedName>
    <definedName name="п_14" localSheetId="12">#REF!</definedName>
    <definedName name="п_14" localSheetId="7">#REF!</definedName>
    <definedName name="п_14" localSheetId="8">#REF!</definedName>
    <definedName name="п_14" localSheetId="9">#REF!</definedName>
    <definedName name="п_14" localSheetId="10">#REF!</definedName>
    <definedName name="п_14" localSheetId="11">#REF!</definedName>
    <definedName name="п_14" localSheetId="14">#REF!</definedName>
    <definedName name="п_14" localSheetId="4">#REF!</definedName>
    <definedName name="п_14">#REF!</definedName>
    <definedName name="п_29" localSheetId="12">#REF!</definedName>
    <definedName name="п_29" localSheetId="7">#REF!</definedName>
    <definedName name="п_29" localSheetId="8">#REF!</definedName>
    <definedName name="п_29" localSheetId="9">#REF!</definedName>
    <definedName name="п_29" localSheetId="10">#REF!</definedName>
    <definedName name="п_29" localSheetId="11">#REF!</definedName>
    <definedName name="п_29" localSheetId="14">#REF!</definedName>
    <definedName name="п_29" localSheetId="4">#REF!</definedName>
    <definedName name="п_29">#REF!</definedName>
    <definedName name="п_4" localSheetId="12">#REF!</definedName>
    <definedName name="п_4" localSheetId="7">#REF!</definedName>
    <definedName name="п_4" localSheetId="8">#REF!</definedName>
    <definedName name="п_4" localSheetId="9">#REF!</definedName>
    <definedName name="п_4" localSheetId="10">#REF!</definedName>
    <definedName name="п_4" localSheetId="11">#REF!</definedName>
    <definedName name="п_4" localSheetId="14">#REF!</definedName>
    <definedName name="п_4" localSheetId="4">#REF!</definedName>
    <definedName name="п_4">#REF!</definedName>
    <definedName name="п_5" localSheetId="12">#REF!</definedName>
    <definedName name="п_5" localSheetId="7">#REF!</definedName>
    <definedName name="п_5" localSheetId="8">#REF!</definedName>
    <definedName name="п_5" localSheetId="9">#REF!</definedName>
    <definedName name="п_5" localSheetId="10">#REF!</definedName>
    <definedName name="п_5" localSheetId="11">#REF!</definedName>
    <definedName name="п_5" localSheetId="14">#REF!</definedName>
    <definedName name="п_5" localSheetId="4">#REF!</definedName>
    <definedName name="п_5">#REF!</definedName>
    <definedName name="п_8" localSheetId="12">#REF!</definedName>
    <definedName name="п_8" localSheetId="7">#REF!</definedName>
    <definedName name="п_8" localSheetId="8">#REF!</definedName>
    <definedName name="п_8" localSheetId="9">#REF!</definedName>
    <definedName name="п_8" localSheetId="10">#REF!</definedName>
    <definedName name="п_8" localSheetId="11">#REF!</definedName>
    <definedName name="п_8" localSheetId="14">#REF!</definedName>
    <definedName name="п_8" localSheetId="4">#REF!</definedName>
    <definedName name="п_8">#REF!</definedName>
    <definedName name="пп" localSheetId="12">#REF!</definedName>
    <definedName name="пп" localSheetId="7">#REF!</definedName>
    <definedName name="пп" localSheetId="8">#REF!</definedName>
    <definedName name="пп" localSheetId="10">#REF!</definedName>
    <definedName name="пп" localSheetId="11">#REF!</definedName>
    <definedName name="пп">#REF!</definedName>
    <definedName name="пппп" localSheetId="12">#REF!</definedName>
    <definedName name="пппп" localSheetId="7">#REF!</definedName>
    <definedName name="пппп" localSheetId="8">#REF!</definedName>
    <definedName name="пппп" localSheetId="9">#REF!</definedName>
    <definedName name="пппп" localSheetId="10">#REF!</definedName>
    <definedName name="пппп" localSheetId="11">#REF!</definedName>
    <definedName name="пппп" localSheetId="14">#REF!</definedName>
    <definedName name="пппп" localSheetId="17">#REF!</definedName>
    <definedName name="пппп" localSheetId="3">#REF!</definedName>
    <definedName name="пппп" localSheetId="4">#REF!</definedName>
    <definedName name="пппп" localSheetId="1">#REF!</definedName>
    <definedName name="пппп" localSheetId="2">#REF!</definedName>
    <definedName name="пппп" localSheetId="0">#REF!</definedName>
    <definedName name="пппп">#REF!</definedName>
    <definedName name="пппп1" localSheetId="12">#REF!</definedName>
    <definedName name="пппп1" localSheetId="7">#REF!</definedName>
    <definedName name="пппп1" localSheetId="8">#REF!</definedName>
    <definedName name="пппп1" localSheetId="9">#REF!</definedName>
    <definedName name="пппп1" localSheetId="10">#REF!</definedName>
    <definedName name="пппп1" localSheetId="11">#REF!</definedName>
    <definedName name="пппп1" localSheetId="14">#REF!</definedName>
    <definedName name="пппп1" localSheetId="17">#REF!</definedName>
    <definedName name="пппп1" localSheetId="3">#REF!</definedName>
    <definedName name="пппп1" localSheetId="4">#REF!</definedName>
    <definedName name="пппп1" localSheetId="1">#REF!</definedName>
    <definedName name="пппп1" localSheetId="2">#REF!</definedName>
    <definedName name="пппп1" localSheetId="0">#REF!</definedName>
    <definedName name="пппп1">#REF!</definedName>
    <definedName name="пппппппппппппппппппппппппппппппп" localSheetId="12">#REF!</definedName>
    <definedName name="пппппппппппппппппппппппппппппппп" localSheetId="7">#REF!</definedName>
    <definedName name="пппппппппппппппппппппппппппппппп" localSheetId="8">#REF!</definedName>
    <definedName name="пппппппппппппппппппппппппппппппп" localSheetId="9">#REF!</definedName>
    <definedName name="пппппппппппппппппппппппппппппппп" localSheetId="10">#REF!</definedName>
    <definedName name="пппппппппппппппппппппппппппппппп" localSheetId="11">#REF!</definedName>
    <definedName name="пппппппппппппппппппппппппппппппп" localSheetId="14">#REF!</definedName>
    <definedName name="пппппппппппппппппппппппппппппппп" localSheetId="17">#REF!</definedName>
    <definedName name="пппппппппппппппппппппппппппппппп" localSheetId="3">#REF!</definedName>
    <definedName name="пппппппппппппппппппппппппппппппп" localSheetId="4">#REF!</definedName>
    <definedName name="пппппппппппппппппппппппппппппппп" localSheetId="1">#REF!</definedName>
    <definedName name="пппппппппппппппппппппппппппппппп" localSheetId="2">#REF!</definedName>
    <definedName name="пппппппппппппппппппппппппппппппп" localSheetId="0">#REF!</definedName>
    <definedName name="пппппппппппппппппппппппппппппппп">#REF!</definedName>
    <definedName name="пр" localSheetId="12">#REF!</definedName>
    <definedName name="пр" localSheetId="7">#REF!</definedName>
    <definedName name="пр" localSheetId="8">#REF!</definedName>
    <definedName name="пр" localSheetId="9">#REF!</definedName>
    <definedName name="пр" localSheetId="10">#REF!</definedName>
    <definedName name="пр" localSheetId="11">#REF!</definedName>
    <definedName name="пр" localSheetId="14">#REF!</definedName>
    <definedName name="пр" localSheetId="17">#REF!</definedName>
    <definedName name="пр" localSheetId="3">#REF!</definedName>
    <definedName name="пр" localSheetId="4">#REF!</definedName>
    <definedName name="пр" localSheetId="1">#REF!</definedName>
    <definedName name="пр" localSheetId="2">#REF!</definedName>
    <definedName name="пр" localSheetId="0">#REF!</definedName>
    <definedName name="пр">#REF!</definedName>
    <definedName name="прар" localSheetId="12">#REF!,#REF!</definedName>
    <definedName name="прар" localSheetId="7">#REF!,#REF!</definedName>
    <definedName name="прар" localSheetId="8">#REF!,#REF!</definedName>
    <definedName name="прар" localSheetId="9">#REF!,#REF!</definedName>
    <definedName name="прар" localSheetId="10">#REF!,#REF!</definedName>
    <definedName name="прар" localSheetId="11">#REF!,#REF!</definedName>
    <definedName name="прар" localSheetId="14">#REF!,#REF!</definedName>
    <definedName name="прар" localSheetId="3">#REF!,#REF!</definedName>
    <definedName name="прар" localSheetId="4">#REF!,#REF!</definedName>
    <definedName name="прар" localSheetId="1">#REF!,#REF!</definedName>
    <definedName name="прар" localSheetId="2">#REF!,#REF!</definedName>
    <definedName name="прар">#REF!,#REF!</definedName>
    <definedName name="про" localSheetId="12">#REF!</definedName>
    <definedName name="про" localSheetId="7">#REF!</definedName>
    <definedName name="про" localSheetId="8">#REF!</definedName>
    <definedName name="про" localSheetId="9">#REF!</definedName>
    <definedName name="про" localSheetId="10">#REF!</definedName>
    <definedName name="про" localSheetId="11">#REF!</definedName>
    <definedName name="про" localSheetId="14">#REF!</definedName>
    <definedName name="про" localSheetId="17">#REF!</definedName>
    <definedName name="про" localSheetId="3">#REF!</definedName>
    <definedName name="про" localSheetId="4">#REF!</definedName>
    <definedName name="про" localSheetId="1">#REF!</definedName>
    <definedName name="про" localSheetId="2">#REF!</definedName>
    <definedName name="про" localSheetId="0">#REF!</definedName>
    <definedName name="про">#REF!</definedName>
    <definedName name="р" localSheetId="12">#REF!</definedName>
    <definedName name="р" localSheetId="7">#REF!</definedName>
    <definedName name="р" localSheetId="8">#REF!</definedName>
    <definedName name="р" localSheetId="10">#REF!</definedName>
    <definedName name="р" localSheetId="11">#REF!</definedName>
    <definedName name="р">#REF!</definedName>
    <definedName name="р3" localSheetId="12">#REF!</definedName>
    <definedName name="р3" localSheetId="7">#REF!</definedName>
    <definedName name="р3" localSheetId="8">#REF!</definedName>
    <definedName name="р3" localSheetId="9">#REF!</definedName>
    <definedName name="р3" localSheetId="10">#REF!</definedName>
    <definedName name="р3" localSheetId="11">#REF!</definedName>
    <definedName name="р3" localSheetId="14">#REF!</definedName>
    <definedName name="р3" localSheetId="17">#REF!</definedName>
    <definedName name="р3" localSheetId="3">#REF!</definedName>
    <definedName name="р3" localSheetId="4">#REF!</definedName>
    <definedName name="р3" localSheetId="1">#REF!</definedName>
    <definedName name="р3" localSheetId="2">#REF!</definedName>
    <definedName name="р3" localSheetId="0">#REF!</definedName>
    <definedName name="р3">#REF!</definedName>
    <definedName name="ра" localSheetId="12">#REF!,#REF!</definedName>
    <definedName name="ра" localSheetId="7">#REF!,#REF!</definedName>
    <definedName name="ра" localSheetId="8">#REF!,#REF!</definedName>
    <definedName name="ра" localSheetId="9">#REF!,#REF!</definedName>
    <definedName name="ра" localSheetId="10">#REF!,#REF!</definedName>
    <definedName name="ра" localSheetId="11">#REF!,#REF!</definedName>
    <definedName name="ра" localSheetId="14">#REF!,#REF!</definedName>
    <definedName name="ра" localSheetId="17">#REF!,#REF!</definedName>
    <definedName name="ра" localSheetId="3">#REF!,#REF!</definedName>
    <definedName name="ра" localSheetId="4">#REF!,#REF!</definedName>
    <definedName name="ра" localSheetId="1">#REF!,#REF!</definedName>
    <definedName name="ра" localSheetId="2">#REF!,#REF!</definedName>
    <definedName name="ра" localSheetId="0">#REF!,#REF!</definedName>
    <definedName name="ра">#REF!,#REF!</definedName>
    <definedName name="раздел" localSheetId="12">#REF!</definedName>
    <definedName name="раздел" localSheetId="7">#REF!</definedName>
    <definedName name="раздел" localSheetId="8">#REF!</definedName>
    <definedName name="раздел" localSheetId="9">#REF!</definedName>
    <definedName name="раздел" localSheetId="10">#REF!</definedName>
    <definedName name="раздел" localSheetId="11">#REF!</definedName>
    <definedName name="раздел" localSheetId="14">#REF!</definedName>
    <definedName name="раздел" localSheetId="4">#REF!</definedName>
    <definedName name="раздел">#REF!</definedName>
    <definedName name="рарарарар" localSheetId="12">#REF!</definedName>
    <definedName name="рарарарар" localSheetId="7">#REF!</definedName>
    <definedName name="рарарарар" localSheetId="8">#REF!</definedName>
    <definedName name="рарарарар" localSheetId="9">#REF!</definedName>
    <definedName name="рарарарар" localSheetId="10">#REF!</definedName>
    <definedName name="рарарарар" localSheetId="11">#REF!</definedName>
    <definedName name="рарарарар" localSheetId="14">#REF!</definedName>
    <definedName name="рарарарар" localSheetId="17">#REF!</definedName>
    <definedName name="рарарарар" localSheetId="3">#REF!</definedName>
    <definedName name="рарарарар" localSheetId="4">#REF!</definedName>
    <definedName name="рарарарар" localSheetId="1">#REF!</definedName>
    <definedName name="рарарарар" localSheetId="2">#REF!</definedName>
    <definedName name="рарарарар" localSheetId="0">#REF!</definedName>
    <definedName name="рарарарар">#REF!</definedName>
    <definedName name="реест" localSheetId="12">#REF!</definedName>
    <definedName name="реест" localSheetId="7">#REF!</definedName>
    <definedName name="реест" localSheetId="8">#REF!</definedName>
    <definedName name="реест" localSheetId="9">#REF!</definedName>
    <definedName name="реест" localSheetId="10">#REF!</definedName>
    <definedName name="реест" localSheetId="11">#REF!</definedName>
    <definedName name="реест" localSheetId="14">#REF!</definedName>
    <definedName name="реест" localSheetId="17">#REF!</definedName>
    <definedName name="реест" localSheetId="3">#REF!</definedName>
    <definedName name="реест" localSheetId="4">#REF!</definedName>
    <definedName name="реест" localSheetId="1">#REF!</definedName>
    <definedName name="реест" localSheetId="2">#REF!</definedName>
    <definedName name="реест" localSheetId="0">#REF!</definedName>
    <definedName name="реест">#REF!</definedName>
    <definedName name="реестр" localSheetId="12">#REF!</definedName>
    <definedName name="реестр" localSheetId="7">#REF!</definedName>
    <definedName name="реестр" localSheetId="8">#REF!</definedName>
    <definedName name="реестр" localSheetId="9">#REF!</definedName>
    <definedName name="реестр" localSheetId="10">#REF!</definedName>
    <definedName name="реестр" localSheetId="11">#REF!</definedName>
    <definedName name="реестр" localSheetId="14">#REF!</definedName>
    <definedName name="реестр" localSheetId="17">#REF!</definedName>
    <definedName name="реестр" localSheetId="3">#REF!</definedName>
    <definedName name="реестр" localSheetId="4">#REF!</definedName>
    <definedName name="реестр" localSheetId="1">#REF!</definedName>
    <definedName name="реестр" localSheetId="2">#REF!</definedName>
    <definedName name="реестр" localSheetId="0">#REF!</definedName>
    <definedName name="реестр">#REF!</definedName>
    <definedName name="риолдорл" localSheetId="12">#REF!</definedName>
    <definedName name="риолдорл" localSheetId="7">#REF!</definedName>
    <definedName name="риолдорл" localSheetId="8">#REF!</definedName>
    <definedName name="риолдорл" localSheetId="9">#REF!</definedName>
    <definedName name="риолдорл" localSheetId="10">#REF!</definedName>
    <definedName name="риолдорл" localSheetId="11">#REF!</definedName>
    <definedName name="риолдорл" localSheetId="14">#REF!</definedName>
    <definedName name="риолдорл" localSheetId="17">#REF!</definedName>
    <definedName name="риолдорл" localSheetId="3">#REF!</definedName>
    <definedName name="риолдорл" localSheetId="4">#REF!</definedName>
    <definedName name="риолдорл" localSheetId="1">#REF!</definedName>
    <definedName name="риолдорл" localSheetId="2">#REF!</definedName>
    <definedName name="риолдорл" localSheetId="0">#REF!</definedName>
    <definedName name="риолдорл">#REF!</definedName>
    <definedName name="ро" localSheetId="12">#REF!,#REF!</definedName>
    <definedName name="ро" localSheetId="7">#REF!,#REF!</definedName>
    <definedName name="ро" localSheetId="8">#REF!,#REF!</definedName>
    <definedName name="ро" localSheetId="9">#REF!,#REF!</definedName>
    <definedName name="ро" localSheetId="10">#REF!,#REF!</definedName>
    <definedName name="ро" localSheetId="11">#REF!,#REF!</definedName>
    <definedName name="ро" localSheetId="14">#REF!,#REF!</definedName>
    <definedName name="ро" localSheetId="17">#REF!,#REF!</definedName>
    <definedName name="ро" localSheetId="3">#REF!,#REF!</definedName>
    <definedName name="ро" localSheetId="4">#REF!,#REF!</definedName>
    <definedName name="ро" localSheetId="1">#REF!,#REF!</definedName>
    <definedName name="ро" localSheetId="2">#REF!,#REF!</definedName>
    <definedName name="ро" localSheetId="0">#REF!,#REF!</definedName>
    <definedName name="ро">#REF!,#REF!</definedName>
    <definedName name="роеси" localSheetId="12">#REF!</definedName>
    <definedName name="роеси" localSheetId="7">#REF!</definedName>
    <definedName name="роеси" localSheetId="8">#REF!</definedName>
    <definedName name="роеси" localSheetId="9">#REF!</definedName>
    <definedName name="роеси" localSheetId="10">#REF!</definedName>
    <definedName name="роеси" localSheetId="11">#REF!</definedName>
    <definedName name="роеси" localSheetId="14">#REF!</definedName>
    <definedName name="роеси" localSheetId="4">#REF!</definedName>
    <definedName name="роеси">#REF!</definedName>
    <definedName name="рпл" localSheetId="12">#REF!</definedName>
    <definedName name="рпл" localSheetId="7">#REF!</definedName>
    <definedName name="рпл" localSheetId="8">#REF!</definedName>
    <definedName name="рпл" localSheetId="9">#REF!</definedName>
    <definedName name="рпл" localSheetId="10">#REF!</definedName>
    <definedName name="рпл" localSheetId="11">#REF!</definedName>
    <definedName name="рпл" localSheetId="14">#REF!</definedName>
    <definedName name="рпл" localSheetId="17">#REF!</definedName>
    <definedName name="рпл" localSheetId="3">#REF!</definedName>
    <definedName name="рпл" localSheetId="4">#REF!</definedName>
    <definedName name="рпл" localSheetId="1">#REF!</definedName>
    <definedName name="рпл" localSheetId="2">#REF!</definedName>
    <definedName name="рпл" localSheetId="0">#REF!</definedName>
    <definedName name="рпл">#REF!</definedName>
    <definedName name="рпокычефгнукн" localSheetId="12">#REF!</definedName>
    <definedName name="рпокычефгнукн" localSheetId="7">#REF!</definedName>
    <definedName name="рпокычефгнукн" localSheetId="8">#REF!</definedName>
    <definedName name="рпокычефгнукн" localSheetId="9">#REF!</definedName>
    <definedName name="рпокычефгнукн" localSheetId="10">#REF!</definedName>
    <definedName name="рпокычефгнукн" localSheetId="11">#REF!</definedName>
    <definedName name="рпокычефгнукн" localSheetId="14">#REF!</definedName>
    <definedName name="рпокычефгнукн" localSheetId="17">#REF!</definedName>
    <definedName name="рпокычефгнукн" localSheetId="3">#REF!</definedName>
    <definedName name="рпокычефгнукн" localSheetId="4">#REF!</definedName>
    <definedName name="рпокычефгнукн" localSheetId="1">#REF!</definedName>
    <definedName name="рпокычефгнукн" localSheetId="2">#REF!</definedName>
    <definedName name="рпокычефгнукн" localSheetId="0">#REF!</definedName>
    <definedName name="рпокычефгнукн">#REF!</definedName>
    <definedName name="сош1" localSheetId="12">#REF!,#REF!</definedName>
    <definedName name="сош1" localSheetId="7">#REF!,#REF!</definedName>
    <definedName name="сош1" localSheetId="8">#REF!,#REF!</definedName>
    <definedName name="сош1" localSheetId="9">#REF!,#REF!</definedName>
    <definedName name="сош1" localSheetId="10">#REF!,#REF!</definedName>
    <definedName name="сош1" localSheetId="11">#REF!,#REF!</definedName>
    <definedName name="сош1" localSheetId="14">#REF!,#REF!</definedName>
    <definedName name="сош1" localSheetId="4">#REF!,#REF!</definedName>
    <definedName name="сош1">#REF!,#REF!</definedName>
    <definedName name="сош26" localSheetId="12">#REF!,#REF!</definedName>
    <definedName name="сош26" localSheetId="7">#REF!,#REF!</definedName>
    <definedName name="сош26" localSheetId="8">#REF!,#REF!</definedName>
    <definedName name="сош26" localSheetId="9">#REF!,#REF!</definedName>
    <definedName name="сош26" localSheetId="10">#REF!,#REF!</definedName>
    <definedName name="сош26" localSheetId="11">#REF!,#REF!</definedName>
    <definedName name="сош26" localSheetId="14">#REF!,#REF!</definedName>
    <definedName name="сош26" localSheetId="17">#REF!,#REF!</definedName>
    <definedName name="сош26" localSheetId="3">#REF!,#REF!</definedName>
    <definedName name="сош26" localSheetId="4">#REF!,#REF!</definedName>
    <definedName name="сош26" localSheetId="1">#REF!,#REF!</definedName>
    <definedName name="сош26" localSheetId="2">#REF!,#REF!</definedName>
    <definedName name="сош26" localSheetId="0">#REF!,#REF!</definedName>
    <definedName name="сош26">#REF!,#REF!</definedName>
    <definedName name="ссс" localSheetId="12">#REF!</definedName>
    <definedName name="ссс" localSheetId="7">#REF!</definedName>
    <definedName name="ссс" localSheetId="8">#REF!</definedName>
    <definedName name="ссс" localSheetId="9">#REF!</definedName>
    <definedName name="ссс" localSheetId="10">#REF!</definedName>
    <definedName name="ссс" localSheetId="11">#REF!</definedName>
    <definedName name="ссс" localSheetId="14">#REF!</definedName>
    <definedName name="ссс" localSheetId="4">#REF!</definedName>
    <definedName name="ссс">#REF!</definedName>
    <definedName name="тии" localSheetId="12">#REF!</definedName>
    <definedName name="тии" localSheetId="7">#REF!</definedName>
    <definedName name="тии" localSheetId="8">#REF!</definedName>
    <definedName name="тии" localSheetId="9">#REF!</definedName>
    <definedName name="тии" localSheetId="10">#REF!</definedName>
    <definedName name="тии" localSheetId="11">#REF!</definedName>
    <definedName name="тии" localSheetId="14">#REF!</definedName>
    <definedName name="тии" localSheetId="4">#REF!</definedName>
    <definedName name="тии">#REF!</definedName>
    <definedName name="титульный" localSheetId="12">#REF!</definedName>
    <definedName name="титульный" localSheetId="7">#REF!</definedName>
    <definedName name="титульный" localSheetId="8">#REF!</definedName>
    <definedName name="титульный" localSheetId="9">#REF!</definedName>
    <definedName name="титульный" localSheetId="10">#REF!</definedName>
    <definedName name="титульный" localSheetId="11">#REF!</definedName>
    <definedName name="титульный" localSheetId="14">#REF!</definedName>
    <definedName name="титульный" localSheetId="3">#REF!</definedName>
    <definedName name="титульный" localSheetId="4">#REF!</definedName>
    <definedName name="титульный" localSheetId="1">#REF!</definedName>
    <definedName name="титульный" localSheetId="2">#REF!</definedName>
    <definedName name="титульный">#REF!</definedName>
    <definedName name="третий" localSheetId="12">#REF!,#REF!</definedName>
    <definedName name="третий" localSheetId="7">#REF!,#REF!</definedName>
    <definedName name="третий" localSheetId="8">#REF!,#REF!</definedName>
    <definedName name="третий" localSheetId="10">#REF!,#REF!</definedName>
    <definedName name="третий" localSheetId="11">#REF!,#REF!</definedName>
    <definedName name="третий">#REF!,#REF!</definedName>
    <definedName name="тт" localSheetId="12">#REF!</definedName>
    <definedName name="тт" localSheetId="7">#REF!</definedName>
    <definedName name="тт" localSheetId="8">#REF!</definedName>
    <definedName name="тт" localSheetId="9">#REF!</definedName>
    <definedName name="тт" localSheetId="10">#REF!</definedName>
    <definedName name="тт" localSheetId="11">#REF!</definedName>
    <definedName name="тт" localSheetId="14">#REF!</definedName>
    <definedName name="тт" localSheetId="17">#REF!</definedName>
    <definedName name="тт" localSheetId="3">#REF!</definedName>
    <definedName name="тт" localSheetId="4">#REF!</definedName>
    <definedName name="тт" localSheetId="1">#REF!</definedName>
    <definedName name="тт" localSheetId="2">#REF!</definedName>
    <definedName name="тт" localSheetId="0">#REF!</definedName>
    <definedName name="тт">#REF!</definedName>
    <definedName name="ттттттттттт" localSheetId="12">#REF!,#REF!</definedName>
    <definedName name="ттттттттттт" localSheetId="7">#REF!,#REF!</definedName>
    <definedName name="ттттттттттт" localSheetId="8">#REF!,#REF!</definedName>
    <definedName name="ттттттттттт" localSheetId="9">#REF!,#REF!</definedName>
    <definedName name="ттттттттттт" localSheetId="10">#REF!,#REF!</definedName>
    <definedName name="ттттттттттт" localSheetId="11">#REF!,#REF!</definedName>
    <definedName name="ттттттттттт" localSheetId="14">#REF!,#REF!</definedName>
    <definedName name="ттттттттттт" localSheetId="17">#REF!,#REF!</definedName>
    <definedName name="ттттттттттт" localSheetId="3">#REF!,#REF!</definedName>
    <definedName name="ттттттттттт" localSheetId="4">#REF!,#REF!</definedName>
    <definedName name="ттттттттттт" localSheetId="1">#REF!,#REF!</definedName>
    <definedName name="ттттттттттт" localSheetId="2">#REF!,#REF!</definedName>
    <definedName name="ттттттттттт" localSheetId="0">#REF!,#REF!</definedName>
    <definedName name="ттттттттттт">#REF!,#REF!</definedName>
    <definedName name="ФХД" localSheetId="12">#REF!</definedName>
    <definedName name="ФХД" localSheetId="7">#REF!</definedName>
    <definedName name="ФХД" localSheetId="8">#REF!</definedName>
    <definedName name="ФХД" localSheetId="9">#REF!</definedName>
    <definedName name="ФХД" localSheetId="10">#REF!</definedName>
    <definedName name="ФХД" localSheetId="11">#REF!</definedName>
    <definedName name="ФХД" localSheetId="14">#REF!</definedName>
    <definedName name="ФХД" localSheetId="17">#REF!</definedName>
    <definedName name="ФХД" localSheetId="3">#REF!</definedName>
    <definedName name="ФХД" localSheetId="4">#REF!</definedName>
    <definedName name="ФХД" localSheetId="1">#REF!</definedName>
    <definedName name="ФХД" localSheetId="2">#REF!</definedName>
    <definedName name="ФХД" localSheetId="0">#REF!</definedName>
    <definedName name="ФХД">#REF!</definedName>
    <definedName name="ххх" localSheetId="12">[18]Учителя!$A$1:$B$65512,[18]Учителя!$13:$15</definedName>
    <definedName name="ххх" localSheetId="9">[18]Учителя!$A$1:$B$65512,[18]Учителя!$13:$15</definedName>
    <definedName name="ххх" localSheetId="10">[18]Учителя!$A$1:$B$65512,[18]Учителя!$13:$15</definedName>
    <definedName name="ххх" localSheetId="11">[18]Учителя!$A$1:$B$65512,[18]Учителя!$13:$15</definedName>
    <definedName name="ххх" localSheetId="14">[18]Учителя!$A$1:$B$65512,[18]Учителя!$13:$15</definedName>
    <definedName name="ххх" localSheetId="17">[19]Учителя!$A$1:$B$65512,[19]Учителя!$13:$15</definedName>
    <definedName name="ххх" localSheetId="3">[20]Учителя!$A$1:$B$65512,[20]Учителя!$A$13:$IV$15</definedName>
    <definedName name="ххх" localSheetId="1">[21]Учителя!$A$1:$B$65512,[21]Учителя!$13:$15</definedName>
    <definedName name="ххх" localSheetId="2">[21]Учителя!$A$1:$B$65512,[21]Учителя!$13:$15</definedName>
    <definedName name="ххх">[18]Учителя!$A$1:$B$65512,[18]Учителя!$13:$15</definedName>
    <definedName name="ч" localSheetId="12">#REF!</definedName>
    <definedName name="ч" localSheetId="7">#REF!</definedName>
    <definedName name="ч" localSheetId="8">#REF!</definedName>
    <definedName name="ч" localSheetId="9">#REF!</definedName>
    <definedName name="ч" localSheetId="10">#REF!</definedName>
    <definedName name="ч" localSheetId="11">#REF!</definedName>
    <definedName name="ч" localSheetId="14">#REF!</definedName>
    <definedName name="ч" localSheetId="17">#REF!</definedName>
    <definedName name="ч" localSheetId="3">#REF!</definedName>
    <definedName name="ч" localSheetId="4">#REF!</definedName>
    <definedName name="ч" localSheetId="1">#REF!</definedName>
    <definedName name="ч" localSheetId="2">#REF!</definedName>
    <definedName name="ч" localSheetId="0">#REF!</definedName>
    <definedName name="ч">#REF!</definedName>
    <definedName name="шодорд" localSheetId="12">#REF!</definedName>
    <definedName name="шодорд" localSheetId="7">#REF!</definedName>
    <definedName name="шодорд" localSheetId="8">#REF!</definedName>
    <definedName name="шодорд" localSheetId="9">#REF!</definedName>
    <definedName name="шодорд" localSheetId="10">#REF!</definedName>
    <definedName name="шодорд" localSheetId="11">#REF!</definedName>
    <definedName name="шодорд" localSheetId="14">#REF!</definedName>
    <definedName name="шодорд" localSheetId="17">#REF!</definedName>
    <definedName name="шодорд" localSheetId="3">#REF!</definedName>
    <definedName name="шодорд" localSheetId="4">#REF!</definedName>
    <definedName name="шодорд" localSheetId="1">#REF!</definedName>
    <definedName name="шодорд" localSheetId="2">#REF!</definedName>
    <definedName name="шодорд" localSheetId="0">#REF!</definedName>
    <definedName name="шодорд">#REF!</definedName>
    <definedName name="ьтопа" localSheetId="12">#REF!</definedName>
    <definedName name="ьтопа" localSheetId="7">#REF!</definedName>
    <definedName name="ьтопа" localSheetId="8">#REF!</definedName>
    <definedName name="ьтопа" localSheetId="9">#REF!</definedName>
    <definedName name="ьтопа" localSheetId="10">#REF!</definedName>
    <definedName name="ьтопа" localSheetId="11">#REF!</definedName>
    <definedName name="ьтопа" localSheetId="14">#REF!</definedName>
    <definedName name="ьтопа" localSheetId="4">#REF!</definedName>
    <definedName name="ьтопа">#REF!</definedName>
    <definedName name="я" localSheetId="12">#REF!</definedName>
    <definedName name="я" localSheetId="7">#REF!</definedName>
    <definedName name="я" localSheetId="8">#REF!</definedName>
    <definedName name="я" localSheetId="9">#REF!</definedName>
    <definedName name="я" localSheetId="10">#REF!</definedName>
    <definedName name="я" localSheetId="11">#REF!</definedName>
    <definedName name="я" localSheetId="14">#REF!</definedName>
    <definedName name="я" localSheetId="17">#REF!</definedName>
    <definedName name="я" localSheetId="3">#REF!</definedName>
    <definedName name="я" localSheetId="4">#REF!</definedName>
    <definedName name="я" localSheetId="1">#REF!</definedName>
    <definedName name="я" localSheetId="2">#REF!</definedName>
    <definedName name="я" localSheetId="0">#REF!</definedName>
    <definedName name="я">#REF!</definedName>
  </definedNames>
  <calcPr calcId="162913" refMode="R1C1" fullPrecision="0"/>
  <customWorkbookViews>
    <customWorkbookView name="Кудашева - Личное представление" guid="{D48DDD22-50B2-4457-BF85-D480CA857DEF}" mergeInterval="0" personalView="1" xWindow="2" windowWidth="1908" windowHeight="1032" activeSheetId="4"/>
    <customWorkbookView name="Соловцова Е.В. - Личное представление" guid="{72E753B7-D2D9-4DC9-A137-A3016C33161E}" mergeInterval="0" personalView="1" maximized="1" xWindow="1" yWindow="1" windowWidth="1916" windowHeight="850" activeSheetId="4"/>
  </customWorkbookViews>
</workbook>
</file>

<file path=xl/calcChain.xml><?xml version="1.0" encoding="utf-8"?>
<calcChain xmlns="http://schemas.openxmlformats.org/spreadsheetml/2006/main">
  <c r="I703" i="4" l="1"/>
  <c r="L1" i="51" l="1"/>
  <c r="I580" i="4" l="1"/>
  <c r="G46" i="42"/>
  <c r="G47" i="42"/>
  <c r="J581" i="4"/>
  <c r="G52" i="42" l="1"/>
  <c r="F52" i="42"/>
  <c r="H51" i="42"/>
  <c r="H50" i="42"/>
  <c r="H52" i="42" l="1"/>
  <c r="F48" i="42"/>
  <c r="F53" i="42" s="1"/>
  <c r="H47" i="42"/>
  <c r="G48" i="42"/>
  <c r="G53" i="42" s="1"/>
  <c r="I1065" i="4"/>
  <c r="J907" i="4"/>
  <c r="J906" i="4"/>
  <c r="H46" i="42" l="1"/>
  <c r="H48" i="42" s="1"/>
  <c r="H53" i="42" s="1"/>
  <c r="J719" i="4"/>
  <c r="J718" i="4"/>
  <c r="J1035" i="4"/>
  <c r="J709" i="4"/>
  <c r="J710" i="4"/>
  <c r="J711" i="4"/>
  <c r="J712" i="4"/>
  <c r="J706" i="4"/>
  <c r="J707" i="4"/>
  <c r="J708" i="4"/>
  <c r="J703" i="4"/>
  <c r="J704" i="4"/>
  <c r="J705" i="4"/>
  <c r="J702" i="4"/>
  <c r="J701" i="4"/>
  <c r="J700" i="4"/>
  <c r="J699" i="4"/>
  <c r="J698" i="4"/>
  <c r="J697" i="4"/>
  <c r="J696" i="4"/>
  <c r="J695" i="4"/>
  <c r="J694" i="4"/>
  <c r="J693" i="4"/>
  <c r="J692" i="4"/>
  <c r="J676" i="4"/>
  <c r="J677" i="4"/>
  <c r="J678" i="4"/>
  <c r="J679" i="4"/>
  <c r="J680" i="4"/>
  <c r="J681" i="4"/>
  <c r="J682" i="4"/>
  <c r="J683" i="4"/>
  <c r="J684" i="4"/>
  <c r="J685" i="4"/>
  <c r="J675" i="4"/>
  <c r="J686" i="4" s="1"/>
  <c r="J587" i="4"/>
  <c r="J588" i="4" s="1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1029" i="4"/>
  <c r="J1028" i="4"/>
  <c r="J1027" i="4"/>
  <c r="J1026" i="4"/>
  <c r="J1025" i="4"/>
  <c r="J1016" i="4"/>
  <c r="J1017" i="4"/>
  <c r="J1018" i="4"/>
  <c r="J1015" i="4"/>
  <c r="J1014" i="4"/>
  <c r="J1013" i="4"/>
  <c r="J713" i="4" l="1"/>
  <c r="J1019" i="4"/>
  <c r="J1030" i="4"/>
  <c r="H1138" i="4" l="1"/>
  <c r="H1108" i="4"/>
  <c r="H1107" i="4"/>
  <c r="H1151" i="4"/>
  <c r="H1154" i="4"/>
  <c r="H270" i="4"/>
  <c r="H269" i="4"/>
  <c r="K1146" i="4"/>
  <c r="K1162" i="4" s="1"/>
  <c r="K1122" i="4"/>
  <c r="H1120" i="4"/>
  <c r="F17" i="42" l="1"/>
  <c r="G16" i="42"/>
  <c r="H16" i="42" s="1"/>
  <c r="G17" i="42" l="1"/>
  <c r="G31" i="42"/>
  <c r="F31" i="42"/>
  <c r="H30" i="42"/>
  <c r="H31" i="42" s="1"/>
  <c r="H29" i="42"/>
  <c r="G27" i="42"/>
  <c r="F27" i="42"/>
  <c r="H26" i="42"/>
  <c r="H27" i="42" s="1"/>
  <c r="H25" i="42"/>
  <c r="G23" i="42"/>
  <c r="F23" i="42"/>
  <c r="H22" i="42"/>
  <c r="J93" i="51" l="1"/>
  <c r="J639" i="51"/>
  <c r="J640" i="51" s="1"/>
  <c r="J635" i="51" s="1"/>
  <c r="I496" i="51"/>
  <c r="J141" i="51"/>
  <c r="J511" i="51"/>
  <c r="J515" i="51"/>
  <c r="J516" i="51" s="1"/>
  <c r="J505" i="51"/>
  <c r="K93" i="51" l="1"/>
  <c r="J518" i="51"/>
  <c r="J506" i="51"/>
  <c r="J508" i="51" s="1"/>
  <c r="L93" i="51" l="1"/>
  <c r="J63" i="51" l="1"/>
  <c r="G19" i="42"/>
  <c r="H12" i="42"/>
  <c r="H13" i="42" s="1"/>
  <c r="F13" i="42"/>
  <c r="K478" i="4"/>
  <c r="J91" i="58"/>
  <c r="G13" i="42" l="1"/>
  <c r="J96" i="58"/>
  <c r="J97" i="58" l="1"/>
  <c r="J100" i="58" s="1"/>
  <c r="J1084" i="4" l="1"/>
  <c r="J1083" i="4"/>
  <c r="M5" i="67" l="1"/>
  <c r="M12" i="67" s="1"/>
  <c r="N13" i="67" s="1"/>
  <c r="G271" i="67"/>
  <c r="G270" i="67"/>
  <c r="G272" i="67" s="1"/>
  <c r="G265" i="67" s="1"/>
  <c r="G262" i="67"/>
  <c r="G261" i="67"/>
  <c r="G263" i="67" s="1"/>
  <c r="G255" i="67" s="1"/>
  <c r="G252" i="67"/>
  <c r="G251" i="67"/>
  <c r="G244" i="67"/>
  <c r="G245" i="67" s="1"/>
  <c r="G233" i="67"/>
  <c r="G234" i="67" s="1"/>
  <c r="G227" i="67" s="1"/>
  <c r="G226" i="67" s="1"/>
  <c r="G223" i="67"/>
  <c r="G222" i="67"/>
  <c r="G224" i="67" s="1"/>
  <c r="G217" i="67" s="1"/>
  <c r="G216" i="67" s="1"/>
  <c r="G214" i="67"/>
  <c r="G215" i="67" s="1"/>
  <c r="G208" i="67" s="1"/>
  <c r="G205" i="67"/>
  <c r="G204" i="67"/>
  <c r="G203" i="67"/>
  <c r="G202" i="67"/>
  <c r="G194" i="67"/>
  <c r="G195" i="67" s="1"/>
  <c r="G188" i="67" s="1"/>
  <c r="G185" i="67"/>
  <c r="G184" i="67"/>
  <c r="G186" i="67" s="1"/>
  <c r="G179" i="67" s="1"/>
  <c r="G173" i="67"/>
  <c r="G174" i="67" s="1"/>
  <c r="G160" i="67" s="1"/>
  <c r="G167" i="67"/>
  <c r="G157" i="67"/>
  <c r="G156" i="67"/>
  <c r="G139" i="67"/>
  <c r="G140" i="67" s="1"/>
  <c r="G132" i="67"/>
  <c r="G131" i="67"/>
  <c r="G121" i="67"/>
  <c r="G120" i="67" s="1"/>
  <c r="G122" i="67" s="1"/>
  <c r="G115" i="67" s="1"/>
  <c r="G108" i="67"/>
  <c r="G109" i="67" s="1"/>
  <c r="G103" i="67" s="1"/>
  <c r="G64" i="67"/>
  <c r="G59" i="67" s="1"/>
  <c r="G57" i="67"/>
  <c r="E86" i="67" s="1"/>
  <c r="E88" i="67" s="1"/>
  <c r="G88" i="67" s="1"/>
  <c r="G87" i="67" s="1"/>
  <c r="G55" i="67"/>
  <c r="G51" i="67"/>
  <c r="G49" i="67"/>
  <c r="E76" i="67" s="1"/>
  <c r="G76" i="67" s="1"/>
  <c r="G75" i="67" s="1"/>
  <c r="H44" i="67"/>
  <c r="G14" i="67"/>
  <c r="N10" i="67"/>
  <c r="G109" i="66"/>
  <c r="H44" i="66"/>
  <c r="M5" i="66"/>
  <c r="H51" i="66" s="1"/>
  <c r="G272" i="66"/>
  <c r="G271" i="66"/>
  <c r="G273" i="66" s="1"/>
  <c r="G266" i="66" s="1"/>
  <c r="G263" i="66"/>
  <c r="G264" i="66" s="1"/>
  <c r="G256" i="66" s="1"/>
  <c r="G262" i="66"/>
  <c r="G253" i="66"/>
  <c r="G252" i="66"/>
  <c r="G254" i="66" s="1"/>
  <c r="G245" i="66"/>
  <c r="G246" i="66" s="1"/>
  <c r="G235" i="66"/>
  <c r="G228" i="66" s="1"/>
  <c r="G227" i="66" s="1"/>
  <c r="G234" i="66"/>
  <c r="G225" i="66"/>
  <c r="G218" i="66" s="1"/>
  <c r="G217" i="66" s="1"/>
  <c r="G224" i="66"/>
  <c r="G223" i="66"/>
  <c r="G215" i="66"/>
  <c r="G216" i="66" s="1"/>
  <c r="G209" i="66" s="1"/>
  <c r="G206" i="66"/>
  <c r="G205" i="66"/>
  <c r="G204" i="66"/>
  <c r="G203" i="66"/>
  <c r="G195" i="66"/>
  <c r="G196" i="66" s="1"/>
  <c r="G189" i="66" s="1"/>
  <c r="L4" i="66" s="1"/>
  <c r="N4" i="66" s="1"/>
  <c r="G186" i="66"/>
  <c r="G185" i="66"/>
  <c r="G187" i="66" s="1"/>
  <c r="G180" i="66" s="1"/>
  <c r="G174" i="66"/>
  <c r="G175" i="66" s="1"/>
  <c r="G161" i="66" s="1"/>
  <c r="G168" i="66"/>
  <c r="G158" i="66"/>
  <c r="G157" i="66"/>
  <c r="G159" i="66" s="1"/>
  <c r="G152" i="66" s="1"/>
  <c r="G140" i="66"/>
  <c r="G141" i="66" s="1"/>
  <c r="G133" i="66"/>
  <c r="G132" i="66"/>
  <c r="G134" i="66" s="1"/>
  <c r="G127" i="66" s="1"/>
  <c r="G126" i="66" s="1"/>
  <c r="G125" i="66" s="1"/>
  <c r="G122" i="66"/>
  <c r="G121" i="66" s="1"/>
  <c r="G123" i="66" s="1"/>
  <c r="G116" i="66" s="1"/>
  <c r="G108" i="66"/>
  <c r="E76" i="66"/>
  <c r="G76" i="66" s="1"/>
  <c r="G75" i="66" s="1"/>
  <c r="G64" i="66"/>
  <c r="E96" i="66" s="1"/>
  <c r="G57" i="66"/>
  <c r="G55" i="66"/>
  <c r="G51" i="66"/>
  <c r="G49" i="66"/>
  <c r="E78" i="66" s="1"/>
  <c r="G78" i="66" s="1"/>
  <c r="G77" i="66" s="1"/>
  <c r="G44" i="66"/>
  <c r="G14" i="66"/>
  <c r="M12" i="66"/>
  <c r="M14" i="66" s="1"/>
  <c r="N10" i="66"/>
  <c r="J50" i="65"/>
  <c r="J54" i="65" s="1"/>
  <c r="H889" i="65"/>
  <c r="J889" i="65" s="1"/>
  <c r="J891" i="65" s="1"/>
  <c r="I95" i="65"/>
  <c r="I96" i="65"/>
  <c r="K93" i="65"/>
  <c r="L3" i="65"/>
  <c r="L2" i="65"/>
  <c r="H945" i="65"/>
  <c r="J944" i="65"/>
  <c r="J945" i="65" s="1"/>
  <c r="J940" i="65"/>
  <c r="J936" i="65"/>
  <c r="J935" i="65"/>
  <c r="J934" i="65"/>
  <c r="J933" i="65"/>
  <c r="J932" i="65"/>
  <c r="J931" i="65"/>
  <c r="I926" i="65"/>
  <c r="J926" i="65" s="1"/>
  <c r="J925" i="65"/>
  <c r="I925" i="65"/>
  <c r="J924" i="65"/>
  <c r="J923" i="65"/>
  <c r="J922" i="65"/>
  <c r="J921" i="65"/>
  <c r="J920" i="65"/>
  <c r="J919" i="65"/>
  <c r="J918" i="65"/>
  <c r="J917" i="65"/>
  <c r="J916" i="65"/>
  <c r="J915" i="65"/>
  <c r="J914" i="65"/>
  <c r="J913" i="65"/>
  <c r="J912" i="65"/>
  <c r="L907" i="65"/>
  <c r="L906" i="65"/>
  <c r="L905" i="65"/>
  <c r="J902" i="65"/>
  <c r="J901" i="65"/>
  <c r="J903" i="65" s="1"/>
  <c r="L903" i="65" s="1"/>
  <c r="J900" i="65"/>
  <c r="J894" i="65"/>
  <c r="J890" i="65"/>
  <c r="J888" i="65"/>
  <c r="J877" i="65"/>
  <c r="J876" i="65"/>
  <c r="J875" i="65"/>
  <c r="J874" i="65"/>
  <c r="J873" i="65"/>
  <c r="J865" i="65"/>
  <c r="J866" i="65" s="1"/>
  <c r="J859" i="65" s="1"/>
  <c r="J858" i="65" s="1"/>
  <c r="J864" i="65"/>
  <c r="J854" i="65"/>
  <c r="J853" i="65"/>
  <c r="J852" i="65"/>
  <c r="J851" i="65"/>
  <c r="J850" i="65"/>
  <c r="J849" i="65"/>
  <c r="J848" i="65"/>
  <c r="J847" i="65"/>
  <c r="J846" i="65"/>
  <c r="J845" i="65"/>
  <c r="J839" i="65"/>
  <c r="J838" i="65"/>
  <c r="J840" i="65" s="1"/>
  <c r="J832" i="65"/>
  <c r="J831" i="65"/>
  <c r="J830" i="65"/>
  <c r="J824" i="65"/>
  <c r="J825" i="65" s="1"/>
  <c r="J823" i="65"/>
  <c r="J822" i="65"/>
  <c r="J821" i="65"/>
  <c r="J815" i="65"/>
  <c r="J814" i="65"/>
  <c r="J813" i="65"/>
  <c r="J812" i="65"/>
  <c r="J811" i="65"/>
  <c r="J810" i="65"/>
  <c r="J809" i="65"/>
  <c r="J808" i="65"/>
  <c r="J807" i="65"/>
  <c r="J806" i="65"/>
  <c r="J805" i="65"/>
  <c r="J804" i="65"/>
  <c r="J803" i="65"/>
  <c r="J802" i="65"/>
  <c r="J801" i="65"/>
  <c r="J800" i="65"/>
  <c r="J799" i="65"/>
  <c r="J798" i="65"/>
  <c r="J797" i="65"/>
  <c r="J796" i="65"/>
  <c r="J795" i="65"/>
  <c r="J794" i="65"/>
  <c r="J793" i="65"/>
  <c r="J792" i="65"/>
  <c r="J791" i="65"/>
  <c r="J790" i="65"/>
  <c r="J789" i="65"/>
  <c r="J788" i="65"/>
  <c r="J787" i="65"/>
  <c r="J786" i="65"/>
  <c r="J785" i="65"/>
  <c r="J784" i="65"/>
  <c r="J783" i="65"/>
  <c r="J782" i="65"/>
  <c r="J781" i="65"/>
  <c r="J780" i="65"/>
  <c r="J779" i="65"/>
  <c r="J778" i="65"/>
  <c r="J777" i="65"/>
  <c r="J776" i="65"/>
  <c r="J775" i="65"/>
  <c r="J774" i="65"/>
  <c r="J773" i="65"/>
  <c r="J772" i="65"/>
  <c r="J771" i="65"/>
  <c r="J770" i="65"/>
  <c r="J769" i="65"/>
  <c r="J768" i="65"/>
  <c r="J767" i="65"/>
  <c r="J766" i="65"/>
  <c r="J765" i="65"/>
  <c r="J764" i="65"/>
  <c r="J759" i="65"/>
  <c r="J758" i="65"/>
  <c r="J757" i="65"/>
  <c r="O754" i="65"/>
  <c r="J747" i="65"/>
  <c r="J746" i="65"/>
  <c r="J745" i="65"/>
  <c r="J744" i="65"/>
  <c r="J743" i="65"/>
  <c r="J742" i="65"/>
  <c r="J741" i="65"/>
  <c r="J740" i="65"/>
  <c r="J739" i="65"/>
  <c r="J738" i="65"/>
  <c r="J730" i="65"/>
  <c r="J729" i="65"/>
  <c r="J728" i="65"/>
  <c r="J727" i="65"/>
  <c r="J726" i="65"/>
  <c r="J725" i="65"/>
  <c r="J724" i="65"/>
  <c r="J723" i="65"/>
  <c r="I717" i="65"/>
  <c r="J717" i="65" s="1"/>
  <c r="J716" i="65"/>
  <c r="J715" i="65"/>
  <c r="J714" i="65"/>
  <c r="J713" i="65"/>
  <c r="J712" i="65"/>
  <c r="J711" i="65"/>
  <c r="J710" i="65"/>
  <c r="J709" i="65"/>
  <c r="J708" i="65"/>
  <c r="J707" i="65"/>
  <c r="J706" i="65"/>
  <c r="J705" i="65"/>
  <c r="J704" i="65"/>
  <c r="J703" i="65"/>
  <c r="J702" i="65"/>
  <c r="J701" i="65"/>
  <c r="J700" i="65"/>
  <c r="J699" i="65"/>
  <c r="J698" i="65"/>
  <c r="J697" i="65"/>
  <c r="J696" i="65"/>
  <c r="J695" i="65"/>
  <c r="J694" i="65"/>
  <c r="J693" i="65"/>
  <c r="J687" i="65"/>
  <c r="J686" i="65"/>
  <c r="J685" i="65"/>
  <c r="J684" i="65"/>
  <c r="J683" i="65"/>
  <c r="J682" i="65"/>
  <c r="J681" i="65"/>
  <c r="J680" i="65"/>
  <c r="J679" i="65"/>
  <c r="J678" i="65"/>
  <c r="J677" i="65"/>
  <c r="J676" i="65"/>
  <c r="J675" i="65"/>
  <c r="J665" i="65"/>
  <c r="J666" i="65" s="1"/>
  <c r="J664" i="65"/>
  <c r="J663" i="65"/>
  <c r="J662" i="65"/>
  <c r="J657" i="65"/>
  <c r="J654" i="65"/>
  <c r="J653" i="65"/>
  <c r="J652" i="65"/>
  <c r="J651" i="65"/>
  <c r="J650" i="65"/>
  <c r="J649" i="65"/>
  <c r="K642" i="65"/>
  <c r="L640" i="65"/>
  <c r="L639" i="65"/>
  <c r="H635" i="65"/>
  <c r="J635" i="65" s="1"/>
  <c r="J636" i="65" s="1"/>
  <c r="J630" i="65"/>
  <c r="J629" i="65" s="1"/>
  <c r="J626" i="65"/>
  <c r="J627" i="65" s="1"/>
  <c r="J621" i="65" s="1"/>
  <c r="J620" i="65" s="1"/>
  <c r="J619" i="65" s="1"/>
  <c r="J625" i="65"/>
  <c r="J616" i="65"/>
  <c r="J615" i="65"/>
  <c r="J604" i="65"/>
  <c r="H604" i="65"/>
  <c r="J603" i="65"/>
  <c r="J602" i="65"/>
  <c r="J591" i="65"/>
  <c r="J592" i="65" s="1"/>
  <c r="J590" i="65"/>
  <c r="J585" i="65"/>
  <c r="J578" i="65"/>
  <c r="J579" i="65" s="1"/>
  <c r="J574" i="65" s="1"/>
  <c r="J573" i="65" s="1"/>
  <c r="G570" i="65"/>
  <c r="J570" i="65" s="1"/>
  <c r="G569" i="65"/>
  <c r="J569" i="65" s="1"/>
  <c r="J571" i="65" s="1"/>
  <c r="G561" i="65"/>
  <c r="J561" i="65" s="1"/>
  <c r="G560" i="65"/>
  <c r="J560" i="65" s="1"/>
  <c r="J552" i="65"/>
  <c r="H551" i="65"/>
  <c r="J551" i="65" s="1"/>
  <c r="J547" i="65"/>
  <c r="J544" i="65"/>
  <c r="J543" i="65"/>
  <c r="J542" i="65"/>
  <c r="J545" i="65" s="1"/>
  <c r="L545" i="65" s="1"/>
  <c r="J541" i="65"/>
  <c r="J535" i="65"/>
  <c r="J536" i="65" s="1"/>
  <c r="L536" i="65" s="1"/>
  <c r="J530" i="65"/>
  <c r="L530" i="65" s="1"/>
  <c r="J529" i="65"/>
  <c r="J523" i="65"/>
  <c r="J522" i="65"/>
  <c r="J521" i="65"/>
  <c r="J524" i="65" s="1"/>
  <c r="L524" i="65" s="1"/>
  <c r="J514" i="65"/>
  <c r="J513" i="65"/>
  <c r="J512" i="65"/>
  <c r="J505" i="65"/>
  <c r="H504" i="65"/>
  <c r="J504" i="65" s="1"/>
  <c r="J506" i="65" s="1"/>
  <c r="L498" i="65"/>
  <c r="J494" i="65"/>
  <c r="J495" i="65" s="1"/>
  <c r="J493" i="65"/>
  <c r="J486" i="65"/>
  <c r="H482" i="65"/>
  <c r="J482" i="65" s="1"/>
  <c r="J480" i="65"/>
  <c r="J479" i="65"/>
  <c r="O474" i="65"/>
  <c r="J470" i="65"/>
  <c r="J469" i="65"/>
  <c r="J463" i="65"/>
  <c r="J462" i="65"/>
  <c r="J461" i="65"/>
  <c r="J460" i="65"/>
  <c r="J459" i="65"/>
  <c r="J458" i="65"/>
  <c r="J457" i="65"/>
  <c r="J456" i="65"/>
  <c r="J455" i="65"/>
  <c r="J454" i="65"/>
  <c r="J453" i="65"/>
  <c r="J452" i="65"/>
  <c r="J451" i="65"/>
  <c r="J450" i="65"/>
  <c r="J442" i="65"/>
  <c r="J441" i="65"/>
  <c r="J440" i="65"/>
  <c r="J437" i="65"/>
  <c r="J434" i="65" s="1"/>
  <c r="J438" i="65" s="1"/>
  <c r="J436" i="65"/>
  <c r="J435" i="65"/>
  <c r="L429" i="65"/>
  <c r="J423" i="65"/>
  <c r="J422" i="65"/>
  <c r="J421" i="65"/>
  <c r="H409" i="65"/>
  <c r="J409" i="65" s="1"/>
  <c r="J408" i="65"/>
  <c r="J399" i="65"/>
  <c r="J395" i="65"/>
  <c r="J396" i="65" s="1"/>
  <c r="J388" i="65"/>
  <c r="J389" i="65" s="1"/>
  <c r="L389" i="65" s="1"/>
  <c r="J387" i="65"/>
  <c r="H376" i="65"/>
  <c r="J376" i="65" s="1"/>
  <c r="J377" i="65" s="1"/>
  <c r="L377" i="65" s="1"/>
  <c r="J369" i="65"/>
  <c r="J365" i="65"/>
  <c r="J364" i="65"/>
  <c r="J366" i="65" s="1"/>
  <c r="J355" i="65"/>
  <c r="J358" i="65" s="1"/>
  <c r="J348" i="65"/>
  <c r="L347" i="65"/>
  <c r="J344" i="65"/>
  <c r="J343" i="65"/>
  <c r="J336" i="65"/>
  <c r="J332" i="65"/>
  <c r="J333" i="65" s="1"/>
  <c r="J326" i="65"/>
  <c r="J327" i="65" s="1"/>
  <c r="L327" i="65" s="1"/>
  <c r="H326" i="65"/>
  <c r="J320" i="65"/>
  <c r="J321" i="65" s="1"/>
  <c r="J319" i="65"/>
  <c r="J313" i="65"/>
  <c r="J312" i="65"/>
  <c r="J311" i="65"/>
  <c r="J310" i="65"/>
  <c r="J314" i="65" s="1"/>
  <c r="J309" i="65"/>
  <c r="J303" i="65"/>
  <c r="J302" i="65"/>
  <c r="J300" i="65"/>
  <c r="J299" i="65"/>
  <c r="J298" i="65"/>
  <c r="J297" i="65"/>
  <c r="J296" i="65"/>
  <c r="O291" i="65"/>
  <c r="M287" i="65"/>
  <c r="J287" i="65"/>
  <c r="J279" i="65"/>
  <c r="J280" i="65" s="1"/>
  <c r="J285" i="65" s="1"/>
  <c r="J288" i="65" s="1"/>
  <c r="M288" i="65" s="1"/>
  <c r="L276" i="65"/>
  <c r="L275" i="65"/>
  <c r="L274" i="65"/>
  <c r="J271" i="65"/>
  <c r="J270" i="65"/>
  <c r="J269" i="65"/>
  <c r="J260" i="65"/>
  <c r="J261" i="65" s="1"/>
  <c r="J255" i="65" s="1"/>
  <c r="J254" i="65" s="1"/>
  <c r="H260" i="65"/>
  <c r="J249" i="65"/>
  <c r="H245" i="65"/>
  <c r="J245" i="65" s="1"/>
  <c r="J246" i="65" s="1"/>
  <c r="J237" i="65"/>
  <c r="H232" i="65"/>
  <c r="J232" i="65" s="1"/>
  <c r="J234" i="65" s="1"/>
  <c r="J216" i="65"/>
  <c r="J217" i="65" s="1"/>
  <c r="J215" i="65"/>
  <c r="K205" i="65"/>
  <c r="J204" i="65"/>
  <c r="J205" i="65" s="1"/>
  <c r="J203" i="65"/>
  <c r="J190" i="65"/>
  <c r="J191" i="65" s="1"/>
  <c r="J185" i="65"/>
  <c r="J186" i="65" s="1"/>
  <c r="J134" i="65"/>
  <c r="J127" i="65"/>
  <c r="J126" i="65" s="1"/>
  <c r="I116" i="65"/>
  <c r="J116" i="65" s="1"/>
  <c r="J117" i="65" s="1"/>
  <c r="J108" i="65"/>
  <c r="J101" i="65" s="1"/>
  <c r="J100" i="65" s="1"/>
  <c r="J107" i="65"/>
  <c r="J97" i="65"/>
  <c r="J96" i="65"/>
  <c r="A96" i="65"/>
  <c r="J95" i="65"/>
  <c r="J75" i="65"/>
  <c r="J69" i="65" s="1"/>
  <c r="J74" i="65"/>
  <c r="J66" i="65"/>
  <c r="J67" i="65" s="1"/>
  <c r="J52" i="65"/>
  <c r="J51" i="65"/>
  <c r="J39" i="65"/>
  <c r="J38" i="65"/>
  <c r="J44" i="65" s="1"/>
  <c r="J37" i="65"/>
  <c r="DF28" i="65"/>
  <c r="H889" i="64"/>
  <c r="J889" i="64" s="1"/>
  <c r="J50" i="64"/>
  <c r="J54" i="64" s="1"/>
  <c r="J51" i="64"/>
  <c r="J97" i="64"/>
  <c r="I96" i="64"/>
  <c r="I95" i="64"/>
  <c r="J95" i="64" s="1"/>
  <c r="J854" i="64"/>
  <c r="L3" i="64"/>
  <c r="L2" i="64"/>
  <c r="K46" i="64" s="1"/>
  <c r="H945" i="64"/>
  <c r="J944" i="64"/>
  <c r="J945" i="64" s="1"/>
  <c r="J940" i="64"/>
  <c r="J936" i="64"/>
  <c r="J935" i="64"/>
  <c r="J934" i="64"/>
  <c r="J933" i="64"/>
  <c r="J932" i="64"/>
  <c r="J931" i="64"/>
  <c r="I926" i="64"/>
  <c r="J926" i="64" s="1"/>
  <c r="I925" i="64"/>
  <c r="J925" i="64" s="1"/>
  <c r="J924" i="64"/>
  <c r="J923" i="64"/>
  <c r="J922" i="64"/>
  <c r="J921" i="64"/>
  <c r="J920" i="64"/>
  <c r="J919" i="64"/>
  <c r="J918" i="64"/>
  <c r="J917" i="64"/>
  <c r="J916" i="64"/>
  <c r="J915" i="64"/>
  <c r="J914" i="64"/>
  <c r="J913" i="64"/>
  <c r="J912" i="64"/>
  <c r="L907" i="64"/>
  <c r="L906" i="64"/>
  <c r="L905" i="64"/>
  <c r="J902" i="64"/>
  <c r="J901" i="64"/>
  <c r="J900" i="64"/>
  <c r="J894" i="64"/>
  <c r="J890" i="64"/>
  <c r="J888" i="64"/>
  <c r="J877" i="64"/>
  <c r="J876" i="64"/>
  <c r="J875" i="64"/>
  <c r="J874" i="64"/>
  <c r="J873" i="64"/>
  <c r="J865" i="64"/>
  <c r="J864" i="64"/>
  <c r="J853" i="64"/>
  <c r="J852" i="64"/>
  <c r="J851" i="64"/>
  <c r="J850" i="64"/>
  <c r="J849" i="64"/>
  <c r="J848" i="64"/>
  <c r="J847" i="64"/>
  <c r="J846" i="64"/>
  <c r="J845" i="64"/>
  <c r="J855" i="64" s="1"/>
  <c r="J753" i="64" s="1"/>
  <c r="J839" i="64"/>
  <c r="J838" i="64"/>
  <c r="J832" i="64"/>
  <c r="J831" i="64"/>
  <c r="J830" i="64"/>
  <c r="J824" i="64"/>
  <c r="J823" i="64"/>
  <c r="J822" i="64"/>
  <c r="J821" i="64"/>
  <c r="J815" i="64"/>
  <c r="J814" i="64"/>
  <c r="J813" i="64"/>
  <c r="J812" i="64"/>
  <c r="J811" i="64"/>
  <c r="J810" i="64"/>
  <c r="J809" i="64"/>
  <c r="J808" i="64"/>
  <c r="J807" i="64"/>
  <c r="J806" i="64"/>
  <c r="J805" i="64"/>
  <c r="J804" i="64"/>
  <c r="J803" i="64"/>
  <c r="J802" i="64"/>
  <c r="J801" i="64"/>
  <c r="J800" i="64"/>
  <c r="J799" i="64"/>
  <c r="J798" i="64"/>
  <c r="J797" i="64"/>
  <c r="J796" i="64"/>
  <c r="J795" i="64"/>
  <c r="J794" i="64"/>
  <c r="J793" i="64"/>
  <c r="J792" i="64"/>
  <c r="J791" i="64"/>
  <c r="J790" i="64"/>
  <c r="J789" i="64"/>
  <c r="J788" i="64"/>
  <c r="J787" i="64"/>
  <c r="J786" i="64"/>
  <c r="J785" i="64"/>
  <c r="J784" i="64"/>
  <c r="J783" i="64"/>
  <c r="J782" i="64"/>
  <c r="J781" i="64"/>
  <c r="J780" i="64"/>
  <c r="J779" i="64"/>
  <c r="J778" i="64"/>
  <c r="J777" i="64"/>
  <c r="J776" i="64"/>
  <c r="J775" i="64"/>
  <c r="J774" i="64"/>
  <c r="J773" i="64"/>
  <c r="J772" i="64"/>
  <c r="J771" i="64"/>
  <c r="J770" i="64"/>
  <c r="J769" i="64"/>
  <c r="J768" i="64"/>
  <c r="J767" i="64"/>
  <c r="J766" i="64"/>
  <c r="J765" i="64"/>
  <c r="J764" i="64"/>
  <c r="J758" i="64"/>
  <c r="J757" i="64" s="1"/>
  <c r="J759" i="64" s="1"/>
  <c r="O754" i="64"/>
  <c r="J747" i="64"/>
  <c r="J746" i="64"/>
  <c r="J745" i="64"/>
  <c r="J744" i="64"/>
  <c r="J743" i="64"/>
  <c r="J742" i="64"/>
  <c r="J741" i="64"/>
  <c r="J740" i="64"/>
  <c r="J739" i="64"/>
  <c r="J738" i="64"/>
  <c r="J730" i="64"/>
  <c r="J729" i="64"/>
  <c r="J728" i="64"/>
  <c r="J727" i="64"/>
  <c r="J726" i="64"/>
  <c r="J725" i="64"/>
  <c r="J724" i="64"/>
  <c r="J723" i="64"/>
  <c r="I717" i="64"/>
  <c r="J717" i="64" s="1"/>
  <c r="J716" i="64"/>
  <c r="J715" i="64"/>
  <c r="J714" i="64"/>
  <c r="J713" i="64"/>
  <c r="J712" i="64"/>
  <c r="J711" i="64"/>
  <c r="J710" i="64"/>
  <c r="J709" i="64"/>
  <c r="J708" i="64"/>
  <c r="J707" i="64"/>
  <c r="J706" i="64"/>
  <c r="J705" i="64"/>
  <c r="J704" i="64"/>
  <c r="J703" i="64"/>
  <c r="J702" i="64"/>
  <c r="J701" i="64"/>
  <c r="J700" i="64"/>
  <c r="J699" i="64"/>
  <c r="J698" i="64"/>
  <c r="J697" i="64"/>
  <c r="J696" i="64"/>
  <c r="J695" i="64"/>
  <c r="J694" i="64"/>
  <c r="J693" i="64"/>
  <c r="J687" i="64"/>
  <c r="J686" i="64"/>
  <c r="J685" i="64"/>
  <c r="J684" i="64"/>
  <c r="J683" i="64"/>
  <c r="J682" i="64"/>
  <c r="J681" i="64"/>
  <c r="J680" i="64"/>
  <c r="J679" i="64"/>
  <c r="J678" i="64"/>
  <c r="J677" i="64"/>
  <c r="J676" i="64"/>
  <c r="J675" i="64"/>
  <c r="J665" i="64"/>
  <c r="J664" i="64"/>
  <c r="J663" i="64"/>
  <c r="J662" i="64"/>
  <c r="J654" i="64"/>
  <c r="J653" i="64"/>
  <c r="J652" i="64"/>
  <c r="J651" i="64"/>
  <c r="J650" i="64"/>
  <c r="J649" i="64"/>
  <c r="K642" i="64"/>
  <c r="L640" i="64"/>
  <c r="L639" i="64"/>
  <c r="H635" i="64"/>
  <c r="J635" i="64" s="1"/>
  <c r="J636" i="64" s="1"/>
  <c r="J630" i="64"/>
  <c r="J629" i="64" s="1"/>
  <c r="J626" i="64"/>
  <c r="J625" i="64"/>
  <c r="J616" i="64"/>
  <c r="J615" i="64"/>
  <c r="H604" i="64"/>
  <c r="J604" i="64" s="1"/>
  <c r="J603" i="64"/>
  <c r="J602" i="64"/>
  <c r="J591" i="64"/>
  <c r="J592" i="64" s="1"/>
  <c r="J590" i="64"/>
  <c r="J585" i="64"/>
  <c r="J578" i="64"/>
  <c r="J579" i="64" s="1"/>
  <c r="J574" i="64" s="1"/>
  <c r="J573" i="64" s="1"/>
  <c r="G570" i="64"/>
  <c r="J570" i="64" s="1"/>
  <c r="G569" i="64"/>
  <c r="J569" i="64" s="1"/>
  <c r="G561" i="64"/>
  <c r="J561" i="64" s="1"/>
  <c r="G560" i="64"/>
  <c r="J560" i="64" s="1"/>
  <c r="J552" i="64"/>
  <c r="H551" i="64"/>
  <c r="J551" i="64" s="1"/>
  <c r="J547" i="64"/>
  <c r="J544" i="64"/>
  <c r="J543" i="64"/>
  <c r="J542" i="64"/>
  <c r="J541" i="64"/>
  <c r="J535" i="64"/>
  <c r="J536" i="64" s="1"/>
  <c r="L536" i="64" s="1"/>
  <c r="J529" i="64"/>
  <c r="J530" i="64" s="1"/>
  <c r="L530" i="64" s="1"/>
  <c r="J523" i="64"/>
  <c r="J522" i="64"/>
  <c r="J521" i="64"/>
  <c r="J514" i="64"/>
  <c r="J513" i="64"/>
  <c r="J512" i="64"/>
  <c r="J505" i="64"/>
  <c r="H504" i="64"/>
  <c r="J504" i="64" s="1"/>
  <c r="L498" i="64"/>
  <c r="J494" i="64"/>
  <c r="J493" i="64"/>
  <c r="J486" i="64"/>
  <c r="H482" i="64"/>
  <c r="J482" i="64" s="1"/>
  <c r="J480" i="64"/>
  <c r="J479" i="64"/>
  <c r="O474" i="64"/>
  <c r="J469" i="64"/>
  <c r="J470" i="64" s="1"/>
  <c r="J463" i="64"/>
  <c r="J462" i="64"/>
  <c r="J461" i="64"/>
  <c r="J460" i="64"/>
  <c r="J459" i="64"/>
  <c r="J458" i="64"/>
  <c r="J457" i="64"/>
  <c r="J456" i="64"/>
  <c r="J455" i="64"/>
  <c r="J454" i="64"/>
  <c r="J453" i="64"/>
  <c r="J452" i="64"/>
  <c r="J451" i="64"/>
  <c r="J450" i="64"/>
  <c r="J442" i="64"/>
  <c r="J441" i="64"/>
  <c r="J440" i="64"/>
  <c r="J437" i="64"/>
  <c r="J436" i="64"/>
  <c r="J435" i="64"/>
  <c r="L429" i="64"/>
  <c r="J423" i="64"/>
  <c r="J422" i="64"/>
  <c r="J421" i="64"/>
  <c r="H409" i="64"/>
  <c r="J409" i="64" s="1"/>
  <c r="J408" i="64"/>
  <c r="J399" i="64"/>
  <c r="J395" i="64"/>
  <c r="J396" i="64" s="1"/>
  <c r="J388" i="64"/>
  <c r="J387" i="64"/>
  <c r="H376" i="64"/>
  <c r="J376" i="64" s="1"/>
  <c r="J377" i="64" s="1"/>
  <c r="L377" i="64" s="1"/>
  <c r="J369" i="64"/>
  <c r="J365" i="64"/>
  <c r="J364" i="64"/>
  <c r="J355" i="64"/>
  <c r="J356" i="64" s="1"/>
  <c r="J348" i="64"/>
  <c r="L347" i="64"/>
  <c r="J344" i="64"/>
  <c r="J343" i="64"/>
  <c r="J336" i="64"/>
  <c r="J332" i="64"/>
  <c r="J333" i="64" s="1"/>
  <c r="L333" i="64" s="1"/>
  <c r="H326" i="64"/>
  <c r="J326" i="64" s="1"/>
  <c r="J327" i="64" s="1"/>
  <c r="L327" i="64" s="1"/>
  <c r="J320" i="64"/>
  <c r="J319" i="64"/>
  <c r="J313" i="64"/>
  <c r="J312" i="64"/>
  <c r="J311" i="64"/>
  <c r="J310" i="64"/>
  <c r="J314" i="64" s="1"/>
  <c r="J309" i="64"/>
  <c r="J303" i="64"/>
  <c r="J302" i="64"/>
  <c r="J300" i="64"/>
  <c r="J299" i="64"/>
  <c r="J298" i="64"/>
  <c r="J297" i="64"/>
  <c r="J296" i="64"/>
  <c r="O291" i="64"/>
  <c r="J287" i="64"/>
  <c r="M287" i="64" s="1"/>
  <c r="J279" i="64"/>
  <c r="J280" i="64" s="1"/>
  <c r="J285" i="64" s="1"/>
  <c r="J288" i="64" s="1"/>
  <c r="M288" i="64" s="1"/>
  <c r="L276" i="64"/>
  <c r="L275" i="64"/>
  <c r="L274" i="64"/>
  <c r="J271" i="64"/>
  <c r="J270" i="64"/>
  <c r="J269" i="64"/>
  <c r="H260" i="64"/>
  <c r="J260" i="64" s="1"/>
  <c r="J261" i="64" s="1"/>
  <c r="J255" i="64" s="1"/>
  <c r="J254" i="64" s="1"/>
  <c r="J249" i="64"/>
  <c r="H245" i="64"/>
  <c r="J245" i="64" s="1"/>
  <c r="J246" i="64" s="1"/>
  <c r="J237" i="64"/>
  <c r="H232" i="64"/>
  <c r="J232" i="64" s="1"/>
  <c r="J234" i="64" s="1"/>
  <c r="J216" i="64"/>
  <c r="J215" i="64"/>
  <c r="K205" i="64"/>
  <c r="J204" i="64"/>
  <c r="J203" i="64"/>
  <c r="J190" i="64"/>
  <c r="J191" i="64" s="1"/>
  <c r="J185" i="64"/>
  <c r="J186" i="64" s="1"/>
  <c r="J134" i="64"/>
  <c r="J127" i="64" s="1"/>
  <c r="J126" i="64" s="1"/>
  <c r="I116" i="64"/>
  <c r="J116" i="64" s="1"/>
  <c r="J117" i="64" s="1"/>
  <c r="J107" i="64"/>
  <c r="J108" i="64" s="1"/>
  <c r="J101" i="64" s="1"/>
  <c r="J100" i="64" s="1"/>
  <c r="J96" i="64"/>
  <c r="A96" i="64"/>
  <c r="J74" i="64"/>
  <c r="J75" i="64" s="1"/>
  <c r="J66" i="64"/>
  <c r="J67" i="64" s="1"/>
  <c r="J53" i="64"/>
  <c r="J52" i="64"/>
  <c r="J39" i="64"/>
  <c r="J38" i="64"/>
  <c r="J37" i="64"/>
  <c r="DF28" i="64"/>
  <c r="J62" i="65" l="1"/>
  <c r="L67" i="65"/>
  <c r="J61" i="65"/>
  <c r="J337" i="65"/>
  <c r="L333" i="65"/>
  <c r="E98" i="66"/>
  <c r="G98" i="66" s="1"/>
  <c r="G97" i="66" s="1"/>
  <c r="G96" i="66"/>
  <c r="G95" i="66" s="1"/>
  <c r="G239" i="66"/>
  <c r="J370" i="65"/>
  <c r="L366" i="65"/>
  <c r="L75" i="65"/>
  <c r="J605" i="65"/>
  <c r="J833" i="65"/>
  <c r="J449" i="65"/>
  <c r="J464" i="65" s="1"/>
  <c r="J816" i="65"/>
  <c r="G59" i="66"/>
  <c r="G158" i="67"/>
  <c r="G151" i="67" s="1"/>
  <c r="J424" i="65"/>
  <c r="J428" i="65" s="1"/>
  <c r="J718" i="65"/>
  <c r="J748" i="65"/>
  <c r="J750" i="65" s="1"/>
  <c r="H51" i="67"/>
  <c r="J321" i="64"/>
  <c r="J345" i="65"/>
  <c r="J674" i="65"/>
  <c r="J688" i="65" s="1"/>
  <c r="I64" i="66"/>
  <c r="J483" i="65"/>
  <c r="J515" i="65"/>
  <c r="L515" i="65" s="1"/>
  <c r="J731" i="65"/>
  <c r="J878" i="65"/>
  <c r="J868" i="65" s="1"/>
  <c r="J857" i="65" s="1"/>
  <c r="G79" i="66"/>
  <c r="G71" i="66" s="1"/>
  <c r="G253" i="67"/>
  <c r="G238" i="67" s="1"/>
  <c r="G236" i="67" s="1"/>
  <c r="G27" i="67" s="1"/>
  <c r="J272" i="65"/>
  <c r="J264" i="65" s="1"/>
  <c r="J263" i="65" s="1"/>
  <c r="J655" i="65"/>
  <c r="G207" i="66"/>
  <c r="G198" i="66" s="1"/>
  <c r="G178" i="66" s="1"/>
  <c r="G149" i="66" s="1"/>
  <c r="G146" i="66" s="1"/>
  <c r="J304" i="65"/>
  <c r="J356" i="65"/>
  <c r="J439" i="65"/>
  <c r="J443" i="65" s="1"/>
  <c r="L443" i="65" s="1"/>
  <c r="G110" i="66"/>
  <c r="G206" i="67"/>
  <c r="G197" i="67" s="1"/>
  <c r="G177" i="67" s="1"/>
  <c r="G133" i="67"/>
  <c r="G126" i="67" s="1"/>
  <c r="G125" i="67" s="1"/>
  <c r="G124" i="67" s="1"/>
  <c r="J410" i="65"/>
  <c r="J414" i="65" s="1"/>
  <c r="J562" i="65"/>
  <c r="J556" i="65" s="1"/>
  <c r="J927" i="65"/>
  <c r="L927" i="65" s="1"/>
  <c r="L9" i="65"/>
  <c r="J59" i="65"/>
  <c r="J937" i="65"/>
  <c r="G114" i="67"/>
  <c r="G113" i="67" s="1"/>
  <c r="G111" i="67" s="1"/>
  <c r="L2" i="67"/>
  <c r="N2" i="67" s="1"/>
  <c r="L11" i="67"/>
  <c r="N11" i="67" s="1"/>
  <c r="G21" i="67"/>
  <c r="H21" i="67" s="1"/>
  <c r="G17" i="67"/>
  <c r="H17" i="67" s="1"/>
  <c r="L9" i="67"/>
  <c r="N9" i="67" s="1"/>
  <c r="G150" i="67"/>
  <c r="G102" i="67"/>
  <c r="G101" i="67" s="1"/>
  <c r="G24" i="67" s="1"/>
  <c r="H24" i="67" s="1"/>
  <c r="L6" i="67"/>
  <c r="N6" i="67" s="1"/>
  <c r="L4" i="67"/>
  <c r="N4" i="67" s="1"/>
  <c r="I64" i="67"/>
  <c r="E78" i="67"/>
  <c r="G78" i="67" s="1"/>
  <c r="G77" i="67" s="1"/>
  <c r="G79" i="67" s="1"/>
  <c r="E96" i="67"/>
  <c r="G86" i="67"/>
  <c r="G85" i="67" s="1"/>
  <c r="G89" i="67" s="1"/>
  <c r="G44" i="67"/>
  <c r="G42" i="67" s="1"/>
  <c r="G40" i="67" s="1"/>
  <c r="M14" i="67"/>
  <c r="G23" i="67"/>
  <c r="G151" i="66"/>
  <c r="G17" i="66"/>
  <c r="H17" i="66" s="1"/>
  <c r="L9" i="66"/>
  <c r="N9" i="66" s="1"/>
  <c r="G103" i="66"/>
  <c r="G102" i="66" s="1"/>
  <c r="G101" i="66" s="1"/>
  <c r="G24" i="66" s="1"/>
  <c r="H24" i="66" s="1"/>
  <c r="G115" i="66"/>
  <c r="G114" i="66" s="1"/>
  <c r="L2" i="66"/>
  <c r="N2" i="66" s="1"/>
  <c r="E86" i="66"/>
  <c r="E88" i="66" s="1"/>
  <c r="G88" i="66" s="1"/>
  <c r="G87" i="66" s="1"/>
  <c r="G42" i="66"/>
  <c r="N13" i="66"/>
  <c r="G237" i="66"/>
  <c r="G27" i="66" s="1"/>
  <c r="G40" i="66"/>
  <c r="G12" i="66"/>
  <c r="L3" i="66"/>
  <c r="N3" i="66" s="1"/>
  <c r="G112" i="66"/>
  <c r="G23" i="66"/>
  <c r="H23" i="66" s="1"/>
  <c r="G21" i="66"/>
  <c r="H21" i="66" s="1"/>
  <c r="J855" i="65"/>
  <c r="J753" i="65" s="1"/>
  <c r="J752" i="65" s="1"/>
  <c r="P754" i="65" s="1"/>
  <c r="J614" i="65"/>
  <c r="J617" i="65"/>
  <c r="J610" i="65" s="1"/>
  <c r="J609" i="65" s="1"/>
  <c r="J608" i="65" s="1"/>
  <c r="K46" i="65"/>
  <c r="J598" i="65"/>
  <c r="J597" i="65"/>
  <c r="J584" i="65" s="1"/>
  <c r="J474" i="65"/>
  <c r="L483" i="65"/>
  <c r="L438" i="65"/>
  <c r="J565" i="65"/>
  <c r="J564" i="65"/>
  <c r="M4" i="65" s="1"/>
  <c r="J733" i="65"/>
  <c r="L891" i="65"/>
  <c r="J53" i="65"/>
  <c r="J57" i="65" s="1"/>
  <c r="J98" i="65"/>
  <c r="H142" i="65" s="1"/>
  <c r="L234" i="65"/>
  <c r="J227" i="65"/>
  <c r="J226" i="65" s="1"/>
  <c r="J225" i="65" s="1"/>
  <c r="J238" i="65"/>
  <c r="J250" i="65"/>
  <c r="L246" i="65"/>
  <c r="L410" i="65"/>
  <c r="J670" i="65"/>
  <c r="L191" i="65"/>
  <c r="J180" i="65"/>
  <c r="J179" i="65" s="1"/>
  <c r="J177" i="65" s="1"/>
  <c r="J175" i="65" s="1"/>
  <c r="L14" i="65"/>
  <c r="L345" i="65"/>
  <c r="J349" i="65"/>
  <c r="J33" i="65"/>
  <c r="J32" i="65"/>
  <c r="H150" i="65"/>
  <c r="L44" i="65"/>
  <c r="J554" i="65"/>
  <c r="J583" i="65" s="1"/>
  <c r="J553" i="65"/>
  <c r="L937" i="65"/>
  <c r="J400" i="65"/>
  <c r="L396" i="65"/>
  <c r="H172" i="65"/>
  <c r="J172" i="65" s="1"/>
  <c r="J173" i="65" s="1"/>
  <c r="J167" i="65" s="1"/>
  <c r="J166" i="65" s="1"/>
  <c r="J111" i="65"/>
  <c r="J110" i="65" s="1"/>
  <c r="L205" i="65"/>
  <c r="J198" i="65"/>
  <c r="J197" i="65" s="1"/>
  <c r="J195" i="65" s="1"/>
  <c r="L217" i="65"/>
  <c r="J210" i="65"/>
  <c r="J209" i="65" s="1"/>
  <c r="J207" i="65" s="1"/>
  <c r="J903" i="64"/>
  <c r="L903" i="64" s="1"/>
  <c r="J483" i="64"/>
  <c r="J515" i="64"/>
  <c r="L515" i="64" s="1"/>
  <c r="J506" i="64"/>
  <c r="J840" i="64"/>
  <c r="J617" i="64"/>
  <c r="J610" i="64" s="1"/>
  <c r="J614" i="64"/>
  <c r="J571" i="64"/>
  <c r="J565" i="64" s="1"/>
  <c r="J389" i="64"/>
  <c r="L389" i="64" s="1"/>
  <c r="J345" i="64"/>
  <c r="J349" i="64" s="1"/>
  <c r="J358" i="64"/>
  <c r="J495" i="64"/>
  <c r="J562" i="64"/>
  <c r="J556" i="64" s="1"/>
  <c r="J272" i="64"/>
  <c r="J264" i="64" s="1"/>
  <c r="J263" i="64" s="1"/>
  <c r="J439" i="64"/>
  <c r="J443" i="64" s="1"/>
  <c r="L443" i="64" s="1"/>
  <c r="J605" i="64"/>
  <c r="J597" i="64" s="1"/>
  <c r="J584" i="64" s="1"/>
  <c r="J718" i="64"/>
  <c r="J937" i="64"/>
  <c r="J304" i="64"/>
  <c r="J337" i="64"/>
  <c r="J410" i="64"/>
  <c r="J449" i="64"/>
  <c r="J464" i="64" s="1"/>
  <c r="J524" i="64"/>
  <c r="L524" i="64" s="1"/>
  <c r="J731" i="64"/>
  <c r="J816" i="64"/>
  <c r="J825" i="64"/>
  <c r="J833" i="64"/>
  <c r="J366" i="64"/>
  <c r="J627" i="64"/>
  <c r="J621" i="64" s="1"/>
  <c r="J620" i="64" s="1"/>
  <c r="J619" i="64" s="1"/>
  <c r="J866" i="64"/>
  <c r="J859" i="64" s="1"/>
  <c r="J858" i="64" s="1"/>
  <c r="L483" i="64"/>
  <c r="J598" i="64"/>
  <c r="L14" i="64"/>
  <c r="J98" i="64"/>
  <c r="H142" i="64" s="1"/>
  <c r="J666" i="64"/>
  <c r="J657" i="64" s="1"/>
  <c r="J748" i="64"/>
  <c r="J878" i="64"/>
  <c r="J868" i="64" s="1"/>
  <c r="J44" i="64"/>
  <c r="J57" i="64"/>
  <c r="J205" i="64"/>
  <c r="J217" i="64"/>
  <c r="J424" i="64"/>
  <c r="J434" i="64"/>
  <c r="J438" i="64" s="1"/>
  <c r="J655" i="64"/>
  <c r="J674" i="64"/>
  <c r="J688" i="64" s="1"/>
  <c r="L191" i="64"/>
  <c r="J180" i="64"/>
  <c r="J179" i="64" s="1"/>
  <c r="J177" i="64" s="1"/>
  <c r="J175" i="64" s="1"/>
  <c r="J250" i="64"/>
  <c r="L246" i="64"/>
  <c r="J400" i="64"/>
  <c r="L396" i="64"/>
  <c r="J69" i="64"/>
  <c r="L75" i="64"/>
  <c r="L234" i="64"/>
  <c r="J227" i="64"/>
  <c r="J226" i="64" s="1"/>
  <c r="J225" i="64" s="1"/>
  <c r="J238" i="64"/>
  <c r="J553" i="64"/>
  <c r="J554" i="64" s="1"/>
  <c r="J583" i="64" s="1"/>
  <c r="L9" i="64"/>
  <c r="J62" i="64"/>
  <c r="L67" i="64"/>
  <c r="J61" i="64"/>
  <c r="H172" i="64"/>
  <c r="J172" i="64" s="1"/>
  <c r="J173" i="64" s="1"/>
  <c r="J167" i="64" s="1"/>
  <c r="J166" i="64" s="1"/>
  <c r="J111" i="64"/>
  <c r="J110" i="64" s="1"/>
  <c r="J545" i="64"/>
  <c r="L545" i="64" s="1"/>
  <c r="J564" i="64"/>
  <c r="M4" i="64" s="1"/>
  <c r="J891" i="64"/>
  <c r="J927" i="64"/>
  <c r="L927" i="64" s="1"/>
  <c r="J883" i="65" l="1"/>
  <c r="J882" i="65" s="1"/>
  <c r="J880" i="65" s="1"/>
  <c r="J644" i="65"/>
  <c r="J643" i="65" s="1"/>
  <c r="J645" i="65"/>
  <c r="L937" i="64"/>
  <c r="G86" i="66"/>
  <c r="G85" i="66" s="1"/>
  <c r="G89" i="66" s="1"/>
  <c r="G81" i="66" s="1"/>
  <c r="G13" i="66" s="1"/>
  <c r="L6" i="66"/>
  <c r="N6" i="66" s="1"/>
  <c r="G99" i="66"/>
  <c r="J193" i="65"/>
  <c r="L11" i="66"/>
  <c r="N11" i="66" s="1"/>
  <c r="L424" i="65"/>
  <c r="I44" i="66"/>
  <c r="J44" i="66" s="1"/>
  <c r="J444" i="65"/>
  <c r="J291" i="65" s="1"/>
  <c r="J290" i="65" s="1"/>
  <c r="J289" i="65" s="1"/>
  <c r="L345" i="64"/>
  <c r="J473" i="65"/>
  <c r="J472" i="65" s="1"/>
  <c r="I44" i="67"/>
  <c r="J44" i="67" s="1"/>
  <c r="G71" i="67"/>
  <c r="G25" i="67"/>
  <c r="G26" i="67"/>
  <c r="H27" i="67"/>
  <c r="G148" i="67"/>
  <c r="G145" i="67" s="1"/>
  <c r="E98" i="67"/>
  <c r="G98" i="67" s="1"/>
  <c r="G97" i="67" s="1"/>
  <c r="G96" i="67"/>
  <c r="G95" i="67" s="1"/>
  <c r="G99" i="67" s="1"/>
  <c r="G81" i="67"/>
  <c r="I51" i="67"/>
  <c r="J51" i="67" s="1"/>
  <c r="G12" i="67"/>
  <c r="L3" i="67"/>
  <c r="N3" i="67" s="1"/>
  <c r="G16" i="67"/>
  <c r="H23" i="67"/>
  <c r="I51" i="66"/>
  <c r="J51" i="66" s="1"/>
  <c r="L5" i="66"/>
  <c r="N5" i="66" s="1"/>
  <c r="H12" i="66"/>
  <c r="G26" i="66"/>
  <c r="G25" i="66"/>
  <c r="H27" i="66"/>
  <c r="G16" i="66"/>
  <c r="M6" i="65"/>
  <c r="O6" i="65" s="1"/>
  <c r="H161" i="65"/>
  <c r="L57" i="65"/>
  <c r="J46" i="65"/>
  <c r="J150" i="65"/>
  <c r="J149" i="65" s="1"/>
  <c r="H152" i="65"/>
  <c r="J152" i="65" s="1"/>
  <c r="J151" i="65" s="1"/>
  <c r="J18" i="65"/>
  <c r="K18" i="65" s="1"/>
  <c r="O4" i="65"/>
  <c r="N4" i="65"/>
  <c r="L98" i="65"/>
  <c r="J90" i="65"/>
  <c r="J89" i="65" s="1"/>
  <c r="J87" i="65" s="1"/>
  <c r="J142" i="65"/>
  <c r="J143" i="65" s="1"/>
  <c r="M5" i="65"/>
  <c r="L114" i="65"/>
  <c r="J669" i="65"/>
  <c r="J668" i="65" s="1"/>
  <c r="J857" i="64"/>
  <c r="J752" i="64"/>
  <c r="P754" i="64" s="1"/>
  <c r="J609" i="64"/>
  <c r="J414" i="64"/>
  <c r="L410" i="64"/>
  <c r="J670" i="64"/>
  <c r="J370" i="64"/>
  <c r="L366" i="64"/>
  <c r="L438" i="64"/>
  <c r="J444" i="64"/>
  <c r="J291" i="64" s="1"/>
  <c r="J290" i="64" s="1"/>
  <c r="J289" i="64" s="1"/>
  <c r="L217" i="64"/>
  <c r="J210" i="64"/>
  <c r="J209" i="64" s="1"/>
  <c r="J207" i="64" s="1"/>
  <c r="L891" i="64"/>
  <c r="J883" i="64"/>
  <c r="J882" i="64" s="1"/>
  <c r="J880" i="64" s="1"/>
  <c r="L44" i="64"/>
  <c r="H150" i="64"/>
  <c r="J33" i="64"/>
  <c r="J32" i="64"/>
  <c r="O4" i="64"/>
  <c r="N4" i="64"/>
  <c r="J18" i="64"/>
  <c r="K18" i="64" s="1"/>
  <c r="L114" i="64"/>
  <c r="J59" i="64"/>
  <c r="J644" i="64"/>
  <c r="J643" i="64" s="1"/>
  <c r="J645" i="64"/>
  <c r="J428" i="64"/>
  <c r="L424" i="64"/>
  <c r="L205" i="64"/>
  <c r="J198" i="64"/>
  <c r="J197" i="64" s="1"/>
  <c r="J195" i="64" s="1"/>
  <c r="L98" i="64"/>
  <c r="J142" i="64"/>
  <c r="J143" i="64" s="1"/>
  <c r="J90" i="64"/>
  <c r="J89" i="64" s="1"/>
  <c r="J87" i="64" s="1"/>
  <c r="L57" i="64"/>
  <c r="H161" i="64"/>
  <c r="J46" i="64"/>
  <c r="J750" i="64"/>
  <c r="J733" i="64"/>
  <c r="M5" i="64" s="1"/>
  <c r="J474" i="64"/>
  <c r="J473" i="64" s="1"/>
  <c r="J472" i="64" s="1"/>
  <c r="H13" i="66" l="1"/>
  <c r="J153" i="65"/>
  <c r="J223" i="65"/>
  <c r="J221" i="65" s="1"/>
  <c r="G91" i="66"/>
  <c r="G275" i="66"/>
  <c r="M7" i="65"/>
  <c r="O7" i="65" s="1"/>
  <c r="J138" i="65"/>
  <c r="L93" i="64"/>
  <c r="M93" i="64" s="1"/>
  <c r="M94" i="64" s="1"/>
  <c r="N94" i="64" s="1"/>
  <c r="J138" i="64"/>
  <c r="G274" i="67"/>
  <c r="G91" i="67"/>
  <c r="G13" i="67"/>
  <c r="H13" i="67" s="1"/>
  <c r="L5" i="67"/>
  <c r="N5" i="67" s="1"/>
  <c r="H12" i="67"/>
  <c r="N6" i="65"/>
  <c r="J30" i="65"/>
  <c r="L143" i="65"/>
  <c r="J137" i="65"/>
  <c r="N5" i="65"/>
  <c r="J17" i="65"/>
  <c r="K17" i="65" s="1"/>
  <c r="O5" i="65"/>
  <c r="L93" i="65"/>
  <c r="M93" i="65" s="1"/>
  <c r="M94" i="65" s="1"/>
  <c r="L153" i="65"/>
  <c r="L33" i="65"/>
  <c r="J161" i="65"/>
  <c r="J160" i="65" s="1"/>
  <c r="H163" i="65"/>
  <c r="J163" i="65" s="1"/>
  <c r="J162" i="65" s="1"/>
  <c r="M6" i="64"/>
  <c r="N6" i="64" s="1"/>
  <c r="J608" i="64"/>
  <c r="J193" i="64"/>
  <c r="J669" i="64"/>
  <c r="J668" i="64" s="1"/>
  <c r="J30" i="64"/>
  <c r="J150" i="64"/>
  <c r="J149" i="64" s="1"/>
  <c r="H152" i="64"/>
  <c r="J152" i="64" s="1"/>
  <c r="J151" i="64" s="1"/>
  <c r="J17" i="64"/>
  <c r="K17" i="64" s="1"/>
  <c r="O5" i="64"/>
  <c r="N5" i="64"/>
  <c r="J161" i="64"/>
  <c r="J160" i="64" s="1"/>
  <c r="H163" i="64"/>
  <c r="J163" i="64" s="1"/>
  <c r="J162" i="64" s="1"/>
  <c r="L143" i="64"/>
  <c r="M7" i="64"/>
  <c r="N7" i="65" l="1"/>
  <c r="L8" i="66"/>
  <c r="N8" i="66" s="1"/>
  <c r="G15" i="66"/>
  <c r="G69" i="66"/>
  <c r="J145" i="65"/>
  <c r="M3" i="65"/>
  <c r="G15" i="67"/>
  <c r="H15" i="67" s="1"/>
  <c r="L8" i="67"/>
  <c r="N8" i="67" s="1"/>
  <c r="G69" i="67"/>
  <c r="N94" i="65"/>
  <c r="J28" i="65"/>
  <c r="J164" i="65"/>
  <c r="O6" i="64"/>
  <c r="J223" i="64"/>
  <c r="J221" i="64" s="1"/>
  <c r="J153" i="64"/>
  <c r="J164" i="64"/>
  <c r="J28" i="64"/>
  <c r="N7" i="64"/>
  <c r="O7" i="64"/>
  <c r="M3" i="64"/>
  <c r="L164" i="64" l="1"/>
  <c r="J950" i="64"/>
  <c r="L153" i="64"/>
  <c r="J145" i="64"/>
  <c r="H15" i="66"/>
  <c r="G10" i="66"/>
  <c r="G8" i="66" s="1"/>
  <c r="G6" i="66" s="1"/>
  <c r="O3" i="65"/>
  <c r="J14" i="65"/>
  <c r="K14" i="65" s="1"/>
  <c r="N3" i="65"/>
  <c r="G67" i="66"/>
  <c r="L30" i="66"/>
  <c r="L31" i="66" s="1"/>
  <c r="L30" i="67"/>
  <c r="L31" i="67" s="1"/>
  <c r="G67" i="67"/>
  <c r="G10" i="67"/>
  <c r="G8" i="67" s="1"/>
  <c r="G6" i="67" s="1"/>
  <c r="L164" i="65"/>
  <c r="J155" i="65"/>
  <c r="J950" i="65"/>
  <c r="L46" i="65"/>
  <c r="M46" i="65" s="1"/>
  <c r="L46" i="64"/>
  <c r="M46" i="64" s="1"/>
  <c r="M47" i="64" s="1"/>
  <c r="J155" i="64"/>
  <c r="M2" i="64" s="1"/>
  <c r="J137" i="64"/>
  <c r="J135" i="64" s="1"/>
  <c r="L33" i="64"/>
  <c r="J14" i="64"/>
  <c r="O3" i="64"/>
  <c r="N3" i="64"/>
  <c r="K30" i="66" l="1"/>
  <c r="K31" i="66" s="1"/>
  <c r="G36" i="66"/>
  <c r="G33" i="66" s="1"/>
  <c r="G32" i="66" s="1"/>
  <c r="G31" i="66" s="1"/>
  <c r="K883" i="65"/>
  <c r="L883" i="65" s="1"/>
  <c r="P3" i="65"/>
  <c r="H6" i="66"/>
  <c r="H275" i="66"/>
  <c r="H274" i="67"/>
  <c r="H6" i="67"/>
  <c r="K30" i="67"/>
  <c r="K31" i="67" s="1"/>
  <c r="G36" i="67"/>
  <c r="G33" i="67" s="1"/>
  <c r="G32" i="67" s="1"/>
  <c r="G31" i="67" s="1"/>
  <c r="M47" i="65"/>
  <c r="M48" i="65" s="1"/>
  <c r="J135" i="65"/>
  <c r="M2" i="65"/>
  <c r="P3" i="64"/>
  <c r="K883" i="64"/>
  <c r="L883" i="64" s="1"/>
  <c r="M48" i="64"/>
  <c r="J124" i="64"/>
  <c r="M19" i="64"/>
  <c r="J15" i="64"/>
  <c r="K15" i="64" s="1"/>
  <c r="N2" i="64"/>
  <c r="O2" i="64"/>
  <c r="K14" i="64"/>
  <c r="J124" i="65" l="1"/>
  <c r="M19" i="65"/>
  <c r="J15" i="65"/>
  <c r="O2" i="65"/>
  <c r="N2" i="65"/>
  <c r="J9" i="64"/>
  <c r="J25" i="64"/>
  <c r="J23" i="64" s="1"/>
  <c r="J22" i="64" s="1"/>
  <c r="L19" i="64"/>
  <c r="K15" i="65" l="1"/>
  <c r="J9" i="65"/>
  <c r="J25" i="65"/>
  <c r="J23" i="65" s="1"/>
  <c r="J22" i="65" s="1"/>
  <c r="L19" i="65"/>
  <c r="K9" i="64"/>
  <c r="J7" i="64"/>
  <c r="K9" i="65" l="1"/>
  <c r="J7" i="65"/>
  <c r="L20" i="65" s="1"/>
  <c r="L950" i="64"/>
  <c r="M950" i="64" s="1"/>
  <c r="K950" i="64"/>
  <c r="M20" i="64"/>
  <c r="L20" i="64"/>
  <c r="L950" i="65" l="1"/>
  <c r="M950" i="65" s="1"/>
  <c r="K950" i="65"/>
  <c r="M20" i="65"/>
  <c r="J623" i="51" l="1"/>
  <c r="J324" i="51" l="1"/>
  <c r="J313" i="51" s="1"/>
  <c r="J770" i="51"/>
  <c r="J760" i="51"/>
  <c r="J801" i="51"/>
  <c r="J788" i="51"/>
  <c r="J68" i="51"/>
  <c r="K88" i="51"/>
  <c r="J496" i="51"/>
  <c r="J750" i="51"/>
  <c r="H756" i="51"/>
  <c r="J594" i="51"/>
  <c r="J582" i="51"/>
  <c r="J583" i="51" s="1"/>
  <c r="J143" i="51"/>
  <c r="J748" i="51" l="1"/>
  <c r="J1085" i="4" l="1"/>
  <c r="J1078" i="4" s="1"/>
  <c r="J1077" i="4" s="1"/>
  <c r="G206" i="50" l="1"/>
  <c r="G187" i="50" l="1"/>
  <c r="G186" i="50"/>
  <c r="G188" i="50" s="1"/>
  <c r="G181" i="50" s="1"/>
  <c r="G159" i="50"/>
  <c r="G158" i="50" l="1"/>
  <c r="G160" i="50" l="1"/>
  <c r="G153" i="50" s="1"/>
  <c r="G123" i="50"/>
  <c r="G110" i="50"/>
  <c r="G111" i="50" s="1"/>
  <c r="G105" i="50" s="1"/>
  <c r="G104" i="50" s="1"/>
  <c r="G103" i="50" s="1"/>
  <c r="G24" i="50" s="1"/>
  <c r="H24" i="50" s="1"/>
  <c r="G66" i="50"/>
  <c r="E98" i="50" s="1"/>
  <c r="G59" i="50"/>
  <c r="E88" i="50" s="1"/>
  <c r="G57" i="50"/>
  <c r="G53" i="50"/>
  <c r="G51" i="50"/>
  <c r="E78" i="50" s="1"/>
  <c r="G78" i="50" s="1"/>
  <c r="G77" i="50" s="1"/>
  <c r="G152" i="50" l="1"/>
  <c r="G17" i="50"/>
  <c r="L9" i="50"/>
  <c r="G122" i="50"/>
  <c r="G124" i="50" s="1"/>
  <c r="G117" i="50" s="1"/>
  <c r="G61" i="50"/>
  <c r="E80" i="50"/>
  <c r="G80" i="50" s="1"/>
  <c r="G79" i="50" s="1"/>
  <c r="G81" i="50" s="1"/>
  <c r="G73" i="50" s="1"/>
  <c r="L6" i="50"/>
  <c r="G88" i="50"/>
  <c r="G87" i="50" s="1"/>
  <c r="E90" i="50"/>
  <c r="G90" i="50" s="1"/>
  <c r="G89" i="50" s="1"/>
  <c r="G98" i="50"/>
  <c r="G97" i="50" s="1"/>
  <c r="E100" i="50"/>
  <c r="G100" i="50" s="1"/>
  <c r="G99" i="50" s="1"/>
  <c r="I66" i="50"/>
  <c r="G46" i="50"/>
  <c r="G116" i="50" l="1"/>
  <c r="G115" i="50" s="1"/>
  <c r="L2" i="50"/>
  <c r="H17" i="50"/>
  <c r="G44" i="50"/>
  <c r="G42" i="50" s="1"/>
  <c r="G12" i="50"/>
  <c r="H12" i="50" s="1"/>
  <c r="G101" i="50"/>
  <c r="G93" i="50" s="1"/>
  <c r="L8" i="50" s="1"/>
  <c r="L3" i="50"/>
  <c r="G91" i="50"/>
  <c r="G83" i="50" s="1"/>
  <c r="L5" i="50" l="1"/>
  <c r="G13" i="50"/>
  <c r="H13" i="50" s="1"/>
  <c r="G113" i="50"/>
  <c r="G23" i="50"/>
  <c r="G15" i="50"/>
  <c r="H15" i="50" s="1"/>
  <c r="G71" i="50"/>
  <c r="M12" i="50"/>
  <c r="G14" i="50"/>
  <c r="N10" i="50"/>
  <c r="N9" i="50"/>
  <c r="N8" i="50"/>
  <c r="N6" i="50"/>
  <c r="N5" i="50"/>
  <c r="N3" i="50"/>
  <c r="N2" i="50"/>
  <c r="G69" i="50" l="1"/>
  <c r="H23" i="50"/>
  <c r="M14" i="50"/>
  <c r="N13" i="50"/>
  <c r="G10" i="50"/>
  <c r="G38" i="50" l="1"/>
  <c r="I742" i="4" l="1"/>
  <c r="H759" i="4"/>
  <c r="J1096" i="4" l="1"/>
  <c r="J1093" i="4"/>
  <c r="J1094" i="4"/>
  <c r="J1095" i="4"/>
  <c r="J1092" i="4"/>
  <c r="J1065" i="4"/>
  <c r="H1003" i="4"/>
  <c r="J1004" i="4"/>
  <c r="H1064" i="4"/>
  <c r="J763" i="4"/>
  <c r="J626" i="4"/>
  <c r="J625" i="4"/>
  <c r="J624" i="4"/>
  <c r="J53" i="4"/>
  <c r="J52" i="4"/>
  <c r="J1097" i="4" l="1"/>
  <c r="J1087" i="4" s="1"/>
  <c r="J1076" i="4" s="1"/>
  <c r="J627" i="4"/>
  <c r="J54" i="4"/>
  <c r="J57" i="4" s="1"/>
  <c r="H161" i="4" s="1"/>
  <c r="J798" i="51" l="1"/>
  <c r="J797" i="51"/>
  <c r="J796" i="51"/>
  <c r="J795" i="51"/>
  <c r="J794" i="51"/>
  <c r="J793" i="51"/>
  <c r="I785" i="51"/>
  <c r="J785" i="51" s="1"/>
  <c r="I784" i="51"/>
  <c r="J784" i="51" s="1"/>
  <c r="J783" i="51"/>
  <c r="J782" i="51"/>
  <c r="J781" i="51"/>
  <c r="J780" i="51"/>
  <c r="J779" i="51"/>
  <c r="J778" i="51"/>
  <c r="J777" i="51"/>
  <c r="J776" i="51"/>
  <c r="J767" i="51"/>
  <c r="J766" i="51"/>
  <c r="J765" i="51"/>
  <c r="J757" i="51"/>
  <c r="J756" i="51"/>
  <c r="J755" i="51"/>
  <c r="J321" i="51"/>
  <c r="J320" i="51"/>
  <c r="J319" i="51"/>
  <c r="J1155" i="4"/>
  <c r="J1154" i="4"/>
  <c r="J1153" i="4"/>
  <c r="J1152" i="4"/>
  <c r="J1151" i="4"/>
  <c r="J1150" i="4"/>
  <c r="I1145" i="4"/>
  <c r="I1144" i="4"/>
  <c r="J1134" i="4"/>
  <c r="J322" i="51" l="1"/>
  <c r="J325" i="51" s="1"/>
  <c r="J314" i="51" s="1"/>
  <c r="J768" i="51"/>
  <c r="J771" i="51" s="1"/>
  <c r="J758" i="51"/>
  <c r="J799" i="51"/>
  <c r="J786" i="51"/>
  <c r="J1156" i="4"/>
  <c r="L799" i="51" l="1"/>
  <c r="J802" i="51"/>
  <c r="L786" i="51"/>
  <c r="J789" i="51"/>
  <c r="L768" i="51"/>
  <c r="L758" i="51"/>
  <c r="J761" i="51"/>
  <c r="J1121" i="4"/>
  <c r="J1120" i="4"/>
  <c r="J1119" i="4"/>
  <c r="J1109" i="4"/>
  <c r="J1108" i="4"/>
  <c r="J1107" i="4"/>
  <c r="J801" i="4"/>
  <c r="J800" i="4"/>
  <c r="J799" i="4"/>
  <c r="J798" i="4"/>
  <c r="J797" i="4"/>
  <c r="J796" i="4"/>
  <c r="J749" i="51" l="1"/>
  <c r="K68" i="51" s="1"/>
  <c r="L68" i="51" s="1"/>
  <c r="J1122" i="4"/>
  <c r="J1110" i="4"/>
  <c r="J802" i="4"/>
  <c r="J747" i="51" l="1"/>
  <c r="J791" i="4"/>
  <c r="J792" i="4"/>
  <c r="J877" i="4"/>
  <c r="J876" i="4"/>
  <c r="J875" i="4"/>
  <c r="J874" i="4"/>
  <c r="J873" i="4"/>
  <c r="J872" i="4"/>
  <c r="J871" i="4"/>
  <c r="J870" i="4"/>
  <c r="I864" i="4"/>
  <c r="J864" i="4" s="1"/>
  <c r="J863" i="4"/>
  <c r="J862" i="4"/>
  <c r="J861" i="4"/>
  <c r="J860" i="4"/>
  <c r="J859" i="4"/>
  <c r="J858" i="4"/>
  <c r="J857" i="4"/>
  <c r="J856" i="4"/>
  <c r="J855" i="4"/>
  <c r="J854" i="4"/>
  <c r="J853" i="4"/>
  <c r="J852" i="4"/>
  <c r="J851" i="4"/>
  <c r="J850" i="4"/>
  <c r="J849" i="4"/>
  <c r="J848" i="4"/>
  <c r="J847" i="4"/>
  <c r="J846" i="4"/>
  <c r="J845" i="4"/>
  <c r="J844" i="4"/>
  <c r="J843" i="4"/>
  <c r="J842" i="4"/>
  <c r="J841" i="4"/>
  <c r="J840" i="4"/>
  <c r="J865" i="4" l="1"/>
  <c r="J878" i="4"/>
  <c r="J544" i="4" l="1"/>
  <c r="J543" i="4"/>
  <c r="J542" i="4"/>
  <c r="J541" i="4"/>
  <c r="J535" i="4"/>
  <c r="J536" i="4" s="1"/>
  <c r="L536" i="4" s="1"/>
  <c r="J529" i="4"/>
  <c r="J530" i="4" s="1"/>
  <c r="L530" i="4" s="1"/>
  <c r="J523" i="4"/>
  <c r="J522" i="4"/>
  <c r="J521" i="4"/>
  <c r="J514" i="4"/>
  <c r="J513" i="4"/>
  <c r="J512" i="4"/>
  <c r="J505" i="4"/>
  <c r="H504" i="4"/>
  <c r="J504" i="4" s="1"/>
  <c r="H482" i="4"/>
  <c r="J482" i="4" s="1"/>
  <c r="J310" i="4"/>
  <c r="J314" i="4" s="1"/>
  <c r="J320" i="4"/>
  <c r="J319" i="4"/>
  <c r="J469" i="4"/>
  <c r="J470" i="4" s="1"/>
  <c r="J442" i="4"/>
  <c r="J441" i="4"/>
  <c r="J440" i="4"/>
  <c r="J437" i="4"/>
  <c r="J436" i="4"/>
  <c r="J435" i="4"/>
  <c r="L482" i="4" l="1"/>
  <c r="J481" i="4"/>
  <c r="J545" i="4"/>
  <c r="L545" i="4" s="1"/>
  <c r="J515" i="4"/>
  <c r="J524" i="4"/>
  <c r="L524" i="4" s="1"/>
  <c r="J506" i="4"/>
  <c r="L506" i="4" s="1"/>
  <c r="J321" i="4"/>
  <c r="J439" i="4"/>
  <c r="J443" i="4" s="1"/>
  <c r="J434" i="4"/>
  <c r="J438" i="4" s="1"/>
  <c r="L515" i="4" l="1"/>
  <c r="J444" i="4"/>
  <c r="L444" i="4" s="1"/>
  <c r="J365" i="4" l="1"/>
  <c r="J332" i="4"/>
  <c r="J297" i="4"/>
  <c r="K297" i="4" s="1"/>
  <c r="H260" i="4"/>
  <c r="J260" i="4" s="1"/>
  <c r="J261" i="4" s="1"/>
  <c r="J255" i="4" s="1"/>
  <c r="J254" i="4" s="1"/>
  <c r="J271" i="4"/>
  <c r="J270" i="4"/>
  <c r="J269" i="4"/>
  <c r="J215" i="4"/>
  <c r="I116" i="4"/>
  <c r="J116" i="4" s="1"/>
  <c r="H97" i="4"/>
  <c r="J97" i="4" s="1"/>
  <c r="I96" i="4"/>
  <c r="I95" i="4"/>
  <c r="K93" i="4"/>
  <c r="J272" i="4" l="1"/>
  <c r="J37" i="4"/>
  <c r="J38" i="4"/>
  <c r="J39" i="4"/>
  <c r="L8" i="4"/>
  <c r="L2" i="4"/>
  <c r="K46" i="4" s="1"/>
  <c r="L3" i="4"/>
  <c r="J264" i="4" l="1"/>
  <c r="L272" i="4"/>
  <c r="J44" i="4"/>
  <c r="J832" i="4"/>
  <c r="J833" i="4"/>
  <c r="J834" i="4"/>
  <c r="J885" i="4"/>
  <c r="J886" i="4"/>
  <c r="J887" i="4"/>
  <c r="J888" i="4"/>
  <c r="J889" i="4"/>
  <c r="J890" i="4"/>
  <c r="J517" i="42" l="1"/>
  <c r="G528" i="42" l="1"/>
  <c r="H527" i="42"/>
  <c r="J521" i="42" l="1"/>
  <c r="F521" i="42"/>
  <c r="G235" i="50" l="1"/>
  <c r="G264" i="50"/>
  <c r="F525" i="42" l="1"/>
  <c r="J523" i="42"/>
  <c r="J742" i="51" l="1"/>
  <c r="J741" i="51" l="1"/>
  <c r="J743" i="51"/>
  <c r="J737" i="51" s="1"/>
  <c r="F576" i="42"/>
  <c r="F577" i="42" s="1"/>
  <c r="H574" i="42"/>
  <c r="G573" i="42"/>
  <c r="H573" i="42" s="1"/>
  <c r="H575" i="42"/>
  <c r="H576" i="42" l="1"/>
  <c r="H577" i="42" s="1"/>
  <c r="G576" i="42"/>
  <c r="G577" i="42" s="1"/>
  <c r="F558" i="42" l="1"/>
  <c r="F559" i="42" s="1"/>
  <c r="H557" i="42"/>
  <c r="K557" i="42" l="1"/>
  <c r="K556" i="42"/>
  <c r="G558" i="42" l="1"/>
  <c r="G559" i="42" s="1"/>
  <c r="L556" i="42"/>
  <c r="H556" i="42" l="1"/>
  <c r="M556" i="42" l="1"/>
  <c r="H558" i="42"/>
  <c r="H559" i="42" s="1"/>
  <c r="J728" i="51" l="1"/>
  <c r="J729" i="51" s="1"/>
  <c r="G539" i="42"/>
  <c r="G540" i="42"/>
  <c r="F529" i="42"/>
  <c r="H528" i="42"/>
  <c r="H526" i="42"/>
  <c r="H525" i="42"/>
  <c r="L22" i="51" l="1"/>
  <c r="F535" i="42"/>
  <c r="F536" i="42" s="1"/>
  <c r="H534" i="42"/>
  <c r="H533" i="42"/>
  <c r="H532" i="42"/>
  <c r="H531" i="42"/>
  <c r="F541" i="42"/>
  <c r="F542" i="42" s="1"/>
  <c r="H540" i="42"/>
  <c r="K517" i="42"/>
  <c r="K518" i="42" l="1"/>
  <c r="G518" i="42" s="1"/>
  <c r="H518" i="42" s="1"/>
  <c r="G517" i="42"/>
  <c r="G541" i="42"/>
  <c r="G542" i="42" s="1"/>
  <c r="G535" i="42"/>
  <c r="H535" i="42"/>
  <c r="H539" i="42"/>
  <c r="H541" i="42" s="1"/>
  <c r="H542" i="42" s="1"/>
  <c r="L518" i="42"/>
  <c r="L517" i="42"/>
  <c r="H520" i="42"/>
  <c r="K523" i="42"/>
  <c r="G521" i="42" l="1"/>
  <c r="H517" i="42"/>
  <c r="K524" i="42"/>
  <c r="G524" i="42" s="1"/>
  <c r="H524" i="42" s="1"/>
  <c r="K525" i="42"/>
  <c r="K526" i="42"/>
  <c r="M518" i="42"/>
  <c r="H519" i="42"/>
  <c r="G523" i="42"/>
  <c r="L523" i="42"/>
  <c r="J66" i="4"/>
  <c r="J67" i="4" s="1"/>
  <c r="L44" i="4"/>
  <c r="L524" i="42" l="1"/>
  <c r="M524" i="42" s="1"/>
  <c r="G529" i="42"/>
  <c r="G536" i="42" s="1"/>
  <c r="H521" i="42"/>
  <c r="M517" i="42"/>
  <c r="H150" i="4"/>
  <c r="J150" i="4" s="1"/>
  <c r="J149" i="4" s="1"/>
  <c r="H523" i="42"/>
  <c r="H529" i="42" s="1"/>
  <c r="L67" i="4"/>
  <c r="J62" i="4"/>
  <c r="J61" i="4"/>
  <c r="J32" i="4"/>
  <c r="J33" i="4"/>
  <c r="H536" i="42" l="1"/>
  <c r="H152" i="4"/>
  <c r="J152" i="4" s="1"/>
  <c r="J151" i="4" s="1"/>
  <c r="J153" i="4" s="1"/>
  <c r="J145" i="4" s="1"/>
  <c r="M523" i="42"/>
  <c r="L153" i="4" l="1"/>
  <c r="L33" i="4"/>
  <c r="J492" i="42"/>
  <c r="F495" i="42"/>
  <c r="H494" i="42"/>
  <c r="G501" i="42" l="1"/>
  <c r="H501" i="42" s="1"/>
  <c r="G499" i="42"/>
  <c r="H499" i="42" s="1"/>
  <c r="G500" i="42"/>
  <c r="H500" i="42" s="1"/>
  <c r="F502" i="42"/>
  <c r="F503" i="42" s="1"/>
  <c r="J497" i="42"/>
  <c r="K497" i="42" s="1"/>
  <c r="K492" i="42"/>
  <c r="G492" i="42" s="1"/>
  <c r="H492" i="42" l="1"/>
  <c r="K498" i="42"/>
  <c r="L497" i="42"/>
  <c r="G497" i="42"/>
  <c r="H497" i="42" s="1"/>
  <c r="L492" i="42"/>
  <c r="K493" i="42"/>
  <c r="G493" i="42" s="1"/>
  <c r="G495" i="42" s="1"/>
  <c r="M492" i="42" l="1"/>
  <c r="M497" i="42"/>
  <c r="G498" i="42"/>
  <c r="H498" i="42" s="1"/>
  <c r="H502" i="42" s="1"/>
  <c r="L498" i="42"/>
  <c r="L493" i="42"/>
  <c r="G502" i="42" l="1"/>
  <c r="G503" i="42" s="1"/>
  <c r="M498" i="42"/>
  <c r="H493" i="42"/>
  <c r="H495" i="42" s="1"/>
  <c r="H503" i="42" s="1"/>
  <c r="M493" i="42" l="1"/>
  <c r="F477" i="42" l="1"/>
  <c r="G473" i="42"/>
  <c r="H473" i="42" s="1"/>
  <c r="G475" i="42"/>
  <c r="H475" i="42" s="1"/>
  <c r="G474" i="42"/>
  <c r="G476" i="42"/>
  <c r="H476" i="42" s="1"/>
  <c r="H466" i="42"/>
  <c r="H469" i="42"/>
  <c r="H468" i="42"/>
  <c r="H299" i="51"/>
  <c r="H286" i="51"/>
  <c r="H285" i="51"/>
  <c r="H284" i="51"/>
  <c r="F471" i="42"/>
  <c r="H465" i="42"/>
  <c r="H464" i="42"/>
  <c r="G477" i="42" l="1"/>
  <c r="H474" i="42"/>
  <c r="H477" i="42" s="1"/>
  <c r="J722" i="51"/>
  <c r="J721" i="51"/>
  <c r="J720" i="51"/>
  <c r="J719" i="51"/>
  <c r="J718" i="51"/>
  <c r="J717" i="51"/>
  <c r="J716" i="51"/>
  <c r="J715" i="51"/>
  <c r="J714" i="51"/>
  <c r="J713" i="51"/>
  <c r="H470" i="42"/>
  <c r="K463" i="42"/>
  <c r="L463" i="42" s="1"/>
  <c r="H463" i="42"/>
  <c r="F461" i="42"/>
  <c r="F478" i="42" s="1"/>
  <c r="J823" i="4"/>
  <c r="J824" i="4"/>
  <c r="J825" i="4"/>
  <c r="J826" i="4"/>
  <c r="J827" i="4"/>
  <c r="J828" i="4"/>
  <c r="J829" i="4"/>
  <c r="J830" i="4"/>
  <c r="J831" i="4"/>
  <c r="J822" i="4"/>
  <c r="J216" i="4"/>
  <c r="J204" i="4"/>
  <c r="H409" i="4"/>
  <c r="H376" i="4"/>
  <c r="H326" i="4"/>
  <c r="H245" i="4"/>
  <c r="H232" i="4"/>
  <c r="J821" i="4" l="1"/>
  <c r="J835" i="4" s="1"/>
  <c r="J817" i="4" s="1"/>
  <c r="J712" i="51"/>
  <c r="J217" i="4"/>
  <c r="M463" i="42"/>
  <c r="J773" i="4" l="1"/>
  <c r="J772" i="4"/>
  <c r="J774" i="4" l="1"/>
  <c r="J768" i="4" s="1"/>
  <c r="J767" i="4" s="1"/>
  <c r="J766" i="4" s="1"/>
  <c r="F433" i="42"/>
  <c r="F434" i="42" s="1"/>
  <c r="G432" i="42"/>
  <c r="G433" i="42" s="1"/>
  <c r="G434" i="42" s="1"/>
  <c r="H431" i="42" l="1"/>
  <c r="H432" i="42"/>
  <c r="H433" i="42" l="1"/>
  <c r="H434" i="42" s="1"/>
  <c r="K431" i="42" l="1"/>
  <c r="L431" i="42" s="1"/>
  <c r="J1145" i="4"/>
  <c r="J1143" i="4"/>
  <c r="J1141" i="4"/>
  <c r="J1139" i="4"/>
  <c r="J1137" i="4"/>
  <c r="I499" i="51" l="1"/>
  <c r="H530" i="51" l="1"/>
  <c r="H529" i="51"/>
  <c r="G413" i="42" l="1"/>
  <c r="G415" i="42" s="1"/>
  <c r="F415" i="42"/>
  <c r="H414" i="42"/>
  <c r="K412" i="42"/>
  <c r="L412" i="42" s="1"/>
  <c r="H412" i="42"/>
  <c r="H413" i="42" l="1"/>
  <c r="H415" i="42" s="1"/>
  <c r="M412" i="42"/>
  <c r="J410" i="42"/>
  <c r="G410" i="42"/>
  <c r="G416" i="42" s="1"/>
  <c r="F410" i="42"/>
  <c r="F416" i="42" s="1"/>
  <c r="H409" i="42"/>
  <c r="H408" i="42"/>
  <c r="H410" i="42" l="1"/>
  <c r="H416" i="42" s="1"/>
  <c r="G389" i="42" l="1"/>
  <c r="G392" i="42"/>
  <c r="G391" i="42"/>
  <c r="G390" i="42"/>
  <c r="G387" i="42"/>
  <c r="G368" i="42" l="1"/>
  <c r="H368" i="42" s="1"/>
  <c r="G369" i="42"/>
  <c r="H369" i="42" s="1"/>
  <c r="F370" i="42"/>
  <c r="K368" i="42"/>
  <c r="G364" i="42"/>
  <c r="G366" i="42" s="1"/>
  <c r="F366" i="42"/>
  <c r="H365" i="42"/>
  <c r="F371" i="42" l="1"/>
  <c r="H370" i="42"/>
  <c r="G370" i="42"/>
  <c r="G371" i="42" s="1"/>
  <c r="L368" i="42"/>
  <c r="H364" i="42"/>
  <c r="H366" i="42" s="1"/>
  <c r="H371" i="42" l="1"/>
  <c r="M368" i="42"/>
  <c r="J734" i="4" l="1"/>
  <c r="J735" i="4"/>
  <c r="J736" i="4" l="1"/>
  <c r="G340" i="42" l="1"/>
  <c r="G24" i="61" l="1"/>
  <c r="F337" i="42"/>
  <c r="G347" i="42"/>
  <c r="H347" i="42" s="1"/>
  <c r="G348" i="42"/>
  <c r="F350" i="42"/>
  <c r="G349" i="42"/>
  <c r="H349" i="42" s="1"/>
  <c r="J498" i="51"/>
  <c r="J342" i="42"/>
  <c r="K342" i="42" s="1"/>
  <c r="G342" i="42" s="1"/>
  <c r="H344" i="42"/>
  <c r="F345" i="42"/>
  <c r="H348" i="42" l="1"/>
  <c r="H350" i="42" s="1"/>
  <c r="G350" i="42"/>
  <c r="H342" i="42"/>
  <c r="L342" i="42"/>
  <c r="K343" i="42"/>
  <c r="L343" i="42" l="1"/>
  <c r="G343" i="42"/>
  <c r="G345" i="42" s="1"/>
  <c r="M342" i="42"/>
  <c r="H343" i="42" l="1"/>
  <c r="H345" i="42" s="1"/>
  <c r="M343" i="42" l="1"/>
  <c r="F340" i="42"/>
  <c r="F351" i="42" s="1"/>
  <c r="H339" i="42"/>
  <c r="H340" i="42" s="1"/>
  <c r="G254" i="50"/>
  <c r="G253" i="50"/>
  <c r="G255" i="50" l="1"/>
  <c r="G246" i="50"/>
  <c r="G247" i="50" s="1"/>
  <c r="G196" i="50"/>
  <c r="G240" i="50" l="1"/>
  <c r="G197" i="50"/>
  <c r="G190" i="50" s="1"/>
  <c r="G335" i="42" l="1"/>
  <c r="G336" i="42"/>
  <c r="H336" i="42" s="1"/>
  <c r="G337" i="42" l="1"/>
  <c r="G351" i="42" s="1"/>
  <c r="H335" i="42"/>
  <c r="H337" i="42" s="1"/>
  <c r="H351" i="42" s="1"/>
  <c r="G393" i="42"/>
  <c r="G394" i="42" s="1"/>
  <c r="F393" i="42"/>
  <c r="F394" i="42" s="1"/>
  <c r="H392" i="42"/>
  <c r="H391" i="42"/>
  <c r="H390" i="42"/>
  <c r="H389" i="42"/>
  <c r="H388" i="42"/>
  <c r="H387" i="42"/>
  <c r="H393" i="42" l="1"/>
  <c r="H394" i="42" s="1"/>
  <c r="J593" i="51"/>
  <c r="J595" i="51" s="1"/>
  <c r="J499" i="51"/>
  <c r="G7" i="63" l="1"/>
  <c r="H7" i="63"/>
  <c r="G8" i="63"/>
  <c r="H8" i="63"/>
  <c r="G9" i="63"/>
  <c r="H9" i="63"/>
  <c r="G10" i="63"/>
  <c r="H10" i="63"/>
  <c r="H11" i="63"/>
  <c r="H12" i="63"/>
  <c r="H13" i="63"/>
  <c r="G14" i="63"/>
  <c r="H14" i="63"/>
  <c r="G15" i="63"/>
  <c r="H15" i="63"/>
  <c r="G16" i="63"/>
  <c r="H16" i="63"/>
  <c r="G17" i="63"/>
  <c r="H17" i="63"/>
  <c r="G18" i="63"/>
  <c r="H18" i="63"/>
  <c r="G19" i="63"/>
  <c r="H19" i="63"/>
  <c r="G20" i="63"/>
  <c r="H20" i="63"/>
  <c r="G21" i="63"/>
  <c r="H21" i="63"/>
  <c r="G22" i="63"/>
  <c r="H22" i="63"/>
  <c r="G23" i="63"/>
  <c r="H23" i="63"/>
  <c r="G24" i="63"/>
  <c r="H24" i="63"/>
  <c r="G25" i="63"/>
  <c r="H25" i="63"/>
  <c r="G26" i="63"/>
  <c r="H26" i="63"/>
  <c r="G27" i="63"/>
  <c r="H27" i="63"/>
  <c r="G28" i="63"/>
  <c r="H28" i="63"/>
  <c r="F33" i="63"/>
  <c r="E33" i="63"/>
  <c r="C1" i="63" s="1"/>
  <c r="H1164" i="4" l="1"/>
  <c r="J1163" i="4"/>
  <c r="J279" i="4"/>
  <c r="J1073" i="4"/>
  <c r="J1072" i="4"/>
  <c r="J1064" i="4"/>
  <c r="J1063" i="4"/>
  <c r="J1062" i="4"/>
  <c r="J1059" i="4"/>
  <c r="J1058" i="4"/>
  <c r="J1057" i="4"/>
  <c r="J1056" i="4"/>
  <c r="J1055" i="4"/>
  <c r="J1054" i="4"/>
  <c r="J1053" i="4"/>
  <c r="J1052" i="4"/>
  <c r="J1051" i="4"/>
  <c r="J1050" i="4"/>
  <c r="J1049" i="4"/>
  <c r="J1048" i="4"/>
  <c r="J1047" i="4"/>
  <c r="J1046" i="4"/>
  <c r="J1045" i="4"/>
  <c r="J1039" i="4"/>
  <c r="J1038" i="4"/>
  <c r="J1037" i="4"/>
  <c r="J1036" i="4"/>
  <c r="J1006" i="4"/>
  <c r="J1005" i="4"/>
  <c r="J1003" i="4"/>
  <c r="J1002" i="4"/>
  <c r="J1001" i="4"/>
  <c r="J1000" i="4"/>
  <c r="J999" i="4"/>
  <c r="J998" i="4"/>
  <c r="J997" i="4"/>
  <c r="J996" i="4"/>
  <c r="J995" i="4"/>
  <c r="J994" i="4"/>
  <c r="J988" i="4"/>
  <c r="J987" i="4"/>
  <c r="J981" i="4"/>
  <c r="J980" i="4"/>
  <c r="J979" i="4"/>
  <c r="J973" i="4"/>
  <c r="J972" i="4"/>
  <c r="J971" i="4"/>
  <c r="J970" i="4"/>
  <c r="J964" i="4"/>
  <c r="J963" i="4"/>
  <c r="J962" i="4"/>
  <c r="J961" i="4"/>
  <c r="J960" i="4"/>
  <c r="J959" i="4"/>
  <c r="J958" i="4"/>
  <c r="J957" i="4"/>
  <c r="J956" i="4"/>
  <c r="J955" i="4"/>
  <c r="J954" i="4"/>
  <c r="J953" i="4"/>
  <c r="J952" i="4"/>
  <c r="J951" i="4"/>
  <c r="J950" i="4"/>
  <c r="J949" i="4"/>
  <c r="J948" i="4"/>
  <c r="J947" i="4"/>
  <c r="J946" i="4"/>
  <c r="J945" i="4"/>
  <c r="J944" i="4"/>
  <c r="J943" i="4"/>
  <c r="J942" i="4"/>
  <c r="J941" i="4"/>
  <c r="J940" i="4"/>
  <c r="J432" i="42" s="1"/>
  <c r="J939" i="4"/>
  <c r="J938" i="4"/>
  <c r="J937" i="4"/>
  <c r="J936" i="4"/>
  <c r="J935" i="4"/>
  <c r="J934" i="4"/>
  <c r="J933" i="4"/>
  <c r="J932" i="4"/>
  <c r="J931" i="4"/>
  <c r="J930" i="4"/>
  <c r="J929" i="4"/>
  <c r="J928" i="4"/>
  <c r="J927" i="4"/>
  <c r="J926" i="4"/>
  <c r="J925" i="4"/>
  <c r="J924" i="4"/>
  <c r="J923" i="4"/>
  <c r="J922" i="4"/>
  <c r="J921" i="4"/>
  <c r="J920" i="4"/>
  <c r="J919" i="4"/>
  <c r="J918" i="4"/>
  <c r="J917" i="4"/>
  <c r="J916" i="4"/>
  <c r="J915" i="4"/>
  <c r="J914" i="4"/>
  <c r="J913" i="4"/>
  <c r="J905" i="4"/>
  <c r="J908" i="4" s="1"/>
  <c r="J762" i="4"/>
  <c r="J761" i="4"/>
  <c r="J760" i="4"/>
  <c r="J759" i="4"/>
  <c r="J758" i="4"/>
  <c r="J752" i="4"/>
  <c r="J751" i="4"/>
  <c r="J750" i="4"/>
  <c r="J749" i="4"/>
  <c r="J743" i="4"/>
  <c r="J742" i="4"/>
  <c r="J741" i="4"/>
  <c r="J728" i="4"/>
  <c r="J721" i="4"/>
  <c r="J720" i="4"/>
  <c r="J655" i="4"/>
  <c r="J654" i="4"/>
  <c r="J653" i="4"/>
  <c r="J652" i="4"/>
  <c r="J651" i="4"/>
  <c r="J644" i="4"/>
  <c r="J643" i="4"/>
  <c r="J642" i="4"/>
  <c r="J641" i="4"/>
  <c r="J635" i="4"/>
  <c r="J634" i="4"/>
  <c r="J633" i="4"/>
  <c r="J632" i="4"/>
  <c r="J722" i="4" l="1"/>
  <c r="J669" i="4"/>
  <c r="J1040" i="4"/>
  <c r="J764" i="4"/>
  <c r="J1066" i="4"/>
  <c r="J729" i="4"/>
  <c r="J1071" i="4"/>
  <c r="J965" i="4"/>
  <c r="J974" i="4"/>
  <c r="J982" i="4"/>
  <c r="J989" i="4"/>
  <c r="J623" i="4"/>
  <c r="J636" i="4"/>
  <c r="J645" i="4"/>
  <c r="J744" i="4"/>
  <c r="J1007" i="4"/>
  <c r="J753" i="4"/>
  <c r="J1074" i="4"/>
  <c r="J619" i="4" l="1"/>
  <c r="J900" i="4"/>
  <c r="G317" i="42"/>
  <c r="G318" i="42"/>
  <c r="G319" i="42"/>
  <c r="J451" i="4" l="1"/>
  <c r="J452" i="4"/>
  <c r="J453" i="4"/>
  <c r="J454" i="4"/>
  <c r="J455" i="4"/>
  <c r="J456" i="4"/>
  <c r="J457" i="4"/>
  <c r="J458" i="4"/>
  <c r="J459" i="4"/>
  <c r="J460" i="4"/>
  <c r="J461" i="4"/>
  <c r="J462" i="4"/>
  <c r="J463" i="4"/>
  <c r="J450" i="4"/>
  <c r="H6" i="63" l="1"/>
  <c r="G6" i="63"/>
  <c r="J612" i="4" l="1"/>
  <c r="H317" i="42" l="1"/>
  <c r="F320" i="42"/>
  <c r="F321" i="42" s="1"/>
  <c r="H318" i="42"/>
  <c r="H319" i="42"/>
  <c r="H320" i="42" l="1"/>
  <c r="H321" i="42" s="1"/>
  <c r="G320" i="42"/>
  <c r="G321" i="42" s="1"/>
  <c r="G286" i="42" l="1"/>
  <c r="G285" i="42"/>
  <c r="G295" i="42" l="1"/>
  <c r="G5" i="63" l="1"/>
  <c r="H5" i="63"/>
  <c r="G4" i="63" l="1"/>
  <c r="H4" i="63"/>
  <c r="H3" i="63"/>
  <c r="H33" i="63" s="1"/>
  <c r="G3" i="63"/>
  <c r="G33" i="63" s="1"/>
  <c r="C2" i="63" s="1"/>
  <c r="J577" i="51" l="1"/>
  <c r="L535" i="51"/>
  <c r="AH579" i="51" l="1"/>
  <c r="AH588" i="51" s="1"/>
  <c r="AH578" i="51"/>
  <c r="AJ578" i="51" s="1"/>
  <c r="AI577" i="51"/>
  <c r="AH577" i="51"/>
  <c r="AF575" i="51"/>
  <c r="AG574" i="51"/>
  <c r="AF574" i="51"/>
  <c r="AG573" i="51"/>
  <c r="AG575" i="51" s="1"/>
  <c r="AH572" i="51"/>
  <c r="AH569" i="51"/>
  <c r="AJ569" i="51" s="1"/>
  <c r="AI568" i="51"/>
  <c r="AH568" i="51"/>
  <c r="AJ567" i="51"/>
  <c r="AH263" i="51"/>
  <c r="AH255" i="51"/>
  <c r="AH260" i="51" s="1"/>
  <c r="AH251" i="51"/>
  <c r="AH265" i="51" s="1"/>
  <c r="AI250" i="51"/>
  <c r="AH250" i="51"/>
  <c r="AJ249" i="51"/>
  <c r="AF247" i="51"/>
  <c r="AH246" i="51"/>
  <c r="AH245" i="51"/>
  <c r="AH244" i="51"/>
  <c r="AJ241" i="51"/>
  <c r="AI240" i="51"/>
  <c r="AH240" i="51"/>
  <c r="AF236" i="51"/>
  <c r="AH236" i="51" s="1"/>
  <c r="AF235" i="51"/>
  <c r="AH235" i="51" s="1"/>
  <c r="AH234" i="51"/>
  <c r="AF233" i="51"/>
  <c r="AH233" i="51" s="1"/>
  <c r="AF232" i="51"/>
  <c r="AH232" i="51" s="1"/>
  <c r="AH231" i="51"/>
  <c r="AF230" i="51"/>
  <c r="AH230" i="51" s="1"/>
  <c r="AH229" i="51"/>
  <c r="AF228" i="51"/>
  <c r="AH228" i="51" s="1"/>
  <c r="AH227" i="51"/>
  <c r="AH264" i="51" l="1"/>
  <c r="AI264" i="51"/>
  <c r="AJ568" i="51"/>
  <c r="AH574" i="51"/>
  <c r="AJ577" i="51"/>
  <c r="AH575" i="51"/>
  <c r="AH573" i="51"/>
  <c r="AH247" i="51"/>
  <c r="AH252" i="51" s="1"/>
  <c r="AJ250" i="51"/>
  <c r="AH237" i="51"/>
  <c r="AJ240" i="51"/>
  <c r="AJ251" i="51"/>
  <c r="J289" i="42"/>
  <c r="G297" i="42"/>
  <c r="F297" i="42"/>
  <c r="J723" i="51"/>
  <c r="H296" i="42"/>
  <c r="G292" i="42"/>
  <c r="J530" i="51"/>
  <c r="J529" i="51"/>
  <c r="AH570" i="51" l="1"/>
  <c r="AH261" i="51"/>
  <c r="J536" i="51"/>
  <c r="AH242" i="51"/>
  <c r="AH266" i="51" s="1"/>
  <c r="AH576" i="51"/>
  <c r="AH596" i="51" l="1"/>
  <c r="L536" i="51"/>
  <c r="J523" i="51"/>
  <c r="AH589" i="51"/>
  <c r="AH595" i="51" s="1"/>
  <c r="H295" i="42"/>
  <c r="H297" i="42" s="1"/>
  <c r="G291" i="42" l="1"/>
  <c r="J88" i="51"/>
  <c r="G3" i="61"/>
  <c r="J1159" i="4"/>
  <c r="J1113" i="4"/>
  <c r="J399" i="4" l="1"/>
  <c r="J369" i="4"/>
  <c r="J336" i="4"/>
  <c r="J449" i="4" l="1"/>
  <c r="J464" i="4" s="1"/>
  <c r="J237" i="4"/>
  <c r="J249" i="4"/>
  <c r="J281" i="42"/>
  <c r="F265" i="42"/>
  <c r="G264" i="42"/>
  <c r="H264" i="42" s="1"/>
  <c r="H263" i="42"/>
  <c r="H262" i="42"/>
  <c r="H265" i="42" l="1"/>
  <c r="G265" i="42"/>
  <c r="G249" i="42"/>
  <c r="F249" i="42"/>
  <c r="H248" i="42"/>
  <c r="H249" i="42" s="1"/>
  <c r="H247" i="42"/>
  <c r="I3" i="61" l="1"/>
  <c r="G229" i="42" l="1"/>
  <c r="G231" i="42"/>
  <c r="H231" i="42" s="1"/>
  <c r="G232" i="42"/>
  <c r="H232" i="42" s="1"/>
  <c r="G233" i="42"/>
  <c r="H233" i="42" s="1"/>
  <c r="F234" i="42"/>
  <c r="F235" i="42" s="1"/>
  <c r="G230" i="42"/>
  <c r="H230" i="42" s="1"/>
  <c r="G234" i="42" l="1"/>
  <c r="G235" i="42" s="1"/>
  <c r="H229" i="42"/>
  <c r="H234" i="42" s="1"/>
  <c r="H235" i="42" l="1"/>
  <c r="K289" i="42" l="1"/>
  <c r="L289" i="42" s="1"/>
  <c r="J701" i="51"/>
  <c r="J696" i="51"/>
  <c r="J697" i="51"/>
  <c r="J698" i="51"/>
  <c r="J699" i="51"/>
  <c r="J700" i="51"/>
  <c r="J695" i="51"/>
  <c r="J497" i="51"/>
  <c r="J500" i="51" s="1"/>
  <c r="H289" i="42"/>
  <c r="H290" i="42"/>
  <c r="F293" i="42"/>
  <c r="H292" i="42"/>
  <c r="H291" i="42"/>
  <c r="J142" i="51" l="1"/>
  <c r="J702" i="51"/>
  <c r="J694" i="51"/>
  <c r="M289" i="42"/>
  <c r="G293" i="42"/>
  <c r="K290" i="42"/>
  <c r="L290" i="42" s="1"/>
  <c r="M290" i="42" s="1"/>
  <c r="H293" i="42"/>
  <c r="J179" i="51"/>
  <c r="J892" i="4"/>
  <c r="J893" i="4"/>
  <c r="J894" i="4"/>
  <c r="J891" i="4"/>
  <c r="J681" i="51" l="1"/>
  <c r="J680" i="51"/>
  <c r="L500" i="51"/>
  <c r="J144" i="51"/>
  <c r="H20" i="42" s="1"/>
  <c r="H194" i="51" l="1"/>
  <c r="H192" i="51"/>
  <c r="J192" i="51" s="1"/>
  <c r="K281" i="42"/>
  <c r="K282" i="42" s="1"/>
  <c r="L282" i="42" s="1"/>
  <c r="J190" i="4"/>
  <c r="J191" i="4" s="1"/>
  <c r="H283" i="42"/>
  <c r="F287" i="42"/>
  <c r="F298" i="42" s="1"/>
  <c r="H286" i="42"/>
  <c r="H285" i="42"/>
  <c r="H282" i="42"/>
  <c r="J74" i="4"/>
  <c r="H230" i="58"/>
  <c r="J229" i="58"/>
  <c r="K283" i="42" l="1"/>
  <c r="H281" i="42"/>
  <c r="L281" i="42"/>
  <c r="J230" i="58"/>
  <c r="J224" i="58" l="1"/>
  <c r="L283" i="42"/>
  <c r="K284" i="42"/>
  <c r="L284" i="42" s="1"/>
  <c r="G208" i="42" l="1"/>
  <c r="H208" i="42" s="1"/>
  <c r="G207" i="42"/>
  <c r="J207" i="42"/>
  <c r="K207" i="42" s="1"/>
  <c r="L207" i="42" s="1"/>
  <c r="K208" i="42" l="1"/>
  <c r="L208" i="42" s="1"/>
  <c r="J736" i="51" l="1"/>
  <c r="G211" i="42" l="1"/>
  <c r="G215" i="42" s="1"/>
  <c r="F211" i="42"/>
  <c r="F215" i="42" s="1"/>
  <c r="H209" i="42"/>
  <c r="H210" i="42"/>
  <c r="H207" i="42" l="1"/>
  <c r="H211" i="42" s="1"/>
  <c r="H215" i="42" s="1"/>
  <c r="G225" i="50" l="1"/>
  <c r="G207" i="50"/>
  <c r="F192" i="42" l="1"/>
  <c r="G185" i="42"/>
  <c r="G186" i="42"/>
  <c r="H186" i="42" s="1"/>
  <c r="G187" i="42"/>
  <c r="H187" i="42" s="1"/>
  <c r="J165" i="51"/>
  <c r="J164" i="51"/>
  <c r="H185" i="42" l="1"/>
  <c r="G183" i="42" l="1"/>
  <c r="F183" i="42"/>
  <c r="F193" i="42" s="1"/>
  <c r="H182" i="42"/>
  <c r="H181" i="42"/>
  <c r="G190" i="42"/>
  <c r="H190" i="42" s="1"/>
  <c r="G191" i="42"/>
  <c r="H191" i="42" s="1"/>
  <c r="G189" i="42"/>
  <c r="J587" i="51"/>
  <c r="G188" i="42"/>
  <c r="H183" i="42" l="1"/>
  <c r="G192" i="42"/>
  <c r="G193" i="42" s="1"/>
  <c r="H189" i="42"/>
  <c r="H188" i="42" l="1"/>
  <c r="H192" i="42" s="1"/>
  <c r="H193" i="42" s="1"/>
  <c r="G162" i="42" l="1"/>
  <c r="H162" i="42" s="1"/>
  <c r="G161" i="42"/>
  <c r="H161" i="42" s="1"/>
  <c r="G165" i="42"/>
  <c r="H165" i="42" s="1"/>
  <c r="G166" i="42"/>
  <c r="H166" i="42" s="1"/>
  <c r="F167" i="42"/>
  <c r="F163" i="42"/>
  <c r="G163" i="42" l="1"/>
  <c r="F168" i="42"/>
  <c r="G167" i="42"/>
  <c r="H167" i="42"/>
  <c r="H163" i="42"/>
  <c r="H168" i="42" l="1"/>
  <c r="G168" i="42"/>
  <c r="G130" i="42" l="1"/>
  <c r="G129" i="42"/>
  <c r="H128" i="42"/>
  <c r="G137" i="42"/>
  <c r="G136" i="42"/>
  <c r="G146" i="42" l="1"/>
  <c r="F146" i="42"/>
  <c r="H145" i="42"/>
  <c r="H144" i="42"/>
  <c r="G133" i="42"/>
  <c r="H133" i="42" s="1"/>
  <c r="G142" i="42"/>
  <c r="G140" i="42"/>
  <c r="H140" i="42" s="1"/>
  <c r="F142" i="42"/>
  <c r="H141" i="42"/>
  <c r="H142" i="42" s="1"/>
  <c r="J487" i="51"/>
  <c r="J488" i="51" s="1"/>
  <c r="J491" i="51" s="1"/>
  <c r="H137" i="42"/>
  <c r="H135" i="42"/>
  <c r="H130" i="42"/>
  <c r="F138" i="42"/>
  <c r="G138" i="42"/>
  <c r="J136" i="42"/>
  <c r="H134" i="42"/>
  <c r="L488" i="51" l="1"/>
  <c r="H146" i="42"/>
  <c r="H136" i="42"/>
  <c r="K136" i="42" s="1"/>
  <c r="H138" i="42" l="1"/>
  <c r="F131" i="42" l="1"/>
  <c r="F147" i="42" s="1"/>
  <c r="H129" i="42"/>
  <c r="H127" i="42"/>
  <c r="H131" i="42" l="1"/>
  <c r="H147" i="42" s="1"/>
  <c r="G131" i="42"/>
  <c r="G147" i="42" s="1"/>
  <c r="L429" i="4" l="1"/>
  <c r="F112" i="42" l="1"/>
  <c r="F113" i="42" s="1"/>
  <c r="G110" i="42"/>
  <c r="G111" i="42"/>
  <c r="H111" i="42" s="1"/>
  <c r="G112" i="42" l="1"/>
  <c r="G113" i="42" s="1"/>
  <c r="H110" i="42"/>
  <c r="H112" i="42" s="1"/>
  <c r="H113" i="42" s="1"/>
  <c r="H570" i="51" l="1"/>
  <c r="H569" i="51"/>
  <c r="H568" i="51"/>
  <c r="H571" i="51"/>
  <c r="H350" i="51"/>
  <c r="I350" i="51"/>
  <c r="H353" i="51"/>
  <c r="K789" i="4" l="1"/>
  <c r="G10" i="61" s="1"/>
  <c r="L24" i="61" l="1"/>
  <c r="M24" i="61" s="1"/>
  <c r="G6" i="61" l="1"/>
  <c r="J166" i="51" l="1"/>
  <c r="J155" i="51"/>
  <c r="G12" i="61" l="1"/>
  <c r="L274" i="4" l="1"/>
  <c r="H95" i="42" l="1"/>
  <c r="H94" i="42"/>
  <c r="H93" i="42"/>
  <c r="H92" i="42"/>
  <c r="G96" i="42"/>
  <c r="F96" i="42"/>
  <c r="G90" i="42"/>
  <c r="F90" i="42"/>
  <c r="H89" i="42"/>
  <c r="H88" i="42"/>
  <c r="H87" i="42"/>
  <c r="H86" i="42"/>
  <c r="G82" i="42"/>
  <c r="F82" i="42"/>
  <c r="G76" i="42"/>
  <c r="F76" i="42"/>
  <c r="H81" i="42"/>
  <c r="H80" i="42"/>
  <c r="H79" i="42"/>
  <c r="H78" i="42"/>
  <c r="H75" i="42"/>
  <c r="H74" i="42"/>
  <c r="H73" i="42"/>
  <c r="H72" i="42"/>
  <c r="F83" i="42" l="1"/>
  <c r="G83" i="42"/>
  <c r="G97" i="42"/>
  <c r="F97" i="42"/>
  <c r="H96" i="42"/>
  <c r="H90" i="42"/>
  <c r="H82" i="42"/>
  <c r="H76" i="42"/>
  <c r="H97" i="42" l="1"/>
  <c r="H83" i="42"/>
  <c r="J83" i="51" l="1"/>
  <c r="J735" i="51"/>
  <c r="J731" i="51" s="1"/>
  <c r="K83" i="51" s="1"/>
  <c r="G10" i="42"/>
  <c r="G32" i="42" s="1"/>
  <c r="F10" i="42"/>
  <c r="F32" i="42" s="1"/>
  <c r="K9" i="42"/>
  <c r="L9" i="42" s="1"/>
  <c r="M9" i="42" s="1"/>
  <c r="H9" i="42"/>
  <c r="H10" i="42" s="1"/>
  <c r="H19" i="42"/>
  <c r="J287" i="4" l="1"/>
  <c r="M287" i="4" s="1"/>
  <c r="H111" i="58" l="1"/>
  <c r="J110" i="58"/>
  <c r="J111" i="58" l="1"/>
  <c r="J104" i="58" s="1"/>
  <c r="H17" i="62"/>
  <c r="H16" i="62"/>
  <c r="H9" i="62"/>
  <c r="H8" i="62"/>
  <c r="H6" i="62"/>
  <c r="G224" i="50" l="1"/>
  <c r="G226" i="50" s="1"/>
  <c r="G205" i="50"/>
  <c r="G204" i="50"/>
  <c r="G208" i="50" s="1"/>
  <c r="G175" i="50"/>
  <c r="G176" i="50" s="1"/>
  <c r="G162" i="50" s="1"/>
  <c r="G199" i="50" l="1"/>
  <c r="G219" i="50"/>
  <c r="H12" i="62"/>
  <c r="L670" i="51"/>
  <c r="J665" i="51"/>
  <c r="J666" i="51" s="1"/>
  <c r="J610" i="51"/>
  <c r="J611" i="51" s="1"/>
  <c r="H15" i="62" s="1"/>
  <c r="J609" i="51"/>
  <c r="J552" i="51"/>
  <c r="J542" i="51"/>
  <c r="J541" i="51"/>
  <c r="J299" i="51"/>
  <c r="J300" i="51" s="1"/>
  <c r="J286" i="51"/>
  <c r="J285" i="51"/>
  <c r="J284" i="51"/>
  <c r="G179" i="50" l="1"/>
  <c r="G21" i="50"/>
  <c r="L11" i="50"/>
  <c r="N11" i="50" s="1"/>
  <c r="H11" i="62"/>
  <c r="G218" i="50"/>
  <c r="J304" i="51"/>
  <c r="L300" i="51"/>
  <c r="J578" i="51"/>
  <c r="L578" i="51" s="1"/>
  <c r="J543" i="51"/>
  <c r="L547" i="51"/>
  <c r="J553" i="51"/>
  <c r="J288" i="51"/>
  <c r="H21" i="50" l="1"/>
  <c r="G16" i="50"/>
  <c r="G8" i="50" s="1"/>
  <c r="L288" i="51"/>
  <c r="J557" i="51"/>
  <c r="L553" i="51"/>
  <c r="L83" i="51"/>
  <c r="J292" i="51"/>
  <c r="H782" i="4" l="1"/>
  <c r="J895" i="4" l="1"/>
  <c r="J880" i="4" l="1"/>
  <c r="J816" i="4" s="1"/>
  <c r="J897" i="4"/>
  <c r="G570" i="4"/>
  <c r="G560" i="4"/>
  <c r="H613" i="4"/>
  <c r="G561" i="4"/>
  <c r="J561" i="4" s="1"/>
  <c r="G571" i="4"/>
  <c r="J493" i="4" l="1"/>
  <c r="L347" i="4" l="1"/>
  <c r="J298" i="4"/>
  <c r="L1124" i="4"/>
  <c r="L276" i="4"/>
  <c r="J1144" i="4"/>
  <c r="J1142" i="4"/>
  <c r="J348" i="4" l="1"/>
  <c r="J203" i="4" l="1"/>
  <c r="J161" i="4" l="1"/>
  <c r="J160" i="4" s="1"/>
  <c r="L57" i="4"/>
  <c r="J46" i="4"/>
  <c r="J30" i="4" s="1"/>
  <c r="H163" i="4" l="1"/>
  <c r="J163" i="4" s="1"/>
  <c r="J162" i="4" s="1"/>
  <c r="J164" i="4" s="1"/>
  <c r="F1115" i="42" l="1"/>
  <c r="F1116" i="42" s="1"/>
  <c r="G1114" i="42"/>
  <c r="H1114" i="42" s="1"/>
  <c r="G1113" i="42"/>
  <c r="H1113" i="42" s="1"/>
  <c r="G1112" i="42"/>
  <c r="G1111" i="42"/>
  <c r="H1111" i="42" s="1"/>
  <c r="G1115" i="42" l="1"/>
  <c r="G1116" i="42" s="1"/>
  <c r="H1112" i="42"/>
  <c r="H1115" i="42" s="1"/>
  <c r="H1116" i="42" s="1"/>
  <c r="F1075" i="42"/>
  <c r="G1074" i="42"/>
  <c r="H1074" i="42" s="1"/>
  <c r="G1073" i="42"/>
  <c r="H1073" i="42" s="1"/>
  <c r="F1085" i="42"/>
  <c r="G1084" i="42"/>
  <c r="H1084" i="42" s="1"/>
  <c r="H1085" i="42" s="1"/>
  <c r="G1083" i="42"/>
  <c r="H1083" i="42" s="1"/>
  <c r="G1080" i="42"/>
  <c r="H1080" i="42" s="1"/>
  <c r="G1079" i="42"/>
  <c r="H1079" i="42" s="1"/>
  <c r="G1078" i="42"/>
  <c r="H1078" i="42" s="1"/>
  <c r="G1077" i="42"/>
  <c r="G1072" i="42"/>
  <c r="G1097" i="42"/>
  <c r="G1098" i="42" s="1"/>
  <c r="F1097" i="42"/>
  <c r="F1098" i="42" s="1"/>
  <c r="H1096" i="42"/>
  <c r="H1095" i="42"/>
  <c r="G1091" i="42"/>
  <c r="G1092" i="42" s="1"/>
  <c r="F1091" i="42"/>
  <c r="F1092" i="42" s="1"/>
  <c r="H1090" i="42"/>
  <c r="H1089" i="42"/>
  <c r="F1081" i="42"/>
  <c r="F1070" i="42"/>
  <c r="K1069" i="42"/>
  <c r="L1069" i="42" s="1"/>
  <c r="M1069" i="42" s="1"/>
  <c r="H1069" i="42"/>
  <c r="K1068" i="42"/>
  <c r="L1068" i="42" s="1"/>
  <c r="M1068" i="42" s="1"/>
  <c r="H1068" i="42"/>
  <c r="G1075" i="42" l="1"/>
  <c r="G1085" i="42"/>
  <c r="F1086" i="42"/>
  <c r="H1097" i="42"/>
  <c r="H1098" i="42" s="1"/>
  <c r="H1072" i="42"/>
  <c r="H1075" i="42" s="1"/>
  <c r="H1070" i="42"/>
  <c r="G1081" i="42"/>
  <c r="H1091" i="42"/>
  <c r="H1092" i="42" s="1"/>
  <c r="G1070" i="42"/>
  <c r="H1077" i="42"/>
  <c r="H1081" i="42" s="1"/>
  <c r="G1086" i="42" l="1"/>
  <c r="H1086" i="42"/>
  <c r="H10" i="62" l="1"/>
  <c r="J285" i="42" l="1"/>
  <c r="G5" i="61" l="1"/>
  <c r="G1047" i="42" l="1"/>
  <c r="H1046" i="42"/>
  <c r="H1047" i="42" s="1"/>
  <c r="I1045" i="42"/>
  <c r="I1046" i="42" l="1"/>
  <c r="I1047" i="42" s="1"/>
  <c r="I1051" i="42"/>
  <c r="I1050" i="42"/>
  <c r="G1052" i="42"/>
  <c r="G1053" i="42" s="1"/>
  <c r="H1052" i="42" l="1"/>
  <c r="H1053" i="42" s="1"/>
  <c r="I1049" i="42"/>
  <c r="I1052" i="42" s="1"/>
  <c r="I1053" i="42" s="1"/>
  <c r="L787" i="4" l="1"/>
  <c r="H1030" i="42" l="1"/>
  <c r="I1030" i="42" s="1"/>
  <c r="H1029" i="42"/>
  <c r="I1029" i="42" s="1"/>
  <c r="G1031" i="42"/>
  <c r="G1032" i="42" s="1"/>
  <c r="H1028" i="42"/>
  <c r="I1028" i="42" s="1"/>
  <c r="H1027" i="42"/>
  <c r="K1027" i="42"/>
  <c r="L1027" i="42" s="1"/>
  <c r="M1027" i="42" s="1"/>
  <c r="H1031" i="42" l="1"/>
  <c r="H1032" i="42" s="1"/>
  <c r="I1027" i="42"/>
  <c r="I1031" i="42" s="1"/>
  <c r="I1032" i="42" s="1"/>
  <c r="L1028" i="42"/>
  <c r="M1028" i="42" s="1"/>
  <c r="J706" i="51" l="1"/>
  <c r="J674" i="51"/>
  <c r="J673" i="51" s="1"/>
  <c r="J605" i="51"/>
  <c r="J604" i="51" s="1"/>
  <c r="J594" i="4"/>
  <c r="G1013" i="42"/>
  <c r="G1014" i="42" s="1"/>
  <c r="H1007" i="42"/>
  <c r="I1007" i="42" s="1"/>
  <c r="H1006" i="42"/>
  <c r="I1006" i="42" s="1"/>
  <c r="H1009" i="42"/>
  <c r="I1009" i="42" s="1"/>
  <c r="H1008" i="42"/>
  <c r="I1008" i="42" s="1"/>
  <c r="I1011" i="42"/>
  <c r="H1012" i="42"/>
  <c r="I1012" i="42" s="1"/>
  <c r="I1010" i="42"/>
  <c r="I1013" i="42" l="1"/>
  <c r="I1014" i="42" s="1"/>
  <c r="H1013" i="42"/>
  <c r="H1014" i="42" s="1"/>
  <c r="H976" i="42" l="1"/>
  <c r="G976" i="42"/>
  <c r="I975" i="42"/>
  <c r="I974" i="42"/>
  <c r="I976" i="42" l="1"/>
  <c r="J156" i="51"/>
  <c r="H984" i="42" l="1"/>
  <c r="H985" i="42"/>
  <c r="I985" i="42" s="1"/>
  <c r="H978" i="42"/>
  <c r="I978" i="42" s="1"/>
  <c r="H988" i="42"/>
  <c r="I992" i="42"/>
  <c r="I991" i="42"/>
  <c r="H993" i="42"/>
  <c r="G993" i="42"/>
  <c r="I990" i="42"/>
  <c r="I983" i="42"/>
  <c r="G986" i="42"/>
  <c r="I982" i="42"/>
  <c r="I981" i="42"/>
  <c r="H986" i="42" l="1"/>
  <c r="I984" i="42"/>
  <c r="J171" i="51" l="1"/>
  <c r="J172" i="51" s="1"/>
  <c r="H202" i="51" s="1"/>
  <c r="J202" i="51" s="1"/>
  <c r="I980" i="42" l="1"/>
  <c r="I979" i="42" l="1"/>
  <c r="I986" i="42" s="1"/>
  <c r="I988" i="42" l="1"/>
  <c r="G972" i="42"/>
  <c r="H967" i="42"/>
  <c r="I967" i="42" s="1"/>
  <c r="H966" i="42"/>
  <c r="I966" i="42" s="1"/>
  <c r="G968" i="42"/>
  <c r="G994" i="42" l="1"/>
  <c r="I989" i="42"/>
  <c r="I993" i="42" s="1"/>
  <c r="H968" i="42"/>
  <c r="I968" i="42"/>
  <c r="H971" i="42"/>
  <c r="I971" i="42" s="1"/>
  <c r="H970" i="42"/>
  <c r="K970" i="42"/>
  <c r="I970" i="42" l="1"/>
  <c r="I972" i="42" s="1"/>
  <c r="I994" i="42" s="1"/>
  <c r="H972" i="42"/>
  <c r="H994" i="42" s="1"/>
  <c r="L970" i="42"/>
  <c r="M970" i="42" s="1"/>
  <c r="L971" i="42" l="1"/>
  <c r="M971" i="42" s="1"/>
  <c r="H951" i="42" l="1"/>
  <c r="I951" i="42" s="1"/>
  <c r="H950" i="42"/>
  <c r="I950" i="42" s="1"/>
  <c r="G952" i="42"/>
  <c r="G953" i="42" s="1"/>
  <c r="I952" i="42" l="1"/>
  <c r="I953" i="42" s="1"/>
  <c r="H952" i="42"/>
  <c r="H953" i="42" s="1"/>
  <c r="J427" i="51" l="1"/>
  <c r="J395" i="51"/>
  <c r="J384" i="51"/>
  <c r="J373" i="51"/>
  <c r="J449" i="51"/>
  <c r="J438" i="51"/>
  <c r="J415" i="51"/>
  <c r="J471" i="51"/>
  <c r="J460" i="51"/>
  <c r="J342" i="51"/>
  <c r="H935" i="42" l="1"/>
  <c r="H934" i="42"/>
  <c r="H932" i="42"/>
  <c r="H933" i="42"/>
  <c r="H931" i="42"/>
  <c r="I935" i="42" l="1"/>
  <c r="I934" i="42"/>
  <c r="G936" i="42"/>
  <c r="G937" i="42" s="1"/>
  <c r="I932" i="42"/>
  <c r="I931" i="42" l="1"/>
  <c r="I933" i="42"/>
  <c r="I936" i="42" l="1"/>
  <c r="I937" i="42" s="1"/>
  <c r="H936" i="42"/>
  <c r="H937" i="42" s="1"/>
  <c r="H915" i="42" l="1"/>
  <c r="I915" i="42" s="1"/>
  <c r="I916" i="42"/>
  <c r="I917" i="42" s="1"/>
  <c r="I918" i="42" s="1"/>
  <c r="H917" i="42"/>
  <c r="H918" i="42" s="1"/>
  <c r="G917" i="42"/>
  <c r="G918" i="42" s="1"/>
  <c r="H898" i="42" l="1"/>
  <c r="I898" i="42" s="1"/>
  <c r="H901" i="42"/>
  <c r="I901" i="42" s="1"/>
  <c r="H899" i="42"/>
  <c r="I899" i="42" s="1"/>
  <c r="H900" i="42"/>
  <c r="I900" i="42" s="1"/>
  <c r="G902" i="42"/>
  <c r="G903" i="42" s="1"/>
  <c r="H884" i="42"/>
  <c r="I884" i="42" s="1"/>
  <c r="H883" i="42"/>
  <c r="G885" i="42"/>
  <c r="G886" i="42" s="1"/>
  <c r="I902" i="42" l="1"/>
  <c r="I903" i="42" s="1"/>
  <c r="H902" i="42"/>
  <c r="H903" i="42" s="1"/>
  <c r="H885" i="42"/>
  <c r="H886" i="42" s="1"/>
  <c r="I883" i="42"/>
  <c r="I885" i="42" l="1"/>
  <c r="I886" i="42" s="1"/>
  <c r="G869" i="42"/>
  <c r="G870" i="42" s="1"/>
  <c r="H866" i="42"/>
  <c r="H857" i="42"/>
  <c r="I857" i="42" s="1"/>
  <c r="H858" i="42"/>
  <c r="I858" i="42" s="1"/>
  <c r="H859" i="42"/>
  <c r="I859" i="42" s="1"/>
  <c r="H867" i="42"/>
  <c r="I867" i="42" s="1"/>
  <c r="I868" i="42"/>
  <c r="I865" i="42"/>
  <c r="G860" i="42"/>
  <c r="G861" i="42" s="1"/>
  <c r="I856" i="42"/>
  <c r="H869" i="42" l="1"/>
  <c r="H870" i="42" s="1"/>
  <c r="I866" i="42"/>
  <c r="I869" i="42" s="1"/>
  <c r="I870" i="42" s="1"/>
  <c r="H860" i="42"/>
  <c r="H861" i="42" s="1"/>
  <c r="I860" i="42"/>
  <c r="I861" i="42" s="1"/>
  <c r="H851" i="42"/>
  <c r="H852" i="42" s="1"/>
  <c r="G851" i="42"/>
  <c r="G852" i="42" s="1"/>
  <c r="I848" i="42" l="1"/>
  <c r="I849" i="42"/>
  <c r="I850" i="42"/>
  <c r="I851" i="42" l="1"/>
  <c r="I852" i="42" s="1"/>
  <c r="L498" i="4" l="1"/>
  <c r="G216" i="50" l="1"/>
  <c r="G217" i="50" s="1"/>
  <c r="G210" i="50" s="1"/>
  <c r="G273" i="50"/>
  <c r="G272" i="50"/>
  <c r="G274" i="50" l="1"/>
  <c r="G267" i="50" s="1"/>
  <c r="H801" i="42" l="1"/>
  <c r="G801" i="42"/>
  <c r="I800" i="42"/>
  <c r="I799" i="42"/>
  <c r="I801" i="42" l="1"/>
  <c r="J310" i="51"/>
  <c r="J279" i="51" s="1"/>
  <c r="L1126" i="4"/>
  <c r="L786" i="4"/>
  <c r="H467" i="42" l="1"/>
  <c r="H471" i="42" s="1"/>
  <c r="G471" i="42"/>
  <c r="H832" i="42"/>
  <c r="H830" i="42"/>
  <c r="H829" i="42"/>
  <c r="I829" i="42" s="1"/>
  <c r="H827" i="42"/>
  <c r="I827" i="42" s="1"/>
  <c r="G828" i="42"/>
  <c r="H828" i="42" s="1"/>
  <c r="I828" i="42" s="1"/>
  <c r="H826" i="42"/>
  <c r="I826" i="42" s="1"/>
  <c r="I831" i="42"/>
  <c r="L1156" i="4" l="1"/>
  <c r="G833" i="42"/>
  <c r="G834" i="42" s="1"/>
  <c r="I832" i="42"/>
  <c r="H833" i="42" l="1"/>
  <c r="H834" i="42" s="1"/>
  <c r="I830" i="42"/>
  <c r="I833" i="42" s="1"/>
  <c r="I834" i="42" s="1"/>
  <c r="G812" i="42" l="1"/>
  <c r="H808" i="42"/>
  <c r="I808" i="42" s="1"/>
  <c r="H809" i="42"/>
  <c r="I809" i="42" s="1"/>
  <c r="H21" i="51"/>
  <c r="J21" i="51" s="1"/>
  <c r="H811" i="42" l="1"/>
  <c r="H812" i="42" s="1"/>
  <c r="J350" i="51"/>
  <c r="J351" i="51"/>
  <c r="J352" i="51"/>
  <c r="J353" i="51"/>
  <c r="I810" i="42"/>
  <c r="H803" i="42"/>
  <c r="H804" i="42"/>
  <c r="I804" i="42" s="1"/>
  <c r="H805" i="42"/>
  <c r="I805" i="42" s="1"/>
  <c r="G806" i="42"/>
  <c r="G813" i="42" s="1"/>
  <c r="I811" i="42" l="1"/>
  <c r="I812" i="42" s="1"/>
  <c r="H806" i="42"/>
  <c r="H813" i="42" s="1"/>
  <c r="I803" i="42"/>
  <c r="I806" i="42" s="1"/>
  <c r="I813" i="42" l="1"/>
  <c r="K3" i="61" l="1"/>
  <c r="J3" i="61"/>
  <c r="J1164" i="4" l="1"/>
  <c r="L750" i="51"/>
  <c r="L751" i="51"/>
  <c r="H776" i="42" l="1"/>
  <c r="H774" i="42"/>
  <c r="J157" i="51" l="1"/>
  <c r="G25" i="61"/>
  <c r="G28" i="61" s="1"/>
  <c r="J151" i="51" l="1"/>
  <c r="H775" i="42"/>
  <c r="I774" i="42"/>
  <c r="J478" i="51" l="1"/>
  <c r="J423" i="51"/>
  <c r="J422" i="51"/>
  <c r="J338" i="51"/>
  <c r="J337" i="51"/>
  <c r="J335" i="51"/>
  <c r="J334" i="51"/>
  <c r="A334" i="51"/>
  <c r="J333" i="51"/>
  <c r="J479" i="51" l="1"/>
  <c r="J328" i="51" s="1"/>
  <c r="J327" i="51" s="1"/>
  <c r="J424" i="51"/>
  <c r="J428" i="51" s="1"/>
  <c r="J339" i="51"/>
  <c r="J343" i="51" s="1"/>
  <c r="J482" i="51" l="1"/>
  <c r="L479" i="51"/>
  <c r="H784" i="42"/>
  <c r="I784" i="42" s="1"/>
  <c r="I783" i="42"/>
  <c r="G785" i="42"/>
  <c r="H779" i="42"/>
  <c r="I779" i="42" s="1"/>
  <c r="H780" i="42"/>
  <c r="I780" i="42" s="1"/>
  <c r="G781" i="42"/>
  <c r="I776" i="42"/>
  <c r="I775" i="42"/>
  <c r="G777" i="42"/>
  <c r="G786" i="42" l="1"/>
  <c r="I785" i="42"/>
  <c r="H785" i="42"/>
  <c r="I781" i="42"/>
  <c r="H781" i="42"/>
  <c r="H777" i="42"/>
  <c r="I777" i="42"/>
  <c r="H786" i="42" l="1"/>
  <c r="I786" i="42"/>
  <c r="H759" i="42" l="1"/>
  <c r="H758" i="42" l="1"/>
  <c r="I758" i="42" s="1"/>
  <c r="H757" i="42"/>
  <c r="I757" i="42" s="1"/>
  <c r="G760" i="42"/>
  <c r="G761" i="42" s="1"/>
  <c r="I759" i="42"/>
  <c r="H760" i="42" l="1"/>
  <c r="H761" i="42" s="1"/>
  <c r="I760" i="42"/>
  <c r="I761" i="42" s="1"/>
  <c r="H729" i="42" l="1"/>
  <c r="H727" i="42"/>
  <c r="G735" i="42"/>
  <c r="H734" i="42"/>
  <c r="I734" i="42" s="1"/>
  <c r="I733" i="42"/>
  <c r="H735" i="42" l="1"/>
  <c r="I735" i="42"/>
  <c r="H728" i="42"/>
  <c r="G731" i="42" l="1"/>
  <c r="H726" i="42"/>
  <c r="H724" i="42"/>
  <c r="H725" i="42"/>
  <c r="I725" i="42" s="1"/>
  <c r="J210" i="42" l="1"/>
  <c r="H731" i="42"/>
  <c r="I729" i="42"/>
  <c r="L724" i="42"/>
  <c r="L725" i="42" s="1"/>
  <c r="M725" i="42" s="1"/>
  <c r="O901" i="4"/>
  <c r="M724" i="42" l="1"/>
  <c r="I724" i="42" l="1"/>
  <c r="K724" i="42"/>
  <c r="I726" i="42"/>
  <c r="I727" i="42" l="1"/>
  <c r="I730" i="42"/>
  <c r="H742" i="42" l="1"/>
  <c r="I742" i="42" s="1"/>
  <c r="G743" i="42"/>
  <c r="G739" i="42"/>
  <c r="H737" i="42"/>
  <c r="H739" i="42" s="1"/>
  <c r="I738" i="42"/>
  <c r="J246" i="51"/>
  <c r="J242" i="51" s="1"/>
  <c r="G744" i="42" l="1"/>
  <c r="H743" i="42"/>
  <c r="H744" i="42" s="1"/>
  <c r="I741" i="42"/>
  <c r="I743" i="42" s="1"/>
  <c r="J241" i="51"/>
  <c r="H704" i="42" l="1"/>
  <c r="H702" i="42"/>
  <c r="G707" i="42" l="1"/>
  <c r="H703" i="42"/>
  <c r="I703" i="42" s="1"/>
  <c r="G711" i="42"/>
  <c r="H709" i="42"/>
  <c r="H710" i="42"/>
  <c r="I710" i="42" s="1"/>
  <c r="H706" i="42"/>
  <c r="I706" i="42" s="1"/>
  <c r="H705" i="42"/>
  <c r="I705" i="42" s="1"/>
  <c r="I737" i="42"/>
  <c r="I728" i="42"/>
  <c r="I731" i="42" s="1"/>
  <c r="G712" i="42" l="1"/>
  <c r="H711" i="42"/>
  <c r="I739" i="42"/>
  <c r="I744" i="42" s="1"/>
  <c r="H707" i="42"/>
  <c r="I709" i="42"/>
  <c r="I711" i="42" s="1"/>
  <c r="H712" i="42" l="1"/>
  <c r="I704" i="42" l="1"/>
  <c r="I702" i="42"/>
  <c r="I707" i="42" l="1"/>
  <c r="I712" i="42" s="1"/>
  <c r="H684" i="42" l="1"/>
  <c r="I684" i="42" s="1"/>
  <c r="H685" i="42"/>
  <c r="I685" i="42" s="1"/>
  <c r="H680" i="42"/>
  <c r="I680" i="42" s="1"/>
  <c r="H681" i="42"/>
  <c r="I681" i="42" s="1"/>
  <c r="H689" i="42"/>
  <c r="I689" i="42" s="1"/>
  <c r="I690" i="42" s="1"/>
  <c r="H688" i="42"/>
  <c r="I688" i="42" s="1"/>
  <c r="G690" i="42"/>
  <c r="G686" i="42"/>
  <c r="G682" i="42"/>
  <c r="H686" i="42" l="1"/>
  <c r="G691" i="42"/>
  <c r="H690" i="42"/>
  <c r="I682" i="42"/>
  <c r="H682" i="42"/>
  <c r="I686" i="42"/>
  <c r="J568" i="51"/>
  <c r="J571" i="51"/>
  <c r="J570" i="51"/>
  <c r="J569" i="51"/>
  <c r="H691" i="42" l="1"/>
  <c r="I691" i="42"/>
  <c r="J572" i="51"/>
  <c r="L572" i="51" l="1"/>
  <c r="J1135" i="4" l="1"/>
  <c r="J344" i="4" l="1"/>
  <c r="L3" i="61" l="1"/>
  <c r="G9" i="61"/>
  <c r="H658" i="42" l="1"/>
  <c r="H20" i="51"/>
  <c r="J20" i="51" s="1"/>
  <c r="G667" i="42"/>
  <c r="J683" i="51"/>
  <c r="J622" i="51"/>
  <c r="J624" i="51" s="1"/>
  <c r="H666" i="42"/>
  <c r="I666" i="42" s="1"/>
  <c r="J603" i="51"/>
  <c r="J588" i="51"/>
  <c r="J562" i="51"/>
  <c r="H18" i="62" l="1"/>
  <c r="L749" i="51"/>
  <c r="J660" i="51"/>
  <c r="J661" i="51"/>
  <c r="J598" i="51"/>
  <c r="H667" i="42"/>
  <c r="J689" i="51"/>
  <c r="J589" i="51"/>
  <c r="J522" i="51" s="1"/>
  <c r="L589" i="51" l="1"/>
  <c r="J659" i="51"/>
  <c r="J467" i="51"/>
  <c r="J468" i="51" s="1"/>
  <c r="J472" i="51" s="1"/>
  <c r="J456" i="51"/>
  <c r="J457" i="51" s="1"/>
  <c r="J461" i="51" s="1"/>
  <c r="J445" i="51"/>
  <c r="J446" i="51" s="1"/>
  <c r="J450" i="51" s="1"/>
  <c r="J434" i="51"/>
  <c r="J435" i="51" s="1"/>
  <c r="J439" i="51" s="1"/>
  <c r="J411" i="51"/>
  <c r="J412" i="51" s="1"/>
  <c r="J416" i="51" s="1"/>
  <c r="J402" i="51"/>
  <c r="J403" i="51" s="1"/>
  <c r="J391" i="51"/>
  <c r="J392" i="51" s="1"/>
  <c r="J396" i="51" s="1"/>
  <c r="J380" i="51"/>
  <c r="J381" i="51" s="1"/>
  <c r="J385" i="51" s="1"/>
  <c r="J369" i="51"/>
  <c r="J363" i="51"/>
  <c r="J349" i="51"/>
  <c r="J563" i="51"/>
  <c r="L88" i="51" s="1"/>
  <c r="I661" i="42"/>
  <c r="J180" i="51"/>
  <c r="H210" i="51" s="1"/>
  <c r="J210" i="51" s="1"/>
  <c r="J211" i="51" s="1"/>
  <c r="J206" i="51" s="1"/>
  <c r="J175" i="51" l="1"/>
  <c r="J174" i="51" s="1"/>
  <c r="L748" i="51"/>
  <c r="J370" i="51"/>
  <c r="J374" i="51"/>
  <c r="L314" i="51"/>
  <c r="J564" i="51"/>
  <c r="J354" i="51"/>
  <c r="J405" i="51"/>
  <c r="J205" i="51"/>
  <c r="L564" i="51" l="1"/>
  <c r="L313" i="51"/>
  <c r="L358" i="51"/>
  <c r="H13" i="62" l="1"/>
  <c r="M346" i="51"/>
  <c r="O346" i="51" s="1"/>
  <c r="I660" i="42" l="1"/>
  <c r="I659" i="42"/>
  <c r="G656" i="42" l="1"/>
  <c r="G668" i="42" s="1"/>
  <c r="H653" i="42"/>
  <c r="I655" i="42"/>
  <c r="I652" i="42"/>
  <c r="I654" i="42"/>
  <c r="J547" i="4" l="1"/>
  <c r="J286" i="42" l="1"/>
  <c r="J812" i="4"/>
  <c r="J811" i="4"/>
  <c r="J809" i="4"/>
  <c r="J777" i="4"/>
  <c r="L1125" i="4" l="1"/>
  <c r="L1122" i="4"/>
  <c r="L1110" i="4"/>
  <c r="H551" i="4"/>
  <c r="J552" i="4"/>
  <c r="J560" i="4" l="1"/>
  <c r="J563" i="4" s="1"/>
  <c r="J570" i="4"/>
  <c r="J571" i="4"/>
  <c r="J573" i="4" l="1"/>
  <c r="H4" i="62"/>
  <c r="H3" i="62"/>
  <c r="H456" i="42" l="1"/>
  <c r="J556" i="4"/>
  <c r="J480" i="4"/>
  <c r="J479" i="4"/>
  <c r="J423" i="4"/>
  <c r="J422" i="4"/>
  <c r="J421" i="4"/>
  <c r="J388" i="4"/>
  <c r="J478" i="4" l="1"/>
  <c r="K473" i="4" s="1"/>
  <c r="J424" i="4"/>
  <c r="G8" i="61"/>
  <c r="J303" i="4"/>
  <c r="K303" i="4" s="1"/>
  <c r="J302" i="4"/>
  <c r="K302" i="4" s="1"/>
  <c r="J300" i="4"/>
  <c r="K300" i="4" s="1"/>
  <c r="J299" i="4"/>
  <c r="J296" i="4"/>
  <c r="K296" i="4" s="1"/>
  <c r="L478" i="4" l="1"/>
  <c r="J483" i="4"/>
  <c r="J486" i="4" s="1"/>
  <c r="J474" i="4" s="1"/>
  <c r="H15" i="42" s="1"/>
  <c r="H17" i="42" s="1"/>
  <c r="L424" i="4"/>
  <c r="J304" i="4"/>
  <c r="J428" i="4"/>
  <c r="L304" i="4" l="1"/>
  <c r="J473" i="4"/>
  <c r="J280" i="4"/>
  <c r="J285" i="4" s="1"/>
  <c r="J1138" i="4"/>
  <c r="J1136" i="4"/>
  <c r="J1133" i="4"/>
  <c r="J1140" i="4"/>
  <c r="L275" i="4" l="1"/>
  <c r="L191" i="4" l="1"/>
  <c r="J180" i="4" l="1"/>
  <c r="J179" i="4" l="1"/>
  <c r="J177" i="4" s="1"/>
  <c r="J175" i="4" s="1"/>
  <c r="G284" i="42"/>
  <c r="J186" i="58"/>
  <c r="J193" i="58"/>
  <c r="J192" i="58"/>
  <c r="J214" i="58"/>
  <c r="J215" i="58" s="1"/>
  <c r="J219" i="58" s="1"/>
  <c r="J116" i="58"/>
  <c r="J172" i="58"/>
  <c r="H284" i="42" l="1"/>
  <c r="H287" i="42" s="1"/>
  <c r="H298" i="42" s="1"/>
  <c r="G287" i="42"/>
  <c r="G298" i="42" s="1"/>
  <c r="J194" i="58"/>
  <c r="J199" i="58" s="1"/>
  <c r="I665" i="42" l="1"/>
  <c r="I664" i="42"/>
  <c r="I663" i="42"/>
  <c r="I662" i="42"/>
  <c r="I658" i="42"/>
  <c r="I653" i="42"/>
  <c r="H651" i="42"/>
  <c r="H649" i="42"/>
  <c r="G649" i="42"/>
  <c r="I648" i="42"/>
  <c r="I647" i="42"/>
  <c r="G632" i="42"/>
  <c r="I631" i="42"/>
  <c r="H630" i="42"/>
  <c r="I630" i="42" s="1"/>
  <c r="I629" i="42"/>
  <c r="H628" i="42"/>
  <c r="I628" i="42" s="1"/>
  <c r="G626" i="42"/>
  <c r="H625" i="42"/>
  <c r="I625" i="42" s="1"/>
  <c r="H624" i="42"/>
  <c r="I624" i="42" s="1"/>
  <c r="I623" i="42"/>
  <c r="I622" i="42"/>
  <c r="H621" i="42"/>
  <c r="G619" i="42"/>
  <c r="H618" i="42"/>
  <c r="I618" i="42" s="1"/>
  <c r="H617" i="42"/>
  <c r="I617" i="42" s="1"/>
  <c r="H616" i="42"/>
  <c r="I616" i="42" s="1"/>
  <c r="H615" i="42"/>
  <c r="H613" i="42"/>
  <c r="G613" i="42"/>
  <c r="I612" i="42"/>
  <c r="I611" i="42"/>
  <c r="I610" i="42"/>
  <c r="I667" i="42" l="1"/>
  <c r="H626" i="42"/>
  <c r="G633" i="42"/>
  <c r="I621" i="42"/>
  <c r="I626" i="42" s="1"/>
  <c r="H656" i="42"/>
  <c r="H668" i="42" s="1"/>
  <c r="I632" i="42"/>
  <c r="I613" i="42"/>
  <c r="I649" i="42"/>
  <c r="H619" i="42"/>
  <c r="I615" i="42"/>
  <c r="I619" i="42" s="1"/>
  <c r="H632" i="42"/>
  <c r="I651" i="42"/>
  <c r="I656" i="42" l="1"/>
  <c r="I668" i="42" s="1"/>
  <c r="H633" i="42"/>
  <c r="I633" i="42"/>
  <c r="H594" i="42"/>
  <c r="I594" i="42" s="1"/>
  <c r="H590" i="42"/>
  <c r="H592" i="42" s="1"/>
  <c r="I591" i="42"/>
  <c r="G596" i="42"/>
  <c r="H595" i="42"/>
  <c r="I595" i="42" s="1"/>
  <c r="I596" i="42" s="1"/>
  <c r="G592" i="42"/>
  <c r="G597" i="42" l="1"/>
  <c r="H596" i="42"/>
  <c r="H597" i="42" s="1"/>
  <c r="I590" i="42"/>
  <c r="I592" i="42" s="1"/>
  <c r="I597" i="42" s="1"/>
  <c r="K205" i="4" l="1"/>
  <c r="G4" i="61" s="1"/>
  <c r="O474" i="4" l="1"/>
  <c r="J232" i="4" l="1"/>
  <c r="J203" i="51" l="1"/>
  <c r="L203" i="51" s="1"/>
  <c r="J198" i="51" l="1"/>
  <c r="J197" i="51" s="1"/>
  <c r="J204" i="58"/>
  <c r="J395" i="4"/>
  <c r="J396" i="4" s="1"/>
  <c r="J400" i="4" l="1"/>
  <c r="L396" i="4"/>
  <c r="J205" i="58"/>
  <c r="J209" i="58" s="1"/>
  <c r="J171" i="58"/>
  <c r="J173" i="58" l="1"/>
  <c r="J177" i="58" s="1"/>
  <c r="J640" i="58" l="1"/>
  <c r="J639" i="58"/>
  <c r="J638" i="58"/>
  <c r="J637" i="58"/>
  <c r="J636" i="58"/>
  <c r="J635" i="58"/>
  <c r="J634" i="58"/>
  <c r="A634" i="58"/>
  <c r="J633" i="58"/>
  <c r="J623" i="58"/>
  <c r="J624" i="58" s="1"/>
  <c r="J617" i="58" s="1"/>
  <c r="J616" i="58" s="1"/>
  <c r="J614" i="58"/>
  <c r="J608" i="58"/>
  <c r="J600" i="58"/>
  <c r="J587" i="58"/>
  <c r="J580" i="58"/>
  <c r="J581" i="58" s="1"/>
  <c r="J573" i="58"/>
  <c r="J559" i="58"/>
  <c r="J551" i="58" s="1"/>
  <c r="J550" i="58" s="1"/>
  <c r="J547" i="58"/>
  <c r="J546" i="58"/>
  <c r="J545" i="58"/>
  <c r="J544" i="58"/>
  <c r="J543" i="58"/>
  <c r="J542" i="58"/>
  <c r="J541" i="58"/>
  <c r="J540" i="58"/>
  <c r="J539" i="58"/>
  <c r="J538" i="58"/>
  <c r="J537" i="58"/>
  <c r="J536" i="58"/>
  <c r="J535" i="58"/>
  <c r="J525" i="58"/>
  <c r="J518" i="58" s="1"/>
  <c r="J517" i="58" s="1"/>
  <c r="J514" i="58"/>
  <c r="J513" i="58"/>
  <c r="J512" i="58"/>
  <c r="J505" i="58"/>
  <c r="J506" i="58" s="1"/>
  <c r="A505" i="58"/>
  <c r="J498" i="58"/>
  <c r="J499" i="58" s="1"/>
  <c r="J492" i="58"/>
  <c r="J478" i="58"/>
  <c r="J467" i="58"/>
  <c r="J466" i="58"/>
  <c r="J465" i="58"/>
  <c r="J464" i="58"/>
  <c r="J459" i="58"/>
  <c r="A458" i="58"/>
  <c r="J452" i="58"/>
  <c r="J442" i="58"/>
  <c r="J432" i="58"/>
  <c r="J412" i="58"/>
  <c r="J411" i="58"/>
  <c r="J409" i="58"/>
  <c r="J402" i="58" s="1"/>
  <c r="J399" i="58"/>
  <c r="H399" i="58"/>
  <c r="A397" i="58"/>
  <c r="A398" i="58" s="1"/>
  <c r="J386" i="58"/>
  <c r="J378" i="58" s="1"/>
  <c r="J377" i="58" s="1"/>
  <c r="A385" i="58"/>
  <c r="J375" i="58"/>
  <c r="J367" i="58" s="1"/>
  <c r="J366" i="58" s="1"/>
  <c r="A374" i="58"/>
  <c r="J363" i="58"/>
  <c r="J364" i="58" s="1"/>
  <c r="J357" i="58" s="1"/>
  <c r="J356" i="58" s="1"/>
  <c r="J351" i="58"/>
  <c r="J354" i="58" s="1"/>
  <c r="J338" i="58"/>
  <c r="J340" i="58" s="1"/>
  <c r="J328" i="58"/>
  <c r="J317" i="58"/>
  <c r="J319" i="58" s="1"/>
  <c r="H316" i="58"/>
  <c r="J306" i="58"/>
  <c r="J296" i="58"/>
  <c r="J298" i="58" s="1"/>
  <c r="J287" i="58"/>
  <c r="J275" i="58"/>
  <c r="I274" i="58"/>
  <c r="J268" i="58"/>
  <c r="J267" i="58"/>
  <c r="J261" i="58"/>
  <c r="J259" i="58"/>
  <c r="J252" i="58"/>
  <c r="J253" i="58" s="1"/>
  <c r="J243" i="58"/>
  <c r="J245" i="58" s="1"/>
  <c r="J236" i="58"/>
  <c r="J185" i="58"/>
  <c r="J181" i="58"/>
  <c r="J182" i="58" s="1"/>
  <c r="J167" i="58"/>
  <c r="J160" i="58"/>
  <c r="J159" i="58"/>
  <c r="J153" i="58"/>
  <c r="J151" i="58"/>
  <c r="A144" i="58"/>
  <c r="J143" i="58"/>
  <c r="J142" i="58"/>
  <c r="J141" i="58"/>
  <c r="A140" i="58"/>
  <c r="J139" i="58"/>
  <c r="A138" i="58"/>
  <c r="J132" i="58"/>
  <c r="J122" i="58"/>
  <c r="A122" i="58"/>
  <c r="J121" i="58"/>
  <c r="J90" i="58" s="1"/>
  <c r="J89" i="58" s="1"/>
  <c r="J80" i="58"/>
  <c r="J642" i="58" s="1"/>
  <c r="J70" i="58"/>
  <c r="A70" i="58"/>
  <c r="J69" i="58"/>
  <c r="J56" i="58"/>
  <c r="J49" i="58" s="1"/>
  <c r="J46" i="58"/>
  <c r="J39" i="58" s="1"/>
  <c r="J36" i="58"/>
  <c r="L36" i="58" s="1"/>
  <c r="A34" i="58"/>
  <c r="A35" i="58" s="1"/>
  <c r="J32" i="58"/>
  <c r="J14" i="58"/>
  <c r="M4" i="58" s="1"/>
  <c r="O4" i="58" s="1"/>
  <c r="J13" i="58"/>
  <c r="J11" i="58"/>
  <c r="J10" i="58"/>
  <c r="J71" i="58" l="1"/>
  <c r="J123" i="58"/>
  <c r="J28" i="58"/>
  <c r="M2" i="58"/>
  <c r="J641" i="58"/>
  <c r="J627" i="58" s="1"/>
  <c r="J626" i="58" s="1"/>
  <c r="M5" i="58"/>
  <c r="O5" i="58" s="1"/>
  <c r="J74" i="58"/>
  <c r="M3" i="58" s="1"/>
  <c r="J262" i="58"/>
  <c r="J269" i="58"/>
  <c r="J309" i="58"/>
  <c r="J308" i="58" s="1"/>
  <c r="J401" i="58"/>
  <c r="J515" i="58"/>
  <c r="J471" i="58" s="1"/>
  <c r="J470" i="58" s="1"/>
  <c r="J27" i="58"/>
  <c r="J590" i="58"/>
  <c r="J589" i="58" s="1"/>
  <c r="J468" i="58"/>
  <c r="J425" i="58" s="1"/>
  <c r="J424" i="58" s="1"/>
  <c r="J562" i="58"/>
  <c r="J561" i="58" s="1"/>
  <c r="N4" i="58"/>
  <c r="J145" i="58"/>
  <c r="J154" i="58"/>
  <c r="J161" i="58"/>
  <c r="J280" i="58"/>
  <c r="J279" i="58" s="1"/>
  <c r="J548" i="58"/>
  <c r="J528" i="58" s="1"/>
  <c r="J527" i="58" s="1"/>
  <c r="J345" i="58"/>
  <c r="J344" i="58"/>
  <c r="J48" i="58"/>
  <c r="J8" i="58"/>
  <c r="M1" i="51" s="1"/>
  <c r="J38" i="58"/>
  <c r="J223" i="58"/>
  <c r="J221" i="58" s="1"/>
  <c r="K642" i="58" l="1"/>
  <c r="J73" i="58"/>
  <c r="J61" i="58" s="1"/>
  <c r="O3" i="58"/>
  <c r="J25" i="58"/>
  <c r="J115" i="58"/>
  <c r="K643" i="58"/>
  <c r="N5" i="58"/>
  <c r="N2" i="58"/>
  <c r="J103" i="58"/>
  <c r="O2" i="58"/>
  <c r="M19" i="58" l="1"/>
  <c r="J87" i="58"/>
  <c r="J85" i="58" s="1"/>
  <c r="M20" i="58"/>
  <c r="J22" i="58"/>
  <c r="L642" i="58"/>
  <c r="N3" i="58"/>
  <c r="L19" i="58" l="1"/>
  <c r="L20" i="58" s="1"/>
  <c r="J20" i="58"/>
  <c r="J19" i="58" s="1"/>
  <c r="K8" i="58" s="1"/>
  <c r="K19" i="58" l="1"/>
  <c r="H15" i="51" l="1"/>
  <c r="H16" i="51"/>
  <c r="J16" i="51" s="1"/>
  <c r="H17" i="51"/>
  <c r="J17" i="51" s="1"/>
  <c r="H18" i="51"/>
  <c r="J18" i="51" s="1"/>
  <c r="H19" i="51"/>
  <c r="J19" i="51" s="1"/>
  <c r="J657" i="51" l="1"/>
  <c r="J656" i="51"/>
  <c r="J648" i="51"/>
  <c r="J647" i="51"/>
  <c r="J632" i="51"/>
  <c r="J631" i="51"/>
  <c r="J312" i="51"/>
  <c r="J271" i="51"/>
  <c r="J268" i="51" s="1"/>
  <c r="J265" i="51"/>
  <c r="J253" i="51"/>
  <c r="J239" i="51"/>
  <c r="J235" i="51" s="1"/>
  <c r="J232" i="51"/>
  <c r="J223" i="51"/>
  <c r="A142" i="51"/>
  <c r="J125" i="51"/>
  <c r="J118" i="51" s="1"/>
  <c r="J124" i="51"/>
  <c r="J123" i="51"/>
  <c r="J119" i="51" s="1"/>
  <c r="J114" i="51"/>
  <c r="J113" i="51"/>
  <c r="J104" i="51"/>
  <c r="J103" i="51"/>
  <c r="J79" i="51"/>
  <c r="J78" i="51"/>
  <c r="J60" i="51"/>
  <c r="J61" i="51" s="1"/>
  <c r="J51" i="51"/>
  <c r="J50" i="51"/>
  <c r="J41" i="51"/>
  <c r="J40" i="51"/>
  <c r="J32" i="51"/>
  <c r="J25" i="51" s="1"/>
  <c r="A31" i="51"/>
  <c r="J15" i="51"/>
  <c r="H14" i="51"/>
  <c r="J14" i="51" s="1"/>
  <c r="L253" i="51" l="1"/>
  <c r="J261" i="51"/>
  <c r="J219" i="51"/>
  <c r="L223" i="51"/>
  <c r="J228" i="51"/>
  <c r="L232" i="51"/>
  <c r="L144" i="51"/>
  <c r="M144" i="51" s="1"/>
  <c r="J597" i="51"/>
  <c r="J160" i="51"/>
  <c r="J159" i="51" s="1"/>
  <c r="J55" i="51"/>
  <c r="J267" i="51"/>
  <c r="J278" i="51"/>
  <c r="J218" i="51"/>
  <c r="J216" i="51" s="1"/>
  <c r="J234" i="51"/>
  <c r="J42" i="51"/>
  <c r="J35" i="51" s="1"/>
  <c r="J52" i="51"/>
  <c r="J45" i="51" s="1"/>
  <c r="J80" i="51"/>
  <c r="J73" i="51" s="1"/>
  <c r="L73" i="51" s="1"/>
  <c r="J105" i="51"/>
  <c r="J98" i="51" s="1"/>
  <c r="J115" i="51"/>
  <c r="J108" i="51" s="1"/>
  <c r="J633" i="51"/>
  <c r="J626" i="51" s="1"/>
  <c r="J649" i="51"/>
  <c r="J642" i="51" s="1"/>
  <c r="J658" i="51"/>
  <c r="J652" i="51" s="1"/>
  <c r="J249" i="51"/>
  <c r="J248" i="51"/>
  <c r="J260" i="51"/>
  <c r="J120" i="51"/>
  <c r="J227" i="51"/>
  <c r="J150" i="51" l="1"/>
  <c r="J148" i="51" s="1"/>
  <c r="J225" i="51"/>
  <c r="J214" i="51" s="1"/>
  <c r="J618" i="51"/>
  <c r="J617" i="51" s="1"/>
  <c r="J258" i="51"/>
  <c r="J256" i="51" s="1"/>
  <c r="J138" i="51"/>
  <c r="J137" i="51"/>
  <c r="J135" i="51" l="1"/>
  <c r="J745" i="51"/>
  <c r="O25" i="4" s="1"/>
  <c r="G263" i="50" l="1"/>
  <c r="G265" i="50" s="1"/>
  <c r="G276" i="50" s="1"/>
  <c r="G257" i="50" l="1"/>
  <c r="G236" i="50"/>
  <c r="G169" i="50"/>
  <c r="G141" i="50"/>
  <c r="G142" i="50" s="1"/>
  <c r="G134" i="50"/>
  <c r="G133" i="50"/>
  <c r="G238" i="50" l="1"/>
  <c r="L4" i="50"/>
  <c r="N4" i="50" s="1"/>
  <c r="G135" i="50"/>
  <c r="G128" i="50" s="1"/>
  <c r="G127" i="50" s="1"/>
  <c r="G126" i="50" s="1"/>
  <c r="G229" i="50"/>
  <c r="G27" i="50" l="1"/>
  <c r="L32" i="50"/>
  <c r="L33" i="50" s="1"/>
  <c r="G228" i="50"/>
  <c r="H27" i="50" l="1"/>
  <c r="G26" i="50"/>
  <c r="G25" i="50"/>
  <c r="G6" i="50" s="1"/>
  <c r="J600" i="4"/>
  <c r="J601" i="4" s="1"/>
  <c r="H6" i="50" l="1"/>
  <c r="H276" i="50"/>
  <c r="G150" i="50"/>
  <c r="J494" i="4"/>
  <c r="J495" i="4" s="1"/>
  <c r="G147" i="50" l="1"/>
  <c r="G35" i="50" s="1"/>
  <c r="K32" i="50"/>
  <c r="K33" i="50" s="1"/>
  <c r="H460" i="42"/>
  <c r="J355" i="4"/>
  <c r="J356" i="4" s="1"/>
  <c r="J376" i="4"/>
  <c r="J377" i="4" l="1"/>
  <c r="L377" i="4" s="1"/>
  <c r="H2" i="62"/>
  <c r="J311" i="4"/>
  <c r="J312" i="4"/>
  <c r="J409" i="4" l="1"/>
  <c r="J408" i="4"/>
  <c r="J387" i="4"/>
  <c r="J389" i="4" s="1"/>
  <c r="L389" i="4" s="1"/>
  <c r="J364" i="4"/>
  <c r="J366" i="4" s="1"/>
  <c r="J358" i="4"/>
  <c r="J343" i="4"/>
  <c r="J326" i="4"/>
  <c r="J313" i="4"/>
  <c r="J309" i="4"/>
  <c r="J345" i="4" l="1"/>
  <c r="L345" i="4" s="1"/>
  <c r="J370" i="4"/>
  <c r="L366" i="4"/>
  <c r="J410" i="4"/>
  <c r="J327" i="4"/>
  <c r="J333" i="4"/>
  <c r="K290" i="4" l="1"/>
  <c r="O291" i="4" s="1"/>
  <c r="J291" i="4"/>
  <c r="L410" i="4"/>
  <c r="J349" i="4"/>
  <c r="J337" i="4"/>
  <c r="L333" i="4"/>
  <c r="G7" i="61"/>
  <c r="G13" i="61" s="1"/>
  <c r="G14" i="61" s="1"/>
  <c r="L327" i="4"/>
  <c r="J414" i="4"/>
  <c r="J611" i="4"/>
  <c r="J613" i="4"/>
  <c r="J290" i="4" l="1"/>
  <c r="H459" i="42" s="1"/>
  <c r="J1132" i="4"/>
  <c r="M3" i="61" l="1"/>
  <c r="L9" i="4"/>
  <c r="J580" i="4" l="1"/>
  <c r="J582" i="4" s="1"/>
  <c r="J576" i="4" l="1"/>
  <c r="J810" i="4"/>
  <c r="J813" i="4" l="1"/>
  <c r="J575" i="4"/>
  <c r="J804" i="4" l="1"/>
  <c r="J790" i="4" s="1"/>
  <c r="J245" i="4" l="1"/>
  <c r="J246" i="4" l="1"/>
  <c r="J95" i="4"/>
  <c r="J250" i="4" l="1"/>
  <c r="L246" i="4"/>
  <c r="J899" i="4" l="1"/>
  <c r="I306" i="42"/>
  <c r="I305" i="42"/>
  <c r="I304" i="42"/>
  <c r="H303" i="42"/>
  <c r="G303" i="42"/>
  <c r="I303" i="42"/>
  <c r="J815" i="4" l="1"/>
  <c r="K902" i="4"/>
  <c r="P901" i="4"/>
  <c r="J117" i="9" l="1"/>
  <c r="K117" i="9" s="1"/>
  <c r="L117" i="9" s="1"/>
  <c r="M117" i="9" s="1"/>
  <c r="N117" i="9" s="1"/>
  <c r="O117" i="9" s="1"/>
  <c r="P117" i="9" s="1"/>
  <c r="Q117" i="9" s="1"/>
  <c r="R117" i="9" s="1"/>
  <c r="S44" i="9" l="1"/>
  <c r="I74" i="9" l="1"/>
  <c r="J74" i="9"/>
  <c r="K74" i="9"/>
  <c r="L74" i="9"/>
  <c r="M74" i="9"/>
  <c r="N74" i="9"/>
  <c r="O74" i="9"/>
  <c r="P74" i="9"/>
  <c r="R74" i="9"/>
  <c r="S74" i="9"/>
  <c r="I59" i="9"/>
  <c r="N59" i="9"/>
  <c r="O59" i="9"/>
  <c r="I29" i="9"/>
  <c r="I22" i="9"/>
  <c r="J20" i="9"/>
  <c r="K20" i="9"/>
  <c r="L20" i="9"/>
  <c r="M20" i="9"/>
  <c r="N20" i="9"/>
  <c r="O20" i="9"/>
  <c r="P20" i="9"/>
  <c r="Q20" i="9"/>
  <c r="R20" i="9"/>
  <c r="S20" i="9"/>
  <c r="I18" i="9"/>
  <c r="J18" i="9"/>
  <c r="K18" i="9"/>
  <c r="L18" i="9"/>
  <c r="M18" i="9"/>
  <c r="N18" i="9"/>
  <c r="O18" i="9"/>
  <c r="P18" i="9"/>
  <c r="Q18" i="9"/>
  <c r="R18" i="9"/>
  <c r="S18" i="9"/>
  <c r="I16" i="9"/>
  <c r="J16" i="9"/>
  <c r="K16" i="9"/>
  <c r="M16" i="9"/>
  <c r="N16" i="9"/>
  <c r="O16" i="9"/>
  <c r="P16" i="9"/>
  <c r="Q16" i="9"/>
  <c r="R16" i="9"/>
  <c r="S16" i="9"/>
  <c r="Q60" i="9"/>
  <c r="S66" i="9" l="1"/>
  <c r="T18" i="37" l="1"/>
  <c r="S18" i="37"/>
  <c r="R18" i="37"/>
  <c r="Q18" i="37"/>
  <c r="P18" i="37"/>
  <c r="O18" i="37"/>
  <c r="N18" i="37"/>
  <c r="M18" i="37"/>
  <c r="L18" i="37"/>
  <c r="K18" i="37"/>
  <c r="J18" i="37"/>
  <c r="I18" i="37"/>
  <c r="R15" i="37"/>
  <c r="Q15" i="37"/>
  <c r="P15" i="37"/>
  <c r="O15" i="37"/>
  <c r="N15" i="37"/>
  <c r="M15" i="37"/>
  <c r="L15" i="37"/>
  <c r="K15" i="37"/>
  <c r="J15" i="37"/>
  <c r="R12" i="37"/>
  <c r="Q12" i="37"/>
  <c r="P12" i="37"/>
  <c r="O12" i="37"/>
  <c r="N12" i="37"/>
  <c r="M12" i="37"/>
  <c r="L12" i="37"/>
  <c r="K12" i="37"/>
  <c r="J12" i="37"/>
  <c r="I12" i="37"/>
  <c r="I15" i="37"/>
  <c r="R9" i="37" l="1"/>
  <c r="Q9" i="37"/>
  <c r="P9" i="37"/>
  <c r="O9" i="37"/>
  <c r="N9" i="37"/>
  <c r="M9" i="37"/>
  <c r="L9" i="37"/>
  <c r="J9" i="37"/>
  <c r="I9" i="37"/>
  <c r="K9" i="37"/>
  <c r="M6" i="37" l="1"/>
  <c r="L6" i="37"/>
  <c r="K6" i="37"/>
  <c r="J6" i="37"/>
  <c r="I6" i="37"/>
  <c r="U15" i="37" l="1"/>
  <c r="H37" i="37"/>
  <c r="G37" i="37"/>
  <c r="F37" i="37"/>
  <c r="E37" i="37"/>
  <c r="D37" i="37"/>
  <c r="H36" i="37"/>
  <c r="G36" i="37"/>
  <c r="F36" i="37"/>
  <c r="F35" i="37" s="1"/>
  <c r="E36" i="37"/>
  <c r="D36" i="37"/>
  <c r="T35" i="37"/>
  <c r="T38" i="37" s="1"/>
  <c r="S35" i="37"/>
  <c r="R35" i="37"/>
  <c r="R38" i="37" s="1"/>
  <c r="Q35" i="37"/>
  <c r="P35" i="37"/>
  <c r="O35" i="37"/>
  <c r="N35" i="37"/>
  <c r="N38" i="37" s="1"/>
  <c r="M35" i="37"/>
  <c r="L35" i="37"/>
  <c r="L38" i="37" s="1"/>
  <c r="K35" i="37"/>
  <c r="J35" i="37"/>
  <c r="J38" i="37" s="1"/>
  <c r="I35" i="37"/>
  <c r="H33" i="37"/>
  <c r="G33" i="37"/>
  <c r="F33" i="37"/>
  <c r="E33" i="37"/>
  <c r="D33" i="37"/>
  <c r="H32" i="37"/>
  <c r="G32" i="37"/>
  <c r="F32" i="37"/>
  <c r="E32" i="37"/>
  <c r="D32" i="37"/>
  <c r="T31" i="37"/>
  <c r="T34" i="37" s="1"/>
  <c r="S31" i="37"/>
  <c r="S34" i="37" s="1"/>
  <c r="R31" i="37"/>
  <c r="Q31" i="37"/>
  <c r="P31" i="37"/>
  <c r="O31" i="37"/>
  <c r="N31" i="37"/>
  <c r="M31" i="37"/>
  <c r="M34" i="37" s="1"/>
  <c r="L31" i="37"/>
  <c r="K31" i="37"/>
  <c r="K34" i="37" s="1"/>
  <c r="J31" i="37"/>
  <c r="I31" i="37"/>
  <c r="I34" i="37" s="1"/>
  <c r="H29" i="37"/>
  <c r="G29" i="37"/>
  <c r="F29" i="37"/>
  <c r="E29" i="37"/>
  <c r="D29" i="37"/>
  <c r="H28" i="37"/>
  <c r="G28" i="37"/>
  <c r="F28" i="37"/>
  <c r="E28" i="37"/>
  <c r="D28" i="37"/>
  <c r="T27" i="37"/>
  <c r="T30" i="37" s="1"/>
  <c r="S27" i="37"/>
  <c r="S30" i="37" s="1"/>
  <c r="R27" i="37"/>
  <c r="R30" i="37" s="1"/>
  <c r="Q27" i="37"/>
  <c r="Q30" i="37" s="1"/>
  <c r="P27" i="37"/>
  <c r="P30" i="37" s="1"/>
  <c r="O27" i="37"/>
  <c r="O30" i="37" s="1"/>
  <c r="N27" i="37"/>
  <c r="N30" i="37" s="1"/>
  <c r="M27" i="37"/>
  <c r="M30" i="37" s="1"/>
  <c r="L27" i="37"/>
  <c r="L30" i="37" s="1"/>
  <c r="K27" i="37"/>
  <c r="K30" i="37" s="1"/>
  <c r="J27" i="37"/>
  <c r="J30" i="37" s="1"/>
  <c r="I27" i="37"/>
  <c r="I30" i="37" s="1"/>
  <c r="H25" i="37"/>
  <c r="G25" i="37"/>
  <c r="F25" i="37"/>
  <c r="E25" i="37"/>
  <c r="D25" i="37"/>
  <c r="H24" i="37"/>
  <c r="G24" i="37"/>
  <c r="F24" i="37"/>
  <c r="E24" i="37"/>
  <c r="D24" i="37"/>
  <c r="T23" i="37"/>
  <c r="S23" i="37"/>
  <c r="R23" i="37"/>
  <c r="R26" i="37" s="1"/>
  <c r="Q23" i="37"/>
  <c r="P23" i="37"/>
  <c r="O23" i="37"/>
  <c r="N23" i="37"/>
  <c r="M23" i="37"/>
  <c r="M26" i="37" s="1"/>
  <c r="L23" i="37"/>
  <c r="K23" i="37"/>
  <c r="J23" i="37"/>
  <c r="I23" i="37"/>
  <c r="I26" i="37" s="1"/>
  <c r="G18" i="37"/>
  <c r="H18" i="37"/>
  <c r="F18" i="37"/>
  <c r="B18" i="37"/>
  <c r="T16" i="37"/>
  <c r="R16" i="37"/>
  <c r="P16" i="37"/>
  <c r="N16" i="37"/>
  <c r="L16" i="37"/>
  <c r="J16" i="37"/>
  <c r="P38" i="37"/>
  <c r="R13" i="37"/>
  <c r="Q34" i="37"/>
  <c r="P13" i="37"/>
  <c r="O34" i="37"/>
  <c r="N13" i="37"/>
  <c r="L13" i="37"/>
  <c r="J13" i="37"/>
  <c r="T10" i="37"/>
  <c r="S10" i="37"/>
  <c r="S11" i="37" s="1"/>
  <c r="R10" i="37"/>
  <c r="P10" i="37"/>
  <c r="N10" i="37"/>
  <c r="L10" i="37"/>
  <c r="J10" i="37"/>
  <c r="T7" i="37"/>
  <c r="P7" i="37"/>
  <c r="O7" i="37"/>
  <c r="O8" i="37" s="1"/>
  <c r="N7" i="37"/>
  <c r="L7" i="37"/>
  <c r="J7" i="37"/>
  <c r="S26" i="37"/>
  <c r="Q26" i="37"/>
  <c r="K26" i="37"/>
  <c r="D35" i="37" l="1"/>
  <c r="F31" i="37"/>
  <c r="H23" i="37"/>
  <c r="H35" i="37"/>
  <c r="F23" i="37"/>
  <c r="E27" i="37"/>
  <c r="G27" i="37"/>
  <c r="L39" i="37"/>
  <c r="P39" i="37"/>
  <c r="T39" i="37"/>
  <c r="G39" i="37"/>
  <c r="H10" i="37"/>
  <c r="E35" i="37"/>
  <c r="D31" i="37"/>
  <c r="J39" i="37"/>
  <c r="N39" i="37"/>
  <c r="R39" i="37"/>
  <c r="E39" i="37"/>
  <c r="G35" i="37"/>
  <c r="D23" i="37"/>
  <c r="H31" i="37"/>
  <c r="J26" i="37"/>
  <c r="I39" i="37"/>
  <c r="M39" i="37"/>
  <c r="Q39" i="37"/>
  <c r="H39" i="37"/>
  <c r="H27" i="37"/>
  <c r="G31" i="37"/>
  <c r="L26" i="37"/>
  <c r="K39" i="37"/>
  <c r="O39" i="37"/>
  <c r="S39" i="37"/>
  <c r="F39" i="37"/>
  <c r="D27" i="37"/>
  <c r="F27" i="37"/>
  <c r="E31" i="37"/>
  <c r="R7" i="37"/>
  <c r="T13" i="37"/>
  <c r="I38" i="37"/>
  <c r="I16" i="37"/>
  <c r="B15" i="37"/>
  <c r="K38" i="37"/>
  <c r="K16" i="37"/>
  <c r="K17" i="37" s="1"/>
  <c r="M38" i="37"/>
  <c r="M16" i="37"/>
  <c r="F16" i="37" s="1"/>
  <c r="O38" i="37"/>
  <c r="O16" i="37"/>
  <c r="O17" i="37" s="1"/>
  <c r="Q38" i="37"/>
  <c r="Q16" i="37"/>
  <c r="Q17" i="37" s="1"/>
  <c r="S38" i="37"/>
  <c r="S16" i="37"/>
  <c r="H16" i="37" s="1"/>
  <c r="V15" i="37"/>
  <c r="I17" i="37"/>
  <c r="E18" i="37"/>
  <c r="B6" i="37"/>
  <c r="I7" i="37"/>
  <c r="K7" i="37"/>
  <c r="K8" i="37" s="1"/>
  <c r="M7" i="37"/>
  <c r="Q7" i="37"/>
  <c r="S7" i="37"/>
  <c r="J8" i="37"/>
  <c r="L8" i="37"/>
  <c r="N8" i="37"/>
  <c r="P8" i="37"/>
  <c r="R8" i="37"/>
  <c r="B9" i="37"/>
  <c r="I10" i="37"/>
  <c r="K10" i="37"/>
  <c r="K11" i="37" s="1"/>
  <c r="M10" i="37"/>
  <c r="F10" i="37" s="1"/>
  <c r="O10" i="37"/>
  <c r="Q10" i="37"/>
  <c r="Q11" i="37" s="1"/>
  <c r="J11" i="37"/>
  <c r="L11" i="37"/>
  <c r="N11" i="37"/>
  <c r="P11" i="37"/>
  <c r="R11" i="37"/>
  <c r="H11" i="37" s="1"/>
  <c r="B12" i="37"/>
  <c r="J34" i="37"/>
  <c r="J14" i="37"/>
  <c r="L34" i="37"/>
  <c r="L14" i="37"/>
  <c r="N34" i="37"/>
  <c r="N14" i="37"/>
  <c r="P34" i="37"/>
  <c r="P14" i="37"/>
  <c r="R34" i="37"/>
  <c r="R14" i="37"/>
  <c r="I13" i="37"/>
  <c r="I14" i="37" s="1"/>
  <c r="K13" i="37"/>
  <c r="K14" i="37" s="1"/>
  <c r="M13" i="37"/>
  <c r="M14" i="37" s="1"/>
  <c r="O13" i="37"/>
  <c r="Q13" i="37"/>
  <c r="Q14" i="37" s="1"/>
  <c r="S13" i="37"/>
  <c r="J17" i="37"/>
  <c r="L17" i="37"/>
  <c r="N17" i="37"/>
  <c r="P17" i="37"/>
  <c r="R17" i="37"/>
  <c r="T17" i="37"/>
  <c r="E23" i="37"/>
  <c r="G23" i="37"/>
  <c r="O26" i="37"/>
  <c r="N26" i="37"/>
  <c r="P26" i="37"/>
  <c r="T26" i="37"/>
  <c r="H9" i="37" l="1"/>
  <c r="H13" i="37"/>
  <c r="G13" i="37"/>
  <c r="S17" i="37"/>
  <c r="H17" i="37" s="1"/>
  <c r="H15" i="37" s="1"/>
  <c r="D39" i="37"/>
  <c r="T19" i="37"/>
  <c r="T40" i="37" s="1"/>
  <c r="M17" i="37"/>
  <c r="F17" i="37" s="1"/>
  <c r="F15" i="37" s="1"/>
  <c r="O14" i="37"/>
  <c r="G14" i="37" s="1"/>
  <c r="G12" i="37" s="1"/>
  <c r="N19" i="37"/>
  <c r="N40" i="37" s="1"/>
  <c r="L19" i="37"/>
  <c r="L40" i="37" s="1"/>
  <c r="J19" i="37"/>
  <c r="J40" i="37" s="1"/>
  <c r="E14" i="37"/>
  <c r="F14" i="37"/>
  <c r="E10" i="37"/>
  <c r="B10" i="37"/>
  <c r="Q8" i="37"/>
  <c r="Q19" i="37" s="1"/>
  <c r="Q40" i="37" s="1"/>
  <c r="F7" i="37"/>
  <c r="E7" i="37"/>
  <c r="B7" i="37"/>
  <c r="B19" i="37"/>
  <c r="E16" i="37"/>
  <c r="B16" i="37"/>
  <c r="M11" i="37"/>
  <c r="F11" i="37" s="1"/>
  <c r="F9" i="37" s="1"/>
  <c r="I11" i="37"/>
  <c r="F13" i="37"/>
  <c r="F12" i="37" s="1"/>
  <c r="G17" i="37"/>
  <c r="S14" i="37"/>
  <c r="E13" i="37"/>
  <c r="B13" i="37"/>
  <c r="G10" i="37"/>
  <c r="G8" i="37"/>
  <c r="S8" i="37"/>
  <c r="H8" i="37" s="1"/>
  <c r="K19" i="37"/>
  <c r="K40" i="37" s="1"/>
  <c r="G7" i="37"/>
  <c r="P19" i="37"/>
  <c r="P40" i="37" s="1"/>
  <c r="E17" i="37"/>
  <c r="G16" i="37"/>
  <c r="O11" i="37"/>
  <c r="G11" i="37" s="1"/>
  <c r="M8" i="37"/>
  <c r="I8" i="37"/>
  <c r="R19" i="37"/>
  <c r="R40" i="37" s="1"/>
  <c r="H7" i="37"/>
  <c r="B14" i="37" l="1"/>
  <c r="G15" i="37"/>
  <c r="B17" i="37"/>
  <c r="E12" i="37"/>
  <c r="M19" i="37"/>
  <c r="M40" i="37" s="1"/>
  <c r="H6" i="37"/>
  <c r="B8" i="37"/>
  <c r="E8" i="37"/>
  <c r="E6" i="37" s="1"/>
  <c r="G19" i="37"/>
  <c r="G6" i="37"/>
  <c r="O19" i="37"/>
  <c r="O40" i="37" s="1"/>
  <c r="S19" i="37"/>
  <c r="S40" i="37" s="1"/>
  <c r="B11" i="37"/>
  <c r="E11" i="37"/>
  <c r="E9" i="37" s="1"/>
  <c r="H14" i="37"/>
  <c r="H12" i="37" s="1"/>
  <c r="F8" i="37"/>
  <c r="F19" i="37" s="1"/>
  <c r="G9" i="37"/>
  <c r="E15" i="37"/>
  <c r="I19" i="37"/>
  <c r="I40" i="37" s="1"/>
  <c r="U19" i="37" l="1"/>
  <c r="E19" i="37"/>
  <c r="F6" i="37"/>
  <c r="H19" i="37"/>
  <c r="G149" i="9" l="1"/>
  <c r="H149" i="9"/>
  <c r="I149" i="9"/>
  <c r="K149" i="9"/>
  <c r="L149" i="9"/>
  <c r="M149" i="9"/>
  <c r="N149" i="9"/>
  <c r="O149" i="9"/>
  <c r="P149" i="9"/>
  <c r="Q149" i="9"/>
  <c r="R149" i="9"/>
  <c r="S149" i="9"/>
  <c r="J67" i="9"/>
  <c r="J59" i="9" s="1"/>
  <c r="K67" i="9" l="1"/>
  <c r="L67" i="9" l="1"/>
  <c r="K59" i="9"/>
  <c r="F60" i="9"/>
  <c r="G59" i="9"/>
  <c r="H59" i="9"/>
  <c r="G29" i="9"/>
  <c r="H29" i="9"/>
  <c r="J52" i="9"/>
  <c r="K52" i="9" s="1"/>
  <c r="L52" i="9" s="1"/>
  <c r="M52" i="9" s="1"/>
  <c r="N52" i="9" s="1"/>
  <c r="O52" i="9" s="1"/>
  <c r="P52" i="9" s="1"/>
  <c r="Q52" i="9" s="1"/>
  <c r="R52" i="9" s="1"/>
  <c r="S52" i="9" s="1"/>
  <c r="J50" i="9"/>
  <c r="K50" i="9" s="1"/>
  <c r="L50" i="9" s="1"/>
  <c r="M50" i="9" s="1"/>
  <c r="P50" i="9" s="1"/>
  <c r="J55" i="9"/>
  <c r="K55" i="9" s="1"/>
  <c r="L55" i="9" s="1"/>
  <c r="M55" i="9" s="1"/>
  <c r="P55" i="9" s="1"/>
  <c r="M67" i="9" l="1"/>
  <c r="L59" i="9"/>
  <c r="Q55" i="9"/>
  <c r="R55" i="9" s="1"/>
  <c r="S55" i="9" s="1"/>
  <c r="Q50" i="9"/>
  <c r="R50" i="9" s="1"/>
  <c r="S50" i="9" s="1"/>
  <c r="J49" i="9"/>
  <c r="K49" i="9" s="1"/>
  <c r="L49" i="9" s="1"/>
  <c r="M49" i="9" s="1"/>
  <c r="N49" i="9" s="1"/>
  <c r="O49" i="9" s="1"/>
  <c r="P49" i="9" s="1"/>
  <c r="Q49" i="9" s="1"/>
  <c r="R49" i="9" s="1"/>
  <c r="S49" i="9" s="1"/>
  <c r="J48" i="9"/>
  <c r="K48" i="9" s="1"/>
  <c r="L48" i="9" s="1"/>
  <c r="M48" i="9" s="1"/>
  <c r="N48" i="9" s="1"/>
  <c r="O48" i="9" s="1"/>
  <c r="P48" i="9" s="1"/>
  <c r="Q48" i="9" s="1"/>
  <c r="R48" i="9" s="1"/>
  <c r="S48" i="9" s="1"/>
  <c r="J47" i="9"/>
  <c r="K47" i="9" s="1"/>
  <c r="L47" i="9" s="1"/>
  <c r="M47" i="9" s="1"/>
  <c r="N47" i="9" s="1"/>
  <c r="O47" i="9" s="1"/>
  <c r="P47" i="9" s="1"/>
  <c r="Q47" i="9" s="1"/>
  <c r="R47" i="9" s="1"/>
  <c r="S47" i="9" s="1"/>
  <c r="J46" i="9"/>
  <c r="J45" i="9"/>
  <c r="K45" i="9" s="1"/>
  <c r="L45" i="9" s="1"/>
  <c r="J44" i="9"/>
  <c r="J43" i="9"/>
  <c r="J23" i="9"/>
  <c r="T148" i="9"/>
  <c r="T8" i="9"/>
  <c r="T10" i="9"/>
  <c r="T11" i="9"/>
  <c r="T13" i="9"/>
  <c r="T84" i="9"/>
  <c r="T85" i="9"/>
  <c r="T86" i="9"/>
  <c r="T126" i="9"/>
  <c r="G20" i="9"/>
  <c r="H20" i="9"/>
  <c r="G18" i="9"/>
  <c r="H18" i="9"/>
  <c r="K23" i="9" l="1"/>
  <c r="J22" i="9"/>
  <c r="J29" i="9"/>
  <c r="P67" i="9"/>
  <c r="Q67" i="9" s="1"/>
  <c r="M59" i="9"/>
  <c r="K43" i="9"/>
  <c r="K46" i="9"/>
  <c r="M45" i="9"/>
  <c r="R67" i="9" l="1"/>
  <c r="Q59" i="9"/>
  <c r="J7" i="9"/>
  <c r="L23" i="9"/>
  <c r="K22" i="9"/>
  <c r="L46" i="9"/>
  <c r="K29" i="9"/>
  <c r="K7" i="9" s="1"/>
  <c r="L43" i="9"/>
  <c r="N45" i="9"/>
  <c r="M23" i="9" l="1"/>
  <c r="L22" i="9"/>
  <c r="S67" i="9"/>
  <c r="S59" i="9" s="1"/>
  <c r="R59" i="9"/>
  <c r="M46" i="9"/>
  <c r="L29" i="9"/>
  <c r="M43" i="9"/>
  <c r="O45" i="9"/>
  <c r="N23" i="9" l="1"/>
  <c r="M22" i="9"/>
  <c r="N46" i="9"/>
  <c r="M29" i="9"/>
  <c r="N43" i="9"/>
  <c r="P45" i="9"/>
  <c r="M7" i="9" l="1"/>
  <c r="O23" i="9"/>
  <c r="N22" i="9"/>
  <c r="O46" i="9"/>
  <c r="N29" i="9"/>
  <c r="N7" i="9" s="1"/>
  <c r="O43" i="9"/>
  <c r="Q45" i="9"/>
  <c r="P23" i="9" l="1"/>
  <c r="O22" i="9"/>
  <c r="P46" i="9"/>
  <c r="O29" i="9"/>
  <c r="P43" i="9"/>
  <c r="R45" i="9"/>
  <c r="Q23" i="9" l="1"/>
  <c r="P22" i="9"/>
  <c r="O7" i="9"/>
  <c r="Q46" i="9"/>
  <c r="P29" i="9"/>
  <c r="Q43" i="9"/>
  <c r="S45" i="9"/>
  <c r="R23" i="9" l="1"/>
  <c r="Q22" i="9"/>
  <c r="R46" i="9"/>
  <c r="Q29" i="9"/>
  <c r="R43" i="9"/>
  <c r="S23" i="9" l="1"/>
  <c r="S22" i="9" s="1"/>
  <c r="R22" i="9"/>
  <c r="S46" i="9"/>
  <c r="S29" i="9" s="1"/>
  <c r="S7" i="9" l="1"/>
  <c r="F64" i="9" l="1"/>
  <c r="T64" i="9" s="1"/>
  <c r="F65" i="9"/>
  <c r="T65" i="9" s="1"/>
  <c r="F69" i="9"/>
  <c r="F63" i="9"/>
  <c r="T63" i="9" s="1"/>
  <c r="F68" i="9" l="1"/>
  <c r="P68" i="9" s="1"/>
  <c r="P69" i="9"/>
  <c r="T69" i="9" s="1"/>
  <c r="F52" i="9" l="1"/>
  <c r="T52" i="9" s="1"/>
  <c r="P59" i="9"/>
  <c r="P7" i="9" s="1"/>
  <c r="T68" i="9"/>
  <c r="F51" i="9" l="1"/>
  <c r="T51" i="9" s="1"/>
  <c r="F54" i="9"/>
  <c r="R54" i="9" s="1"/>
  <c r="T54" i="9" s="1"/>
  <c r="J205" i="4" l="1"/>
  <c r="L205" i="4" l="1"/>
  <c r="J198" i="4"/>
  <c r="H454" i="42" l="1"/>
  <c r="DE91" i="20"/>
  <c r="DA32" i="20"/>
  <c r="DH28" i="20"/>
  <c r="DH27" i="20"/>
  <c r="DH19" i="20"/>
  <c r="DH18" i="20"/>
  <c r="J96" i="4" l="1"/>
  <c r="J98" i="4" s="1"/>
  <c r="DC104" i="20" l="1"/>
  <c r="CQ62" i="20"/>
  <c r="CH62" i="20"/>
  <c r="BY62" i="20"/>
  <c r="BP62" i="20"/>
  <c r="BI62" i="20"/>
  <c r="BH62" i="20" s="1"/>
  <c r="CQ61" i="20"/>
  <c r="CH61" i="20"/>
  <c r="BY61" i="20"/>
  <c r="BP61" i="20"/>
  <c r="BI61" i="20"/>
  <c r="BH61" i="20" s="1"/>
  <c r="CQ63" i="20"/>
  <c r="CH63" i="20"/>
  <c r="BY63" i="20"/>
  <c r="BP63" i="20"/>
  <c r="BI63" i="20"/>
  <c r="BH63" i="20" s="1"/>
  <c r="DH31" i="20"/>
  <c r="DC21" i="20"/>
  <c r="DH20" i="20"/>
  <c r="DA63" i="20" l="1"/>
  <c r="CZ63" i="20" s="1"/>
  <c r="DA62" i="20" l="1"/>
  <c r="CZ62" i="20" s="1"/>
  <c r="DI63" i="20"/>
  <c r="DA61" i="20" l="1"/>
  <c r="CZ61" i="20" s="1"/>
  <c r="DI62" i="20" l="1"/>
  <c r="F62" i="9" l="1"/>
  <c r="T62" i="9" s="1"/>
  <c r="CQ51" i="20"/>
  <c r="CH51" i="20"/>
  <c r="BY51" i="20"/>
  <c r="BP51" i="20"/>
  <c r="BI51" i="20"/>
  <c r="DH86" i="20" l="1"/>
  <c r="DG65" i="20"/>
  <c r="DA59" i="20"/>
  <c r="DE25" i="20" l="1"/>
  <c r="DH25" i="20" l="1"/>
  <c r="DH22" i="20"/>
  <c r="DC34" i="20" l="1"/>
  <c r="DC35" i="20" l="1"/>
  <c r="DH85" i="20" l="1"/>
  <c r="DC91" i="20" l="1"/>
  <c r="DA51" i="20" l="1"/>
  <c r="CZ51" i="20" s="1"/>
  <c r="DI51" i="20" l="1"/>
  <c r="DJ51" i="20"/>
  <c r="CT37" i="20" l="1"/>
  <c r="CR37" i="20"/>
  <c r="CQ37" i="20" s="1"/>
  <c r="CH37" i="20"/>
  <c r="CB37" i="20"/>
  <c r="BY37" i="20" s="1"/>
  <c r="BP37" i="20"/>
  <c r="BI37" i="20"/>
  <c r="BH37" i="20" s="1"/>
  <c r="DC31" i="20" l="1"/>
  <c r="DE31" i="20" l="1"/>
  <c r="DE24" i="20"/>
  <c r="DA104" i="20" l="1"/>
  <c r="CZ37" i="20" l="1"/>
  <c r="DI37" i="20" l="1"/>
  <c r="DE65" i="20" l="1"/>
  <c r="DE84" i="20" l="1"/>
  <c r="DG14" i="20" l="1"/>
  <c r="CQ17" i="20"/>
  <c r="CH17" i="20"/>
  <c r="BY17" i="20"/>
  <c r="BP17" i="20"/>
  <c r="BI17" i="20"/>
  <c r="DG16" i="20"/>
  <c r="CQ16" i="20"/>
  <c r="CH16" i="20"/>
  <c r="BY16" i="20"/>
  <c r="BP16" i="20"/>
  <c r="BN16" i="20"/>
  <c r="BL16" i="20"/>
  <c r="BI16" i="20" l="1"/>
  <c r="DH91" i="20" l="1"/>
  <c r="U6" i="37" l="1"/>
  <c r="V6" i="37" s="1"/>
  <c r="U9" i="37"/>
  <c r="V9" i="37" s="1"/>
  <c r="DH13" i="20"/>
  <c r="DH12" i="20"/>
  <c r="DE16" i="20" l="1"/>
  <c r="CZ16" i="20" s="1"/>
  <c r="DJ16" i="20" s="1"/>
  <c r="DE17" i="20"/>
  <c r="DI16" i="20" l="1"/>
  <c r="CQ23" i="20" l="1"/>
  <c r="CH23" i="20"/>
  <c r="BY23" i="20"/>
  <c r="BP23" i="20"/>
  <c r="BI23" i="20"/>
  <c r="CQ59" i="20"/>
  <c r="CH59" i="20"/>
  <c r="BY59" i="20"/>
  <c r="BP59" i="20"/>
  <c r="BI59" i="20"/>
  <c r="BH59" i="20" s="1"/>
  <c r="CQ40" i="20"/>
  <c r="CH40" i="20"/>
  <c r="BY40" i="20"/>
  <c r="BP40" i="20"/>
  <c r="BI40" i="20"/>
  <c r="BH40" i="20" s="1"/>
  <c r="CQ33" i="20"/>
  <c r="CH33" i="20"/>
  <c r="BY33" i="20"/>
  <c r="BP33" i="20"/>
  <c r="BI33" i="20"/>
  <c r="BH33" i="20" s="1"/>
  <c r="BH23" i="20" l="1"/>
  <c r="CQ26" i="20"/>
  <c r="CH26" i="20"/>
  <c r="BY26" i="20"/>
  <c r="BP26" i="20"/>
  <c r="BI26" i="20"/>
  <c r="BH26" i="20" s="1"/>
  <c r="F67" i="9" l="1"/>
  <c r="T67" i="9" s="1"/>
  <c r="J134" i="4" l="1"/>
  <c r="J117" i="4"/>
  <c r="H172" i="4" l="1"/>
  <c r="J172" i="4" s="1"/>
  <c r="J173" i="4" s="1"/>
  <c r="F21" i="9"/>
  <c r="J167" i="4" l="1"/>
  <c r="J166" i="4" s="1"/>
  <c r="L114" i="4"/>
  <c r="I21" i="9"/>
  <c r="I20" i="9" s="1"/>
  <c r="I7" i="9" s="1"/>
  <c r="F20" i="9"/>
  <c r="T20" i="9" l="1"/>
  <c r="T21" i="9"/>
  <c r="DC23" i="20" l="1"/>
  <c r="CZ23" i="20" l="1"/>
  <c r="DI23" i="20" l="1"/>
  <c r="DJ23" i="20"/>
  <c r="F165" i="9" l="1"/>
  <c r="L165" i="9" l="1"/>
  <c r="DE75" i="20"/>
  <c r="DE74" i="20"/>
  <c r="CZ74" i="20" l="1"/>
  <c r="DI74" i="20" s="1"/>
  <c r="CZ75" i="20"/>
  <c r="DC33" i="20" l="1"/>
  <c r="CZ33" i="20" s="1"/>
  <c r="DI33" i="20" l="1"/>
  <c r="DE86" i="20" l="1"/>
  <c r="DH21" i="20" l="1"/>
  <c r="DE21" i="20"/>
  <c r="F53" i="9"/>
  <c r="R53" i="9" l="1"/>
  <c r="R29" i="9" s="1"/>
  <c r="R7" i="9" s="1"/>
  <c r="DE18" i="20"/>
  <c r="DA28" i="20"/>
  <c r="J551" i="4"/>
  <c r="J553" i="4" l="1"/>
  <c r="DG26" i="20" s="1"/>
  <c r="H5" i="62"/>
  <c r="T53" i="9"/>
  <c r="DG25" i="20"/>
  <c r="DG22" i="20"/>
  <c r="J614" i="4"/>
  <c r="DA26" i="20"/>
  <c r="DE22" i="20"/>
  <c r="J607" i="4" l="1"/>
  <c r="H7" i="62"/>
  <c r="J565" i="4"/>
  <c r="J472" i="4" s="1"/>
  <c r="J566" i="4"/>
  <c r="J554" i="4"/>
  <c r="J592" i="4" s="1"/>
  <c r="CZ26" i="20"/>
  <c r="DJ26" i="20" s="1"/>
  <c r="DI26" i="20" l="1"/>
  <c r="J107" i="4" l="1"/>
  <c r="H142" i="4"/>
  <c r="J142" i="4" s="1"/>
  <c r="A96" i="4"/>
  <c r="B1" i="63" l="1"/>
  <c r="J143" i="4"/>
  <c r="J138" i="4" s="1"/>
  <c r="L98" i="4"/>
  <c r="F17" i="9"/>
  <c r="L17" i="9" s="1"/>
  <c r="L16" i="9" s="1"/>
  <c r="L7" i="9" s="1"/>
  <c r="J90" i="4"/>
  <c r="J108" i="4"/>
  <c r="F19" i="9" s="1"/>
  <c r="J137" i="4" l="1"/>
  <c r="L93" i="4"/>
  <c r="M7" i="4"/>
  <c r="O7" i="4" s="1"/>
  <c r="L143" i="4"/>
  <c r="B2" i="63"/>
  <c r="T17" i="9"/>
  <c r="T19" i="9"/>
  <c r="F18" i="9"/>
  <c r="T18" i="9" s="1"/>
  <c r="J101" i="4"/>
  <c r="J89" i="4"/>
  <c r="J127" i="4"/>
  <c r="J126" i="4" s="1"/>
  <c r="J111" i="4"/>
  <c r="J110" i="4" s="1"/>
  <c r="DF28" i="4"/>
  <c r="N7" i="4" l="1"/>
  <c r="J100" i="4"/>
  <c r="J87" i="4" l="1"/>
  <c r="CQ35" i="20" l="1"/>
  <c r="CH35" i="20"/>
  <c r="BY35" i="20"/>
  <c r="BP35" i="20"/>
  <c r="BI35" i="20"/>
  <c r="BH35" i="20" s="1"/>
  <c r="CQ34" i="20"/>
  <c r="CH34" i="20"/>
  <c r="BY34" i="20"/>
  <c r="BP34" i="20"/>
  <c r="BI34" i="20"/>
  <c r="BH34" i="20" s="1"/>
  <c r="CZ35" i="20" l="1"/>
  <c r="DI35" i="20" s="1"/>
  <c r="CZ34" i="20"/>
  <c r="DI34" i="20" s="1"/>
  <c r="F48" i="9" l="1"/>
  <c r="T48" i="9" s="1"/>
  <c r="CQ81" i="20" l="1"/>
  <c r="CH81" i="20"/>
  <c r="BY81" i="20"/>
  <c r="BP81" i="20"/>
  <c r="BI81" i="20"/>
  <c r="BH81" i="20" s="1"/>
  <c r="CQ80" i="20"/>
  <c r="CH80" i="20"/>
  <c r="BY80" i="20"/>
  <c r="BP80" i="20"/>
  <c r="BI80" i="20"/>
  <c r="BH80" i="20" s="1"/>
  <c r="DE55" i="20"/>
  <c r="CZ55" i="20" s="1"/>
  <c r="DG15" i="20" l="1"/>
  <c r="CZ80" i="20" l="1"/>
  <c r="CZ81" i="20" l="1"/>
  <c r="DJ80" i="20"/>
  <c r="DJ81" i="20" l="1"/>
  <c r="DI80" i="20"/>
  <c r="DI81" i="20" l="1"/>
  <c r="DI61" i="20" l="1"/>
  <c r="DI55" i="20" l="1"/>
  <c r="DD9" i="20" l="1"/>
  <c r="DF9" i="20"/>
  <c r="CQ100" i="20"/>
  <c r="CH100" i="20"/>
  <c r="BZ100" i="20"/>
  <c r="BY100" i="20" s="1"/>
  <c r="BP100" i="20"/>
  <c r="BI100" i="20"/>
  <c r="CQ71" i="20"/>
  <c r="CH71" i="20"/>
  <c r="BY71" i="20"/>
  <c r="BP71" i="20"/>
  <c r="BI71" i="20"/>
  <c r="BH71" i="20" s="1"/>
  <c r="CQ70" i="20"/>
  <c r="CH70" i="20"/>
  <c r="BY70" i="20"/>
  <c r="BP70" i="20"/>
  <c r="BI70" i="20"/>
  <c r="BH70" i="20" s="1"/>
  <c r="U18" i="37" l="1"/>
  <c r="V18" i="37" s="1"/>
  <c r="DA100" i="20" l="1"/>
  <c r="CZ100" i="20" s="1"/>
  <c r="DJ100" i="20" s="1"/>
  <c r="DI100" i="20" l="1"/>
  <c r="CZ70" i="20" l="1"/>
  <c r="CZ71" i="20"/>
  <c r="DJ71" i="20" l="1"/>
  <c r="DJ70" i="20"/>
  <c r="DI71" i="20" l="1"/>
  <c r="F153" i="9" l="1"/>
  <c r="J153" i="9" s="1"/>
  <c r="J149" i="9" s="1"/>
  <c r="CQ88" i="20" l="1"/>
  <c r="CH88" i="20"/>
  <c r="BY88" i="20"/>
  <c r="BP88" i="20"/>
  <c r="BI88" i="20"/>
  <c r="BH88" i="20"/>
  <c r="CQ45" i="20"/>
  <c r="CH45" i="20"/>
  <c r="BY45" i="20"/>
  <c r="BP45" i="20"/>
  <c r="BI45" i="20"/>
  <c r="CZ88" i="20" l="1"/>
  <c r="DI88" i="20" s="1"/>
  <c r="DJ88" i="20" l="1"/>
  <c r="DA105" i="20" l="1"/>
  <c r="DG92" i="20"/>
  <c r="DG91" i="20" l="1"/>
  <c r="DC90" i="20" l="1"/>
  <c r="DC97" i="20"/>
  <c r="CZ45" i="20" l="1"/>
  <c r="DJ45" i="20" l="1"/>
  <c r="DM44" i="20" l="1"/>
  <c r="DC103" i="20"/>
  <c r="DA103" i="20"/>
  <c r="CQ68" i="20"/>
  <c r="CH68" i="20"/>
  <c r="CT115" i="20" l="1"/>
  <c r="CR115" i="20"/>
  <c r="CK115" i="20"/>
  <c r="CI115" i="20"/>
  <c r="BS115" i="20"/>
  <c r="BQ115" i="20"/>
  <c r="BG113" i="20"/>
  <c r="DH109" i="20"/>
  <c r="DF109" i="20"/>
  <c r="DE109" i="20"/>
  <c r="DD109" i="20"/>
  <c r="DC109" i="20"/>
  <c r="DB109" i="20"/>
  <c r="DA109" i="20"/>
  <c r="CY109" i="20"/>
  <c r="CW109" i="20"/>
  <c r="CV109" i="20"/>
  <c r="CU109" i="20"/>
  <c r="CT109" i="20"/>
  <c r="CS109" i="20"/>
  <c r="CR109" i="20"/>
  <c r="CP109" i="20"/>
  <c r="CN109" i="20"/>
  <c r="CM109" i="20"/>
  <c r="CL109" i="20"/>
  <c r="CK109" i="20"/>
  <c r="CJ109" i="20"/>
  <c r="CI109" i="20"/>
  <c r="CG109" i="20"/>
  <c r="CE109" i="20"/>
  <c r="CD109" i="20"/>
  <c r="CC109" i="20"/>
  <c r="CB109" i="20"/>
  <c r="CA109" i="20"/>
  <c r="BZ109" i="20"/>
  <c r="BX109" i="20"/>
  <c r="BV109" i="20"/>
  <c r="BU109" i="20"/>
  <c r="BT109" i="20"/>
  <c r="BS109" i="20"/>
  <c r="BR109" i="20"/>
  <c r="BQ109" i="20"/>
  <c r="BO109" i="20"/>
  <c r="BN109" i="20"/>
  <c r="BM109" i="20"/>
  <c r="BL109" i="20"/>
  <c r="BK109" i="20"/>
  <c r="BJ109" i="20"/>
  <c r="BG109" i="20"/>
  <c r="CZ107" i="20"/>
  <c r="CQ107" i="20"/>
  <c r="CH107" i="20"/>
  <c r="BY107" i="20"/>
  <c r="BP107" i="20"/>
  <c r="BH107" i="20"/>
  <c r="CQ106" i="20"/>
  <c r="CH106" i="20"/>
  <c r="BY106" i="20"/>
  <c r="BP106" i="20"/>
  <c r="BI106" i="20"/>
  <c r="CQ105" i="20"/>
  <c r="CH105" i="20"/>
  <c r="BY105" i="20"/>
  <c r="BP105" i="20"/>
  <c r="BI105" i="20"/>
  <c r="CQ104" i="20"/>
  <c r="CH104" i="20"/>
  <c r="BY104" i="20"/>
  <c r="BP104" i="20"/>
  <c r="BI104" i="20"/>
  <c r="CQ103" i="20"/>
  <c r="CH103" i="20"/>
  <c r="BZ103" i="20"/>
  <c r="BY103" i="20" s="1"/>
  <c r="BP103" i="20"/>
  <c r="BI103" i="20"/>
  <c r="CQ102" i="20"/>
  <c r="CH102" i="20"/>
  <c r="BZ102" i="20"/>
  <c r="BY102" i="20" s="1"/>
  <c r="BP102" i="20"/>
  <c r="BI102" i="20"/>
  <c r="CZ101" i="20"/>
  <c r="CQ101" i="20"/>
  <c r="CH101" i="20"/>
  <c r="BZ101" i="20"/>
  <c r="BY101" i="20" s="1"/>
  <c r="BP101" i="20"/>
  <c r="BI101" i="20"/>
  <c r="CQ99" i="20"/>
  <c r="CH99" i="20"/>
  <c r="BY99" i="20"/>
  <c r="BP99" i="20"/>
  <c r="BI99" i="20"/>
  <c r="BH99" i="20" s="1"/>
  <c r="CQ98" i="20"/>
  <c r="CH98" i="20"/>
  <c r="BY98" i="20"/>
  <c r="BP98" i="20"/>
  <c r="BI98" i="20"/>
  <c r="CZ97" i="20"/>
  <c r="DI97" i="20" s="1"/>
  <c r="CQ97" i="20"/>
  <c r="CH97" i="20"/>
  <c r="BY97" i="20"/>
  <c r="BP97" i="20"/>
  <c r="BI97" i="20"/>
  <c r="BH97" i="20" s="1"/>
  <c r="CQ96" i="20"/>
  <c r="CH96" i="20"/>
  <c r="BY96" i="20"/>
  <c r="BP96" i="20"/>
  <c r="BI96" i="20"/>
  <c r="BH96" i="20" s="1"/>
  <c r="CQ95" i="20"/>
  <c r="CH95" i="20"/>
  <c r="BY95" i="20"/>
  <c r="BP95" i="20"/>
  <c r="BI95" i="20"/>
  <c r="BH95" i="20" s="1"/>
  <c r="CZ94" i="20"/>
  <c r="DI94" i="20" s="1"/>
  <c r="CQ94" i="20"/>
  <c r="CH94" i="20"/>
  <c r="BY94" i="20"/>
  <c r="BP94" i="20"/>
  <c r="BI94" i="20"/>
  <c r="CQ93" i="20"/>
  <c r="CH93" i="20"/>
  <c r="BY93" i="20"/>
  <c r="BP93" i="20"/>
  <c r="BI93" i="20"/>
  <c r="BH93" i="20" s="1"/>
  <c r="CQ92" i="20"/>
  <c r="CH92" i="20"/>
  <c r="BY92" i="20"/>
  <c r="BP92" i="20"/>
  <c r="BI92" i="20"/>
  <c r="CQ91" i="20"/>
  <c r="CH91" i="20"/>
  <c r="BY91" i="20"/>
  <c r="BP91" i="20"/>
  <c r="BI91" i="20"/>
  <c r="CZ90" i="20"/>
  <c r="DI90" i="20" s="1"/>
  <c r="CQ90" i="20"/>
  <c r="CH90" i="20"/>
  <c r="BY90" i="20"/>
  <c r="BP90" i="20"/>
  <c r="BI90" i="20"/>
  <c r="CZ89" i="20"/>
  <c r="CQ89" i="20"/>
  <c r="CH89" i="20"/>
  <c r="BY89" i="20"/>
  <c r="BP89" i="20"/>
  <c r="BI89" i="20"/>
  <c r="CQ87" i="20"/>
  <c r="CH87" i="20"/>
  <c r="BY87" i="20"/>
  <c r="BP87" i="20"/>
  <c r="BI87" i="20"/>
  <c r="BH87" i="20"/>
  <c r="CZ84" i="20"/>
  <c r="DI84" i="20" s="1"/>
  <c r="CQ84" i="20"/>
  <c r="CH84" i="20"/>
  <c r="BY84" i="20"/>
  <c r="BP84" i="20"/>
  <c r="BN84" i="20"/>
  <c r="BI84" i="20" s="1"/>
  <c r="CZ83" i="20"/>
  <c r="CQ83" i="20"/>
  <c r="CH83" i="20"/>
  <c r="BY83" i="20"/>
  <c r="BP83" i="20"/>
  <c r="BI83" i="20"/>
  <c r="BH83" i="20" s="1"/>
  <c r="CQ82" i="20"/>
  <c r="CH82" i="20"/>
  <c r="BY82" i="20"/>
  <c r="BP82" i="20"/>
  <c r="BI82" i="20"/>
  <c r="BH82" i="20" s="1"/>
  <c r="CQ79" i="20"/>
  <c r="CH79" i="20"/>
  <c r="BY79" i="20"/>
  <c r="BP79" i="20"/>
  <c r="BI79" i="20"/>
  <c r="BH79" i="20" s="1"/>
  <c r="CQ78" i="20"/>
  <c r="CH78" i="20"/>
  <c r="BY78" i="20"/>
  <c r="BP78" i="20"/>
  <c r="BI78" i="20"/>
  <c r="BH78" i="20" s="1"/>
  <c r="CZ77" i="20"/>
  <c r="DI77" i="20" s="1"/>
  <c r="CQ77" i="20"/>
  <c r="CH77" i="20"/>
  <c r="BY77" i="20"/>
  <c r="BP77" i="20"/>
  <c r="BI77" i="20"/>
  <c r="BH77" i="20" s="1"/>
  <c r="CZ69" i="20"/>
  <c r="CQ69" i="20"/>
  <c r="CH69" i="20"/>
  <c r="BY69" i="20"/>
  <c r="BP69" i="20"/>
  <c r="BI69" i="20"/>
  <c r="CZ67" i="20"/>
  <c r="CQ67" i="20"/>
  <c r="CH67" i="20"/>
  <c r="CQ66" i="20"/>
  <c r="CH66" i="20"/>
  <c r="BY66" i="20"/>
  <c r="BP66" i="20"/>
  <c r="BI66" i="20"/>
  <c r="BH66" i="20" s="1"/>
  <c r="CZ64" i="20"/>
  <c r="CQ60" i="20"/>
  <c r="CH60" i="20"/>
  <c r="BY60" i="20"/>
  <c r="BP60" i="20"/>
  <c r="BI60" i="20"/>
  <c r="BH60" i="20" s="1"/>
  <c r="CZ58" i="20"/>
  <c r="CQ58" i="20"/>
  <c r="CH58" i="20"/>
  <c r="BY58" i="20"/>
  <c r="BP58" i="20"/>
  <c r="BI58" i="20"/>
  <c r="BH58" i="20" s="1"/>
  <c r="CQ54" i="20"/>
  <c r="CH54" i="20"/>
  <c r="BY54" i="20"/>
  <c r="BP54" i="20"/>
  <c r="BI54" i="20"/>
  <c r="BH54" i="20" s="1"/>
  <c r="CZ53" i="20"/>
  <c r="CQ53" i="20"/>
  <c r="CH53" i="20"/>
  <c r="BY53" i="20"/>
  <c r="BP53" i="20"/>
  <c r="BI53" i="20"/>
  <c r="CQ52" i="20"/>
  <c r="CH52" i="20"/>
  <c r="BY52" i="20"/>
  <c r="BP52" i="20"/>
  <c r="BI52" i="20"/>
  <c r="CZ50" i="20"/>
  <c r="CQ50" i="20"/>
  <c r="CH50" i="20"/>
  <c r="BY50" i="20"/>
  <c r="BP50" i="20"/>
  <c r="BI50" i="20"/>
  <c r="CZ49" i="20"/>
  <c r="CQ49" i="20"/>
  <c r="CH49" i="20"/>
  <c r="BY49" i="20"/>
  <c r="BP49" i="20"/>
  <c r="BI49" i="20"/>
  <c r="CZ48" i="20"/>
  <c r="CQ48" i="20"/>
  <c r="CH48" i="20"/>
  <c r="BY48" i="20"/>
  <c r="BP48" i="20"/>
  <c r="BI48" i="20"/>
  <c r="CQ47" i="20"/>
  <c r="CH47" i="20"/>
  <c r="BY47" i="20"/>
  <c r="BP47" i="20"/>
  <c r="BI47" i="20"/>
  <c r="CZ46" i="20"/>
  <c r="CQ46" i="20"/>
  <c r="CH46" i="20"/>
  <c r="BY46" i="20"/>
  <c r="BP46" i="20"/>
  <c r="BI46" i="20"/>
  <c r="CQ44" i="20"/>
  <c r="CH44" i="20"/>
  <c r="BY44" i="20"/>
  <c r="BP44" i="20"/>
  <c r="BI44" i="20"/>
  <c r="CZ43" i="20"/>
  <c r="CQ43" i="20"/>
  <c r="CH43" i="20"/>
  <c r="BY43" i="20"/>
  <c r="BP43" i="20"/>
  <c r="BI43" i="20"/>
  <c r="CT42" i="20"/>
  <c r="CR42" i="20"/>
  <c r="CR9" i="20" s="1"/>
  <c r="CR108" i="20" s="1"/>
  <c r="CH42" i="20"/>
  <c r="CB42" i="20"/>
  <c r="BP42" i="20"/>
  <c r="BI42" i="20"/>
  <c r="CQ41" i="20"/>
  <c r="CH41" i="20"/>
  <c r="BY41" i="20"/>
  <c r="BP41" i="20"/>
  <c r="BI41" i="20"/>
  <c r="CQ39" i="20"/>
  <c r="CH39" i="20"/>
  <c r="BY39" i="20"/>
  <c r="BP39" i="20"/>
  <c r="BI39" i="20"/>
  <c r="BH39" i="20" s="1"/>
  <c r="CQ38" i="20"/>
  <c r="CH38" i="20"/>
  <c r="BY38" i="20"/>
  <c r="BP38" i="20"/>
  <c r="BI38" i="20"/>
  <c r="CQ36" i="20"/>
  <c r="CH36" i="20"/>
  <c r="BY36" i="20"/>
  <c r="BP36" i="20"/>
  <c r="BI36" i="20"/>
  <c r="CV32" i="20"/>
  <c r="CT32" i="20"/>
  <c r="CH32" i="20"/>
  <c r="BY32" i="20"/>
  <c r="BP32" i="20"/>
  <c r="BI32" i="20"/>
  <c r="BH32" i="20" s="1"/>
  <c r="CV31" i="20"/>
  <c r="CQ31" i="20" s="1"/>
  <c r="CH31" i="20"/>
  <c r="BY31" i="20"/>
  <c r="BP31" i="20"/>
  <c r="BI31" i="20"/>
  <c r="BH31" i="20" s="1"/>
  <c r="CV30" i="20"/>
  <c r="CT30" i="20"/>
  <c r="CH30" i="20"/>
  <c r="BY30" i="20"/>
  <c r="BP30" i="20"/>
  <c r="BI30" i="20"/>
  <c r="BH30" i="20" s="1"/>
  <c r="CZ29" i="20"/>
  <c r="CV29" i="20"/>
  <c r="CH29" i="20"/>
  <c r="BY29" i="20"/>
  <c r="BP29" i="20"/>
  <c r="BI29" i="20"/>
  <c r="BH29" i="20" s="1"/>
  <c r="CQ28" i="20"/>
  <c r="CH28" i="20"/>
  <c r="BY28" i="20"/>
  <c r="BP28" i="20"/>
  <c r="BI28" i="20"/>
  <c r="BH28" i="20" s="1"/>
  <c r="CQ27" i="20"/>
  <c r="CH27" i="20"/>
  <c r="BY27" i="20"/>
  <c r="BP27" i="20"/>
  <c r="BI27" i="20"/>
  <c r="BH27" i="20" s="1"/>
  <c r="CQ25" i="20"/>
  <c r="CH25" i="20"/>
  <c r="BY25" i="20"/>
  <c r="BP25" i="20"/>
  <c r="BI25" i="20"/>
  <c r="BH25" i="20" s="1"/>
  <c r="CQ24" i="20"/>
  <c r="CH24" i="20"/>
  <c r="BY24" i="20"/>
  <c r="BP24" i="20"/>
  <c r="BI24" i="20"/>
  <c r="CQ22" i="20"/>
  <c r="CH22" i="20"/>
  <c r="BY22" i="20"/>
  <c r="BP22" i="20"/>
  <c r="BI22" i="20"/>
  <c r="CQ21" i="20"/>
  <c r="CH21" i="20"/>
  <c r="CB21" i="20"/>
  <c r="BZ21" i="20"/>
  <c r="BP21" i="20"/>
  <c r="BI21" i="20"/>
  <c r="BH21" i="20" s="1"/>
  <c r="CQ20" i="20"/>
  <c r="CH20" i="20"/>
  <c r="BY20" i="20"/>
  <c r="BP20" i="20"/>
  <c r="BI20" i="20"/>
  <c r="CQ19" i="20"/>
  <c r="CH19" i="20"/>
  <c r="BY19" i="20"/>
  <c r="BP19" i="20"/>
  <c r="BI19" i="20"/>
  <c r="CQ18" i="20"/>
  <c r="CH18" i="20"/>
  <c r="BY18" i="20"/>
  <c r="BP18" i="20"/>
  <c r="BI18" i="20"/>
  <c r="CQ15" i="20"/>
  <c r="CH15" i="20"/>
  <c r="BY15" i="20"/>
  <c r="BP15" i="20"/>
  <c r="BI15" i="20"/>
  <c r="CQ14" i="20"/>
  <c r="CH14" i="20"/>
  <c r="BY14" i="20"/>
  <c r="BP14" i="20"/>
  <c r="BN14" i="20"/>
  <c r="BL14" i="20"/>
  <c r="BL9" i="20" s="1"/>
  <c r="BL108" i="20" s="1"/>
  <c r="CQ13" i="20"/>
  <c r="CH13" i="20"/>
  <c r="BY13" i="20"/>
  <c r="BP13" i="20"/>
  <c r="BI13" i="20"/>
  <c r="CQ12" i="20"/>
  <c r="CH12" i="20"/>
  <c r="BY12" i="20"/>
  <c r="BP12" i="20"/>
  <c r="BI12" i="20"/>
  <c r="CQ11" i="20"/>
  <c r="CH11" i="20"/>
  <c r="BY11" i="20"/>
  <c r="BP11" i="20"/>
  <c r="BI11" i="20"/>
  <c r="BH11" i="20" s="1"/>
  <c r="DF108" i="20"/>
  <c r="DD108" i="20"/>
  <c r="DB9" i="20"/>
  <c r="DB108" i="20" s="1"/>
  <c r="CY9" i="20"/>
  <c r="CY108" i="20" s="1"/>
  <c r="CX9" i="20"/>
  <c r="CX108" i="20" s="1"/>
  <c r="CW9" i="20"/>
  <c r="CW108" i="20" s="1"/>
  <c r="CU9" i="20"/>
  <c r="CU108" i="20" s="1"/>
  <c r="CU110" i="20" s="1"/>
  <c r="CS9" i="20"/>
  <c r="CS108" i="20" s="1"/>
  <c r="CP9" i="20"/>
  <c r="CP108" i="20" s="1"/>
  <c r="CO9" i="20"/>
  <c r="CO108" i="20" s="1"/>
  <c r="CN9" i="20"/>
  <c r="CN108" i="20" s="1"/>
  <c r="CM9" i="20"/>
  <c r="CM108" i="20" s="1"/>
  <c r="CL9" i="20"/>
  <c r="CL108" i="20" s="1"/>
  <c r="CK9" i="20"/>
  <c r="CK108" i="20" s="1"/>
  <c r="CJ9" i="20"/>
  <c r="CJ108" i="20" s="1"/>
  <c r="CI9" i="20"/>
  <c r="CI108" i="20" s="1"/>
  <c r="CG9" i="20"/>
  <c r="CG108" i="20" s="1"/>
  <c r="CF9" i="20"/>
  <c r="CF108" i="20" s="1"/>
  <c r="CE9" i="20"/>
  <c r="CE108" i="20" s="1"/>
  <c r="CE110" i="20" s="1"/>
  <c r="CD9" i="20"/>
  <c r="CD108" i="20" s="1"/>
  <c r="CD110" i="20" s="1"/>
  <c r="CC9" i="20"/>
  <c r="CC108" i="20" s="1"/>
  <c r="CA9" i="20"/>
  <c r="CA108" i="20" s="1"/>
  <c r="BX9" i="20"/>
  <c r="BX108" i="20" s="1"/>
  <c r="BW9" i="20"/>
  <c r="BW108" i="20" s="1"/>
  <c r="BV9" i="20"/>
  <c r="BV108" i="20" s="1"/>
  <c r="BU9" i="20"/>
  <c r="BU108" i="20" s="1"/>
  <c r="BT9" i="20"/>
  <c r="BT108" i="20" s="1"/>
  <c r="BS9" i="20"/>
  <c r="BS108" i="20" s="1"/>
  <c r="BR9" i="20"/>
  <c r="BR108" i="20" s="1"/>
  <c r="BQ9" i="20"/>
  <c r="BQ108" i="20" s="1"/>
  <c r="BO9" i="20"/>
  <c r="BO108" i="20" s="1"/>
  <c r="BM9" i="20"/>
  <c r="BM108" i="20" s="1"/>
  <c r="BK9" i="20"/>
  <c r="BK108" i="20" s="1"/>
  <c r="BJ9" i="20"/>
  <c r="BJ108" i="20" s="1"/>
  <c r="BG9" i="20"/>
  <c r="BG108" i="20" s="1"/>
  <c r="DJ69" i="20" l="1"/>
  <c r="BQ110" i="20"/>
  <c r="BU110" i="20"/>
  <c r="CA110" i="20"/>
  <c r="CK110" i="20"/>
  <c r="CP110" i="20"/>
  <c r="BL110" i="20"/>
  <c r="CR110" i="20"/>
  <c r="DB110" i="20"/>
  <c r="CZ99" i="20"/>
  <c r="BK110" i="20"/>
  <c r="DD110" i="20"/>
  <c r="BI14" i="20"/>
  <c r="CZ52" i="20"/>
  <c r="DJ52" i="20" s="1"/>
  <c r="BT110" i="20"/>
  <c r="BX110" i="20"/>
  <c r="CJ110" i="20"/>
  <c r="CN110" i="20"/>
  <c r="CZ102" i="20"/>
  <c r="BJ110" i="20"/>
  <c r="CS110" i="20"/>
  <c r="DJ94" i="20"/>
  <c r="BG110" i="20"/>
  <c r="BM110" i="20"/>
  <c r="BS110" i="20"/>
  <c r="CI110" i="20"/>
  <c r="CM110" i="20"/>
  <c r="CZ44" i="20"/>
  <c r="CZ95" i="20"/>
  <c r="DJ95" i="20" s="1"/>
  <c r="CQ30" i="20"/>
  <c r="CQ32" i="20"/>
  <c r="CZ47" i="20"/>
  <c r="CC110" i="20"/>
  <c r="CW110" i="20"/>
  <c r="BP9" i="20"/>
  <c r="BP108" i="20" s="1"/>
  <c r="BP114" i="20" s="1"/>
  <c r="CV9" i="20"/>
  <c r="CV108" i="20" s="1"/>
  <c r="CV110" i="20" s="1"/>
  <c r="CZ30" i="20"/>
  <c r="CH9" i="20"/>
  <c r="CH108" i="20" s="1"/>
  <c r="CH115" i="20" s="1"/>
  <c r="DJ46" i="20"/>
  <c r="DJ49" i="20"/>
  <c r="DJ53" i="20"/>
  <c r="BO110" i="20"/>
  <c r="CY110" i="20"/>
  <c r="DF110" i="20"/>
  <c r="CQ42" i="20"/>
  <c r="CZ57" i="20"/>
  <c r="CZ79" i="20"/>
  <c r="CZ82" i="20"/>
  <c r="BH94" i="20"/>
  <c r="CZ106" i="20"/>
  <c r="BG115" i="20"/>
  <c r="BR110" i="20"/>
  <c r="BV110" i="20"/>
  <c r="CG110" i="20"/>
  <c r="CL110" i="20"/>
  <c r="BY21" i="20"/>
  <c r="CZ38" i="20"/>
  <c r="CB9" i="20"/>
  <c r="CB108" i="20" s="1"/>
  <c r="CB110" i="20" s="1"/>
  <c r="CZ54" i="20"/>
  <c r="CZ73" i="20"/>
  <c r="DJ90" i="20"/>
  <c r="CZ93" i="20"/>
  <c r="DI93" i="20" s="1"/>
  <c r="CZ98" i="20"/>
  <c r="DJ101" i="20"/>
  <c r="DJ89" i="20"/>
  <c r="DJ84" i="20"/>
  <c r="BH84" i="20"/>
  <c r="DJ43" i="20"/>
  <c r="DJ50" i="20"/>
  <c r="DJ48" i="20"/>
  <c r="DJ83" i="20"/>
  <c r="BG114" i="20"/>
  <c r="DJ77" i="20"/>
  <c r="BH22" i="20"/>
  <c r="BH24" i="20"/>
  <c r="DJ29" i="20"/>
  <c r="BH41" i="20"/>
  <c r="BH19" i="20"/>
  <c r="CQ29" i="20"/>
  <c r="BY42" i="20"/>
  <c r="BH69" i="20"/>
  <c r="DJ97" i="20"/>
  <c r="DJ58" i="20"/>
  <c r="BN9" i="20"/>
  <c r="BN108" i="20" s="1"/>
  <c r="BN110" i="20" s="1"/>
  <c r="BZ9" i="20"/>
  <c r="BZ108" i="20" s="1"/>
  <c r="BZ110" i="20" s="1"/>
  <c r="CT9" i="20"/>
  <c r="CT108" i="20" s="1"/>
  <c r="CT110" i="20" s="1"/>
  <c r="CT111" i="20" s="1"/>
  <c r="BH20" i="20"/>
  <c r="BH42" i="20"/>
  <c r="BH98" i="20"/>
  <c r="DJ30" i="20" l="1"/>
  <c r="DJ79" i="20"/>
  <c r="DI79" i="20"/>
  <c r="DJ38" i="20"/>
  <c r="DI38" i="20"/>
  <c r="DL44" i="20"/>
  <c r="DJ82" i="20"/>
  <c r="BQ111" i="20"/>
  <c r="BQ118" i="20" s="1"/>
  <c r="CK111" i="20"/>
  <c r="CK118" i="20" s="1"/>
  <c r="BZ111" i="20"/>
  <c r="BZ118" i="20" s="1"/>
  <c r="DJ44" i="20"/>
  <c r="CB111" i="20"/>
  <c r="CB118" i="20" s="1"/>
  <c r="BL111" i="20"/>
  <c r="CT118" i="20"/>
  <c r="BP110" i="20"/>
  <c r="CR111" i="20"/>
  <c r="CR118" i="20" s="1"/>
  <c r="BI9" i="20"/>
  <c r="BI108" i="20" s="1"/>
  <c r="BI110" i="20" s="1"/>
  <c r="BS111" i="20"/>
  <c r="BS118" i="20" s="1"/>
  <c r="CI111" i="20"/>
  <c r="CI118" i="20" s="1"/>
  <c r="BJ111" i="20"/>
  <c r="DJ102" i="20"/>
  <c r="DJ54" i="20"/>
  <c r="DJ99" i="20"/>
  <c r="DJ47" i="20"/>
  <c r="CH114" i="20"/>
  <c r="DJ93" i="20"/>
  <c r="CQ9" i="20"/>
  <c r="CQ108" i="20" s="1"/>
  <c r="CQ115" i="20" s="1"/>
  <c r="BH110" i="20"/>
  <c r="DJ98" i="20"/>
  <c r="CH110" i="20"/>
  <c r="BY9" i="20"/>
  <c r="BY108" i="20" s="1"/>
  <c r="BY110" i="20" s="1"/>
  <c r="DJ106" i="20"/>
  <c r="CQ110" i="20" l="1"/>
  <c r="CR113" i="20" s="1"/>
  <c r="DN44" i="20"/>
  <c r="DO44" i="20"/>
  <c r="BZ113" i="20"/>
  <c r="BJ113" i="20"/>
  <c r="BI114" i="20"/>
  <c r="BQ113" i="20"/>
  <c r="CI113" i="20"/>
  <c r="BY114" i="20"/>
  <c r="CQ114" i="20"/>
  <c r="DA87" i="20" l="1"/>
  <c r="F157" i="9"/>
  <c r="T157" i="9" s="1"/>
  <c r="F154" i="9"/>
  <c r="T154" i="9" s="1"/>
  <c r="F152" i="9"/>
  <c r="T152" i="9" s="1"/>
  <c r="T153" i="9"/>
  <c r="F27" i="9" l="1"/>
  <c r="T27" i="9" s="1"/>
  <c r="F124" i="9" l="1"/>
  <c r="T124" i="9" s="1"/>
  <c r="F123" i="9"/>
  <c r="T123" i="9" s="1"/>
  <c r="F122" i="9"/>
  <c r="T122" i="9" s="1"/>
  <c r="F121" i="9"/>
  <c r="T121" i="9" s="1"/>
  <c r="F120" i="9"/>
  <c r="T120" i="9" s="1"/>
  <c r="F119" i="9"/>
  <c r="T119" i="9" s="1"/>
  <c r="P116" i="9"/>
  <c r="N116" i="9"/>
  <c r="M116" i="9"/>
  <c r="L116" i="9"/>
  <c r="I116" i="9"/>
  <c r="H116" i="9"/>
  <c r="G116" i="9"/>
  <c r="P109" i="9"/>
  <c r="N109" i="9"/>
  <c r="M109" i="9"/>
  <c r="L109" i="9"/>
  <c r="I109" i="9"/>
  <c r="H109" i="9"/>
  <c r="G109" i="9"/>
  <c r="M108" i="9" l="1"/>
  <c r="I108" i="9"/>
  <c r="H108" i="9"/>
  <c r="N108" i="9"/>
  <c r="L108" i="9"/>
  <c r="G108" i="9"/>
  <c r="P108" i="9"/>
  <c r="Q109" i="9" l="1"/>
  <c r="Q116" i="9"/>
  <c r="O109" i="9"/>
  <c r="O116" i="9"/>
  <c r="R109" i="9"/>
  <c r="R116" i="9"/>
  <c r="S109" i="9"/>
  <c r="S116" i="9"/>
  <c r="K109" i="9"/>
  <c r="K116" i="9"/>
  <c r="J109" i="9"/>
  <c r="J116" i="9"/>
  <c r="O108" i="9" l="1"/>
  <c r="K108" i="9"/>
  <c r="R108" i="9"/>
  <c r="Q108" i="9"/>
  <c r="J108" i="9"/>
  <c r="S108" i="9"/>
  <c r="F107" i="9"/>
  <c r="T107" i="9" s="1"/>
  <c r="F106" i="9"/>
  <c r="T106" i="9" s="1"/>
  <c r="F105" i="9"/>
  <c r="T105" i="9" s="1"/>
  <c r="M98" i="9"/>
  <c r="F104" i="9"/>
  <c r="T104" i="9" s="1"/>
  <c r="F103" i="9"/>
  <c r="T103" i="9" s="1"/>
  <c r="F102" i="9"/>
  <c r="T102" i="9" s="1"/>
  <c r="F101" i="9"/>
  <c r="T101" i="9" s="1"/>
  <c r="F100" i="9"/>
  <c r="T100" i="9" s="1"/>
  <c r="F99" i="9"/>
  <c r="T99" i="9" s="1"/>
  <c r="S98" i="9"/>
  <c r="R98" i="9"/>
  <c r="Q98" i="9"/>
  <c r="P98" i="9"/>
  <c r="O98" i="9"/>
  <c r="N98" i="9"/>
  <c r="L98" i="9"/>
  <c r="K98" i="9"/>
  <c r="J98" i="9"/>
  <c r="I98" i="9"/>
  <c r="H98" i="9"/>
  <c r="G98" i="9"/>
  <c r="G88" i="9"/>
  <c r="H88" i="9"/>
  <c r="I88" i="9"/>
  <c r="J88" i="9"/>
  <c r="L88" i="9"/>
  <c r="N88" i="9"/>
  <c r="O88" i="9"/>
  <c r="P88" i="9"/>
  <c r="Q88" i="9"/>
  <c r="R88" i="9"/>
  <c r="S88" i="9"/>
  <c r="M88" i="9"/>
  <c r="G74" i="9"/>
  <c r="H74" i="9"/>
  <c r="S73" i="9"/>
  <c r="R73" i="9"/>
  <c r="Q73" i="9"/>
  <c r="P73" i="9"/>
  <c r="O73" i="9"/>
  <c r="N73" i="9"/>
  <c r="M73" i="9"/>
  <c r="L73" i="9"/>
  <c r="K73" i="9"/>
  <c r="J73" i="9"/>
  <c r="S72" i="9"/>
  <c r="R72" i="9"/>
  <c r="Q72" i="9"/>
  <c r="P72" i="9"/>
  <c r="O72" i="9"/>
  <c r="N72" i="9"/>
  <c r="M72" i="9"/>
  <c r="L72" i="9"/>
  <c r="K72" i="9"/>
  <c r="J72" i="9"/>
  <c r="S71" i="9"/>
  <c r="R71" i="9"/>
  <c r="Q71" i="9"/>
  <c r="P71" i="9"/>
  <c r="O71" i="9"/>
  <c r="N71" i="9"/>
  <c r="M71" i="9"/>
  <c r="L71" i="9"/>
  <c r="K71" i="9"/>
  <c r="J71" i="9"/>
  <c r="S70" i="9"/>
  <c r="R70" i="9"/>
  <c r="Q70" i="9"/>
  <c r="P70" i="9"/>
  <c r="O70" i="9"/>
  <c r="N70" i="9"/>
  <c r="M70" i="9"/>
  <c r="L70" i="9"/>
  <c r="K70" i="9"/>
  <c r="J70" i="9"/>
  <c r="S58" i="9"/>
  <c r="R58" i="9"/>
  <c r="Q58" i="9"/>
  <c r="P58" i="9"/>
  <c r="O58" i="9"/>
  <c r="N58" i="9"/>
  <c r="M58" i="9"/>
  <c r="L58" i="9"/>
  <c r="K58" i="9"/>
  <c r="J58" i="9"/>
  <c r="S57" i="9"/>
  <c r="R57" i="9"/>
  <c r="Q57" i="9"/>
  <c r="P57" i="9"/>
  <c r="O57" i="9"/>
  <c r="N57" i="9"/>
  <c r="M57" i="9"/>
  <c r="L57" i="9"/>
  <c r="K57" i="9"/>
  <c r="J57" i="9"/>
  <c r="S56" i="9"/>
  <c r="R56" i="9"/>
  <c r="Q56" i="9"/>
  <c r="P56" i="9"/>
  <c r="O56" i="9"/>
  <c r="N56" i="9"/>
  <c r="M56" i="9"/>
  <c r="L56" i="9"/>
  <c r="K56" i="9"/>
  <c r="J56" i="9"/>
  <c r="K88" i="9" l="1"/>
  <c r="K87" i="9" s="1"/>
  <c r="I87" i="9"/>
  <c r="N87" i="9"/>
  <c r="R87" i="9"/>
  <c r="L87" i="9"/>
  <c r="J87" i="9"/>
  <c r="O87" i="9"/>
  <c r="S87" i="9"/>
  <c r="M87" i="9"/>
  <c r="H87" i="9"/>
  <c r="Q87" i="9"/>
  <c r="G87" i="9"/>
  <c r="P87" i="9"/>
  <c r="F98" i="9"/>
  <c r="T98" i="9" s="1"/>
  <c r="F34" i="9"/>
  <c r="T34" i="9" s="1"/>
  <c r="F42" i="9"/>
  <c r="T42" i="9" s="1"/>
  <c r="F169" i="9"/>
  <c r="T169" i="9" s="1"/>
  <c r="F168" i="9"/>
  <c r="T168" i="9" s="1"/>
  <c r="F167" i="9"/>
  <c r="T167" i="9" s="1"/>
  <c r="T165" i="9"/>
  <c r="F163" i="9"/>
  <c r="T163" i="9" s="1"/>
  <c r="F161" i="9"/>
  <c r="T161" i="9" s="1"/>
  <c r="F160" i="9"/>
  <c r="T160" i="9" s="1"/>
  <c r="F158" i="9"/>
  <c r="T158" i="9" s="1"/>
  <c r="F156" i="9"/>
  <c r="T156" i="9" s="1"/>
  <c r="F155" i="9"/>
  <c r="T155" i="9" s="1"/>
  <c r="F151" i="9"/>
  <c r="T151" i="9" s="1"/>
  <c r="F150" i="9"/>
  <c r="T150" i="9" s="1"/>
  <c r="F147" i="9"/>
  <c r="T147" i="9" s="1"/>
  <c r="F145" i="9"/>
  <c r="T145" i="9" s="1"/>
  <c r="F144" i="9"/>
  <c r="T144" i="9" s="1"/>
  <c r="F142" i="9"/>
  <c r="T142" i="9" s="1"/>
  <c r="F141" i="9"/>
  <c r="T141" i="9" s="1"/>
  <c r="F140" i="9"/>
  <c r="T140" i="9" s="1"/>
  <c r="F138" i="9"/>
  <c r="T138" i="9" s="1"/>
  <c r="F137" i="9"/>
  <c r="T137" i="9" s="1"/>
  <c r="F136" i="9"/>
  <c r="T136" i="9" s="1"/>
  <c r="F135" i="9"/>
  <c r="T135" i="9" s="1"/>
  <c r="F134" i="9"/>
  <c r="T134" i="9" s="1"/>
  <c r="F133" i="9"/>
  <c r="T133" i="9" s="1"/>
  <c r="F132" i="9"/>
  <c r="T132" i="9" s="1"/>
  <c r="F131" i="9"/>
  <c r="T131" i="9" s="1"/>
  <c r="F130" i="9"/>
  <c r="T130" i="9" s="1"/>
  <c r="F128" i="9"/>
  <c r="T128" i="9" s="1"/>
  <c r="F115" i="9"/>
  <c r="T115" i="9" s="1"/>
  <c r="F114" i="9"/>
  <c r="T114" i="9" s="1"/>
  <c r="F113" i="9"/>
  <c r="T113" i="9" s="1"/>
  <c r="F112" i="9"/>
  <c r="T112" i="9" s="1"/>
  <c r="F111" i="9"/>
  <c r="T111" i="9" s="1"/>
  <c r="F118" i="9"/>
  <c r="F110" i="9"/>
  <c r="T110" i="9" s="1"/>
  <c r="F97" i="9"/>
  <c r="T97" i="9" s="1"/>
  <c r="F96" i="9"/>
  <c r="T96" i="9" s="1"/>
  <c r="F95" i="9"/>
  <c r="T95" i="9" s="1"/>
  <c r="F94" i="9"/>
  <c r="T94" i="9" s="1"/>
  <c r="F93" i="9"/>
  <c r="T93" i="9" s="1"/>
  <c r="F92" i="9"/>
  <c r="T92" i="9" s="1"/>
  <c r="F91" i="9"/>
  <c r="T91" i="9" s="1"/>
  <c r="F90" i="9"/>
  <c r="T90" i="9" s="1"/>
  <c r="F89" i="9"/>
  <c r="T89" i="9" s="1"/>
  <c r="F83" i="9"/>
  <c r="T83" i="9" s="1"/>
  <c r="F82" i="9"/>
  <c r="T82" i="9" s="1"/>
  <c r="F81" i="9"/>
  <c r="T81" i="9" s="1"/>
  <c r="F80" i="9"/>
  <c r="T80" i="9" s="1"/>
  <c r="F79" i="9"/>
  <c r="T79" i="9" s="1"/>
  <c r="F77" i="9"/>
  <c r="T77" i="9" s="1"/>
  <c r="F73" i="9"/>
  <c r="T73" i="9" s="1"/>
  <c r="F72" i="9"/>
  <c r="T72" i="9" s="1"/>
  <c r="F71" i="9"/>
  <c r="T71" i="9" s="1"/>
  <c r="F70" i="9"/>
  <c r="T70" i="9" s="1"/>
  <c r="F58" i="9"/>
  <c r="T58" i="9" s="1"/>
  <c r="F57" i="9"/>
  <c r="T57" i="9" s="1"/>
  <c r="F56" i="9"/>
  <c r="T56" i="9" s="1"/>
  <c r="F41" i="9"/>
  <c r="T41" i="9" s="1"/>
  <c r="F39" i="9"/>
  <c r="T39" i="9" s="1"/>
  <c r="F38" i="9"/>
  <c r="T38" i="9" s="1"/>
  <c r="F37" i="9"/>
  <c r="T37" i="9" s="1"/>
  <c r="F36" i="9"/>
  <c r="T36" i="9" s="1"/>
  <c r="F35" i="9"/>
  <c r="T35" i="9" s="1"/>
  <c r="F33" i="9"/>
  <c r="T33" i="9" s="1"/>
  <c r="F32" i="9"/>
  <c r="T32" i="9" s="1"/>
  <c r="F31" i="9"/>
  <c r="T31" i="9" s="1"/>
  <c r="F28" i="9"/>
  <c r="T28" i="9" s="1"/>
  <c r="F26" i="9"/>
  <c r="T26" i="9" s="1"/>
  <c r="F25" i="9"/>
  <c r="T25" i="9" s="1"/>
  <c r="T60" i="9" l="1"/>
  <c r="T118" i="9"/>
  <c r="F109" i="9"/>
  <c r="T109" i="9" s="1"/>
  <c r="F88" i="9"/>
  <c r="T88" i="9" s="1"/>
  <c r="F40" i="9"/>
  <c r="T40" i="9" s="1"/>
  <c r="CZ105" i="20" l="1"/>
  <c r="DJ105" i="20" s="1"/>
  <c r="F87" i="9"/>
  <c r="T87" i="9" s="1"/>
  <c r="DI105" i="20" l="1"/>
  <c r="DA92" i="20" l="1"/>
  <c r="CZ92" i="20" s="1"/>
  <c r="DI92" i="20" l="1"/>
  <c r="DJ92" i="20"/>
  <c r="CZ68" i="20" l="1"/>
  <c r="DI68" i="20" l="1"/>
  <c r="CZ72" i="20" l="1"/>
  <c r="DI72" i="20" l="1"/>
  <c r="DA60" i="20" l="1"/>
  <c r="CZ60" i="20" l="1"/>
  <c r="DC32" i="20" l="1"/>
  <c r="DA18" i="20"/>
  <c r="DA20" i="20"/>
  <c r="CZ86" i="20"/>
  <c r="DE42" i="20"/>
  <c r="DG18" i="20"/>
  <c r="DC41" i="20"/>
  <c r="DE20" i="20" l="1"/>
  <c r="DA11" i="20"/>
  <c r="CZ11" i="20" s="1"/>
  <c r="DJ11" i="20" s="1"/>
  <c r="CZ18" i="20"/>
  <c r="CZ20" i="20" l="1"/>
  <c r="DI20" i="20" s="1"/>
  <c r="DI18" i="20"/>
  <c r="DJ18" i="20"/>
  <c r="DI11" i="20"/>
  <c r="DE14" i="20" l="1"/>
  <c r="CZ14" i="20" s="1"/>
  <c r="DJ14" i="20" s="1"/>
  <c r="DJ20" i="20"/>
  <c r="DI14" i="20" l="1"/>
  <c r="F170" i="9" l="1"/>
  <c r="DC65" i="20"/>
  <c r="CZ65" i="20" s="1"/>
  <c r="DE76" i="20"/>
  <c r="CZ76" i="20" s="1"/>
  <c r="N170" i="9" l="1"/>
  <c r="T170" i="9" s="1"/>
  <c r="DI75" i="20"/>
  <c r="DC96" i="20"/>
  <c r="DC87" i="20"/>
  <c r="DI70" i="20" l="1"/>
  <c r="DI65" i="20"/>
  <c r="DI76" i="20"/>
  <c r="CZ96" i="20"/>
  <c r="DJ96" i="20" s="1"/>
  <c r="DI96" i="20" l="1"/>
  <c r="J782" i="4"/>
  <c r="J599" i="4"/>
  <c r="DA27" i="20" l="1"/>
  <c r="F55" i="9"/>
  <c r="T55" i="9" s="1"/>
  <c r="F44" i="9"/>
  <c r="T44" i="9" s="1"/>
  <c r="F66" i="9"/>
  <c r="T66" i="9" s="1"/>
  <c r="DC24" i="20"/>
  <c r="DA13" i="20"/>
  <c r="CZ13" i="20" s="1"/>
  <c r="J783" i="4"/>
  <c r="L217" i="4"/>
  <c r="F75" i="9" l="1"/>
  <c r="CZ27" i="20"/>
  <c r="J210" i="4"/>
  <c r="DA36" i="20"/>
  <c r="CZ36" i="20" s="1"/>
  <c r="DJ36" i="20" s="1"/>
  <c r="DJ13" i="20"/>
  <c r="J776" i="4"/>
  <c r="H455" i="42" l="1"/>
  <c r="J209" i="4"/>
  <c r="J207" i="4" s="1"/>
  <c r="F117" i="9"/>
  <c r="Q75" i="9"/>
  <c r="Q74" i="9" s="1"/>
  <c r="Q7" i="9" s="1"/>
  <c r="F74" i="9"/>
  <c r="DI27" i="20"/>
  <c r="DJ27" i="20"/>
  <c r="DI36" i="20"/>
  <c r="T74" i="9" l="1"/>
  <c r="T75" i="9"/>
  <c r="T117" i="9"/>
  <c r="F116" i="9"/>
  <c r="T116" i="9" l="1"/>
  <c r="F108" i="9"/>
  <c r="T108" i="9" s="1"/>
  <c r="F47" i="9" l="1"/>
  <c r="T47" i="9" s="1"/>
  <c r="J234" i="4"/>
  <c r="L234" i="4" l="1"/>
  <c r="J227" i="4"/>
  <c r="J226" i="4" s="1"/>
  <c r="DA91" i="20"/>
  <c r="CZ91" i="20" s="1"/>
  <c r="J225" i="4" l="1"/>
  <c r="DJ91" i="20"/>
  <c r="H458" i="42" l="1"/>
  <c r="DI91" i="20"/>
  <c r="DE32" i="20" l="1"/>
  <c r="CZ24" i="20"/>
  <c r="DJ24" i="20" s="1"/>
  <c r="J238" i="4"/>
  <c r="DH9" i="20" l="1"/>
  <c r="DH108" i="20" s="1"/>
  <c r="DH110" i="20" s="1"/>
  <c r="F23" i="9" l="1"/>
  <c r="T23" i="9" s="1"/>
  <c r="DA12" i="20"/>
  <c r="CZ59" i="20" l="1"/>
  <c r="CZ12" i="20"/>
  <c r="DJ59" i="20" l="1"/>
  <c r="DI59" i="20"/>
  <c r="DJ12" i="20"/>
  <c r="CZ66" i="20"/>
  <c r="DI60" i="20"/>
  <c r="DI82" i="20" l="1"/>
  <c r="DI66" i="20"/>
  <c r="DJ66" i="20"/>
  <c r="DM54" i="20" l="1"/>
  <c r="DI24" i="20" l="1"/>
  <c r="J185" i="4"/>
  <c r="CZ22" i="20" l="1"/>
  <c r="I9" i="9"/>
  <c r="J9" i="9"/>
  <c r="K9" i="9"/>
  <c r="L9" i="9"/>
  <c r="M9" i="9"/>
  <c r="N9" i="9"/>
  <c r="O9" i="9"/>
  <c r="P9" i="9"/>
  <c r="Q9" i="9"/>
  <c r="R9" i="9"/>
  <c r="S9" i="9"/>
  <c r="H12" i="9"/>
  <c r="I12" i="9"/>
  <c r="J12" i="9"/>
  <c r="K12" i="9"/>
  <c r="L12" i="9"/>
  <c r="M12" i="9"/>
  <c r="N12" i="9"/>
  <c r="O12" i="9"/>
  <c r="P12" i="9"/>
  <c r="Q12" i="9"/>
  <c r="R12" i="9"/>
  <c r="S12" i="9"/>
  <c r="F14" i="9"/>
  <c r="T14" i="9" s="1"/>
  <c r="F15" i="9"/>
  <c r="T15" i="9" s="1"/>
  <c r="F16" i="9"/>
  <c r="H16" i="9"/>
  <c r="G22" i="9"/>
  <c r="G7" i="9" s="1"/>
  <c r="H22" i="9"/>
  <c r="G24" i="9"/>
  <c r="H24" i="9"/>
  <c r="I24" i="9"/>
  <c r="J24" i="9"/>
  <c r="K24" i="9"/>
  <c r="L24" i="9"/>
  <c r="M24" i="9"/>
  <c r="N24" i="9"/>
  <c r="O24" i="9"/>
  <c r="P24" i="9"/>
  <c r="R24" i="9"/>
  <c r="Q24" i="9"/>
  <c r="G30" i="9"/>
  <c r="H30" i="9"/>
  <c r="J30" i="9"/>
  <c r="K30" i="9"/>
  <c r="L30" i="9"/>
  <c r="M30" i="9"/>
  <c r="N30" i="9"/>
  <c r="O30" i="9"/>
  <c r="P30" i="9"/>
  <c r="Q30" i="9"/>
  <c r="R30" i="9"/>
  <c r="F76" i="9"/>
  <c r="H76" i="9"/>
  <c r="I76" i="9"/>
  <c r="J76" i="9"/>
  <c r="K76" i="9"/>
  <c r="L76" i="9"/>
  <c r="M76" i="9"/>
  <c r="N76" i="9"/>
  <c r="O76" i="9"/>
  <c r="P76" i="9"/>
  <c r="Q76" i="9"/>
  <c r="R76" i="9"/>
  <c r="S76" i="9"/>
  <c r="I78" i="9"/>
  <c r="J78" i="9"/>
  <c r="K78" i="9"/>
  <c r="L78" i="9"/>
  <c r="M78" i="9"/>
  <c r="N78" i="9"/>
  <c r="O78" i="9"/>
  <c r="P78" i="9"/>
  <c r="Q78" i="9"/>
  <c r="R78" i="9"/>
  <c r="S78" i="9"/>
  <c r="F127" i="9"/>
  <c r="I127" i="9"/>
  <c r="J127" i="9"/>
  <c r="K127" i="9"/>
  <c r="L127" i="9"/>
  <c r="M127" i="9"/>
  <c r="N127" i="9"/>
  <c r="O127" i="9"/>
  <c r="P127" i="9"/>
  <c r="Q127" i="9"/>
  <c r="R127" i="9"/>
  <c r="S127" i="9"/>
  <c r="H127" i="9"/>
  <c r="G129" i="9"/>
  <c r="H129" i="9"/>
  <c r="I129" i="9"/>
  <c r="J129" i="9"/>
  <c r="K129" i="9"/>
  <c r="L129" i="9"/>
  <c r="M129" i="9"/>
  <c r="N129" i="9"/>
  <c r="O129" i="9"/>
  <c r="P129" i="9"/>
  <c r="Q129" i="9"/>
  <c r="R129" i="9"/>
  <c r="S129" i="9"/>
  <c r="H139" i="9"/>
  <c r="J139" i="9"/>
  <c r="K139" i="9"/>
  <c r="L139" i="9"/>
  <c r="M139" i="9"/>
  <c r="N139" i="9"/>
  <c r="O139" i="9"/>
  <c r="Q139" i="9"/>
  <c r="R139" i="9"/>
  <c r="S139" i="9"/>
  <c r="I139" i="9"/>
  <c r="G143" i="9"/>
  <c r="H143" i="9"/>
  <c r="J143" i="9"/>
  <c r="K143" i="9"/>
  <c r="L143" i="9"/>
  <c r="M143" i="9"/>
  <c r="N143" i="9"/>
  <c r="O143" i="9"/>
  <c r="P143" i="9"/>
  <c r="Q143" i="9"/>
  <c r="R143" i="9"/>
  <c r="S143" i="9"/>
  <c r="F143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G159" i="9"/>
  <c r="H159" i="9"/>
  <c r="I159" i="9"/>
  <c r="J159" i="9"/>
  <c r="K159" i="9"/>
  <c r="L159" i="9"/>
  <c r="M159" i="9"/>
  <c r="N159" i="9"/>
  <c r="O159" i="9"/>
  <c r="P159" i="9"/>
  <c r="Q159" i="9"/>
  <c r="R159" i="9"/>
  <c r="G162" i="9"/>
  <c r="H162" i="9"/>
  <c r="I162" i="9"/>
  <c r="J162" i="9"/>
  <c r="K162" i="9"/>
  <c r="L162" i="9"/>
  <c r="M162" i="9"/>
  <c r="N162" i="9"/>
  <c r="O162" i="9"/>
  <c r="P162" i="9"/>
  <c r="Q162" i="9"/>
  <c r="R162" i="9"/>
  <c r="S162" i="9"/>
  <c r="G166" i="9"/>
  <c r="G164" i="9" s="1"/>
  <c r="H166" i="9"/>
  <c r="H164" i="9" s="1"/>
  <c r="H125" i="9" s="1"/>
  <c r="I166" i="9"/>
  <c r="I164" i="9" s="1"/>
  <c r="I125" i="9" s="1"/>
  <c r="K166" i="9"/>
  <c r="K164" i="9" s="1"/>
  <c r="K125" i="9" s="1"/>
  <c r="M166" i="9"/>
  <c r="M164" i="9" s="1"/>
  <c r="M125" i="9" s="1"/>
  <c r="N166" i="9"/>
  <c r="N164" i="9" s="1"/>
  <c r="N125" i="9" s="1"/>
  <c r="O166" i="9"/>
  <c r="O164" i="9" s="1"/>
  <c r="O125" i="9" s="1"/>
  <c r="P166" i="9"/>
  <c r="P164" i="9" s="1"/>
  <c r="P125" i="9" s="1"/>
  <c r="S166" i="9"/>
  <c r="S164" i="9" s="1"/>
  <c r="S125" i="9" s="1"/>
  <c r="J166" i="9"/>
  <c r="J164" i="9" s="1"/>
  <c r="J125" i="9" s="1"/>
  <c r="L166" i="9"/>
  <c r="L164" i="9" s="1"/>
  <c r="L125" i="9" s="1"/>
  <c r="Q166" i="9"/>
  <c r="Q164" i="9" s="1"/>
  <c r="Q125" i="9" s="1"/>
  <c r="R166" i="9"/>
  <c r="R164" i="9" s="1"/>
  <c r="R125" i="9" s="1"/>
  <c r="H7" i="9" l="1"/>
  <c r="H171" i="9" s="1"/>
  <c r="T127" i="9"/>
  <c r="T76" i="9"/>
  <c r="T16" i="9"/>
  <c r="DJ22" i="20"/>
  <c r="G125" i="9"/>
  <c r="G171" i="9" s="1"/>
  <c r="F12" i="9"/>
  <c r="T12" i="9" s="1"/>
  <c r="S24" i="9"/>
  <c r="J171" i="9"/>
  <c r="S159" i="9"/>
  <c r="F159" i="9"/>
  <c r="F146" i="9"/>
  <c r="T146" i="9" s="1"/>
  <c r="F78" i="9"/>
  <c r="F30" i="9"/>
  <c r="F166" i="9"/>
  <c r="F139" i="9"/>
  <c r="F129" i="9"/>
  <c r="T129" i="9" s="1"/>
  <c r="H78" i="9"/>
  <c r="I143" i="9"/>
  <c r="T143" i="9" s="1"/>
  <c r="F162" i="9"/>
  <c r="T162" i="9" s="1"/>
  <c r="F149" i="9"/>
  <c r="I30" i="9"/>
  <c r="F24" i="9"/>
  <c r="F22" i="9"/>
  <c r="T22" i="9" s="1"/>
  <c r="H9" i="9"/>
  <c r="F9" i="9"/>
  <c r="T166" i="9" l="1"/>
  <c r="F164" i="9"/>
  <c r="T164" i="9" s="1"/>
  <c r="T24" i="9"/>
  <c r="T149" i="9"/>
  <c r="T9" i="9"/>
  <c r="T78" i="9"/>
  <c r="T159" i="9"/>
  <c r="Q171" i="9"/>
  <c r="M171" i="9"/>
  <c r="R171" i="9"/>
  <c r="O171" i="9"/>
  <c r="N171" i="9"/>
  <c r="P171" i="9"/>
  <c r="K171" i="9"/>
  <c r="L171" i="9"/>
  <c r="P139" i="9"/>
  <c r="S30" i="9"/>
  <c r="T30" i="9" s="1"/>
  <c r="F125" i="9" l="1"/>
  <c r="T125" i="9" s="1"/>
  <c r="T139" i="9"/>
  <c r="I171" i="9"/>
  <c r="S171" i="9" l="1"/>
  <c r="CZ25" i="20" l="1"/>
  <c r="M4" i="4" l="1"/>
  <c r="J18" i="4" s="1"/>
  <c r="K18" i="4" s="1"/>
  <c r="DJ25" i="20"/>
  <c r="DI25" i="20" l="1"/>
  <c r="DI22" i="20"/>
  <c r="N4" i="4" l="1"/>
  <c r="O4" i="4"/>
  <c r="J186" i="4"/>
  <c r="CZ28" i="20" l="1"/>
  <c r="J606" i="4"/>
  <c r="M5" i="4" s="1"/>
  <c r="J593" i="4" l="1"/>
  <c r="DI28" i="20"/>
  <c r="DJ28" i="20"/>
  <c r="J1131" i="4"/>
  <c r="J1146" i="4" s="1"/>
  <c r="J1102" i="4" l="1"/>
  <c r="M3" i="4" s="1"/>
  <c r="F50" i="9"/>
  <c r="T50" i="9" s="1"/>
  <c r="F46" i="9"/>
  <c r="T46" i="9" s="1"/>
  <c r="F45" i="9"/>
  <c r="T45" i="9" s="1"/>
  <c r="F61" i="9"/>
  <c r="F59" i="9" s="1"/>
  <c r="F49" i="9"/>
  <c r="T49" i="9" s="1"/>
  <c r="DI13" i="20"/>
  <c r="DA21" i="20"/>
  <c r="DA39" i="20"/>
  <c r="CZ39" i="20" s="1"/>
  <c r="DJ39" i="20" s="1"/>
  <c r="J1101" i="4" l="1"/>
  <c r="L1146" i="4"/>
  <c r="J288" i="4"/>
  <c r="M288" i="4" s="1"/>
  <c r="DE56" i="20"/>
  <c r="CZ56" i="20" s="1"/>
  <c r="DI56" i="20" s="1"/>
  <c r="DG17" i="20"/>
  <c r="CZ17" i="20" s="1"/>
  <c r="DJ17" i="20" s="1"/>
  <c r="J17" i="4"/>
  <c r="K17" i="4" s="1"/>
  <c r="T61" i="9"/>
  <c r="U59" i="9"/>
  <c r="U60" i="9" s="1"/>
  <c r="T59" i="9"/>
  <c r="F43" i="9"/>
  <c r="T43" i="9" s="1"/>
  <c r="DA19" i="20"/>
  <c r="DG19" i="20"/>
  <c r="DG9" i="20" s="1"/>
  <c r="DG108" i="20" s="1"/>
  <c r="CZ21" i="20"/>
  <c r="DJ21" i="20" s="1"/>
  <c r="DI39" i="20"/>
  <c r="DI12" i="20"/>
  <c r="J1099" i="4" l="1"/>
  <c r="O24" i="4"/>
  <c r="H457" i="42"/>
  <c r="H461" i="42" s="1"/>
  <c r="H478" i="42" s="1"/>
  <c r="G461" i="42"/>
  <c r="G478" i="42" s="1"/>
  <c r="J14" i="4"/>
  <c r="K14" i="4" s="1"/>
  <c r="U12" i="37"/>
  <c r="V12" i="37" s="1"/>
  <c r="U29" i="9"/>
  <c r="F29" i="9"/>
  <c r="N5" i="4"/>
  <c r="O5" i="4"/>
  <c r="DI21" i="20"/>
  <c r="U43" i="9" l="1"/>
  <c r="F7" i="9"/>
  <c r="T29" i="9"/>
  <c r="DE15" i="20"/>
  <c r="CZ15" i="20" s="1"/>
  <c r="L164" i="4" l="1"/>
  <c r="J263" i="4"/>
  <c r="J155" i="4"/>
  <c r="J135" i="4" s="1"/>
  <c r="DI86" i="20"/>
  <c r="F171" i="9"/>
  <c r="T7" i="9"/>
  <c r="DI15" i="20"/>
  <c r="DJ15" i="20"/>
  <c r="CZ19" i="20"/>
  <c r="J289" i="4"/>
  <c r="J124" i="4" l="1"/>
  <c r="F173" i="9"/>
  <c r="T171" i="9"/>
  <c r="F174" i="9"/>
  <c r="DJ19" i="20"/>
  <c r="DI19" i="20"/>
  <c r="CZ41" i="20" l="1"/>
  <c r="DJ41" i="20" l="1"/>
  <c r="DI41" i="20"/>
  <c r="DC42" i="20" l="1"/>
  <c r="CZ87" i="20" l="1"/>
  <c r="DI87" i="20" l="1"/>
  <c r="DJ87" i="20"/>
  <c r="CZ42" i="20" l="1"/>
  <c r="DA9" i="20"/>
  <c r="DA108" i="20" s="1"/>
  <c r="DA110" i="20" l="1"/>
  <c r="DA111" i="20" s="1"/>
  <c r="DJ42" i="20"/>
  <c r="DI42" i="20"/>
  <c r="CZ104" i="20" l="1"/>
  <c r="DJ104" i="20" s="1"/>
  <c r="DI104" i="20" l="1"/>
  <c r="DE103" i="20" l="1"/>
  <c r="CZ103" i="20" l="1"/>
  <c r="DE9" i="20"/>
  <c r="DE108" i="20" s="1"/>
  <c r="DJ103" i="20" l="1"/>
  <c r="DI103" i="20"/>
  <c r="DE110" i="20"/>
  <c r="DM84" i="20"/>
  <c r="CZ78" i="20" l="1"/>
  <c r="DJ78" i="20" l="1"/>
  <c r="DL54" i="20"/>
  <c r="DO54" i="20" s="1"/>
  <c r="DI78" i="20"/>
  <c r="DN54" i="20" l="1"/>
  <c r="DI17" i="20" l="1"/>
  <c r="CZ31" i="20" l="1"/>
  <c r="DI31" i="20" s="1"/>
  <c r="DJ31" i="20" l="1"/>
  <c r="CZ32" i="20" l="1"/>
  <c r="DL32" i="20"/>
  <c r="DJ32" i="20" l="1"/>
  <c r="DC40" i="20" l="1"/>
  <c r="DC9" i="20" l="1"/>
  <c r="DC108" i="20" s="1"/>
  <c r="DC110" i="20" s="1"/>
  <c r="DC111" i="20" s="1"/>
  <c r="CZ40" i="20"/>
  <c r="DL31" i="20"/>
  <c r="CZ9" i="20" l="1"/>
  <c r="CZ108" i="20" s="1"/>
  <c r="DJ40" i="20"/>
  <c r="DI40" i="20"/>
  <c r="DL9" i="20"/>
  <c r="DC118" i="20"/>
  <c r="CZ110" i="20" l="1"/>
  <c r="DA113" i="20" s="1"/>
  <c r="J197" i="4" l="1"/>
  <c r="J195" i="4" l="1"/>
  <c r="J193" i="4" s="1"/>
  <c r="N3" i="4"/>
  <c r="O3" i="4"/>
  <c r="P3" i="4" l="1"/>
  <c r="J75" i="4"/>
  <c r="J1169" i="4" s="1"/>
  <c r="L46" i="4" l="1"/>
  <c r="L14" i="4"/>
  <c r="L75" i="4"/>
  <c r="J69" i="4"/>
  <c r="M2" i="4" l="1"/>
  <c r="N2" i="4" s="1"/>
  <c r="J59" i="4"/>
  <c r="O2" i="4" l="1"/>
  <c r="J28" i="4"/>
  <c r="J25" i="4" s="1"/>
  <c r="DE85" i="20" l="1"/>
  <c r="CZ85" i="20" s="1"/>
  <c r="DI85" i="20" s="1"/>
  <c r="DL84" i="20" l="1"/>
  <c r="DO84" i="20" l="1"/>
  <c r="DN84" i="20"/>
  <c r="J521" i="51" l="1"/>
  <c r="J276" i="51" s="1"/>
  <c r="M525" i="51"/>
  <c r="H14" i="62"/>
  <c r="O525" i="51" l="1"/>
  <c r="J273" i="51" l="1"/>
  <c r="J22" i="51"/>
  <c r="L2" i="51" s="1"/>
  <c r="M2" i="51" s="1"/>
  <c r="M22" i="51" l="1"/>
  <c r="J9" i="51"/>
  <c r="J6" i="51" s="1"/>
  <c r="J191" i="51" l="1"/>
  <c r="J194" i="51"/>
  <c r="J193" i="51" l="1"/>
  <c r="J195" i="51" s="1"/>
  <c r="J804" i="51" s="1"/>
  <c r="H21" i="42" l="1"/>
  <c r="H23" i="42" s="1"/>
  <c r="H32" i="42" s="1"/>
  <c r="L804" i="51"/>
  <c r="L195" i="51"/>
  <c r="M195" i="51" s="1"/>
  <c r="J187" i="51"/>
  <c r="K9" i="51" s="1"/>
  <c r="K804" i="51" l="1"/>
  <c r="J186" i="51"/>
  <c r="L128" i="51" s="1"/>
  <c r="L129" i="51" s="1"/>
  <c r="L9" i="51"/>
  <c r="K6" i="51"/>
  <c r="G34" i="50"/>
  <c r="G33" i="50" s="1"/>
  <c r="J184" i="51" l="1"/>
  <c r="M128" i="51" s="1"/>
  <c r="M129" i="51" s="1"/>
  <c r="K10" i="51"/>
  <c r="M9" i="51"/>
  <c r="L140" i="51" l="1"/>
  <c r="M140" i="51" s="1"/>
  <c r="J131" i="51"/>
  <c r="J128" i="51" s="1"/>
  <c r="K128" i="51" s="1"/>
  <c r="J209" i="42"/>
  <c r="J618" i="4" l="1"/>
  <c r="M6" i="4" s="1"/>
  <c r="J617" i="4" l="1"/>
  <c r="J15" i="4"/>
  <c r="DI32" i="20"/>
  <c r="J223" i="4" l="1"/>
  <c r="L19" i="4" s="1"/>
  <c r="M19" i="4"/>
  <c r="O6" i="4"/>
  <c r="K15" i="4"/>
  <c r="J9" i="4"/>
  <c r="N6" i="4"/>
  <c r="K765" i="4" s="1"/>
  <c r="J7" i="4" l="1"/>
  <c r="K9" i="4"/>
  <c r="CZ113" i="20"/>
  <c r="DA115" i="20" s="1"/>
  <c r="DA118" i="20" s="1"/>
  <c r="DM9" i="20"/>
  <c r="DN9" i="20" s="1"/>
  <c r="J221" i="4"/>
  <c r="J23" i="4" l="1"/>
  <c r="J22" i="4" s="1"/>
  <c r="R2" i="4"/>
  <c r="DO9" i="20"/>
  <c r="CZ115" i="20"/>
  <c r="CZ114" i="20"/>
  <c r="DC115" i="20"/>
  <c r="L1169" i="4"/>
  <c r="M1169" i="4" s="1"/>
  <c r="K1169" i="4"/>
  <c r="M20" i="4"/>
  <c r="L20" i="4"/>
</calcChain>
</file>

<file path=xl/comments1.xml><?xml version="1.0" encoding="utf-8"?>
<comments xmlns="http://schemas.openxmlformats.org/spreadsheetml/2006/main">
  <authors>
    <author>Автор</author>
  </authors>
  <commentList>
    <comment ref="BY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Было 26.05.2017</t>
        </r>
      </text>
    </comment>
    <comment ref="BM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снимаем с экономии 
2 478,00</t>
        </r>
      </text>
    </comment>
    <comment ref="BM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снимаем с экономии
12 462,49</t>
        </r>
      </text>
    </comment>
    <comment ref="BM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сняли 310000 на 310,350000 на 310,15000 на 340
</t>
        </r>
      </text>
    </comment>
    <comment ref="BM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сняли 310000 на 310,350000 на 310,15000 на 340
</t>
        </r>
      </text>
    </comment>
    <comment ref="BM1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сняли 173692 на 310</t>
        </r>
      </text>
    </comment>
    <comment ref="BM10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сняли 173692 на 310</t>
        </r>
      </text>
    </comment>
    <comment ref="BM1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сняли 173692 на 310</t>
        </r>
      </text>
    </comment>
    <comment ref="BK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сняли 11200 на 226, 117,93 на 290, 20 411 на 310
</t>
        </r>
      </text>
    </comment>
  </commentList>
</comments>
</file>

<file path=xl/sharedStrings.xml><?xml version="1.0" encoding="utf-8"?>
<sst xmlns="http://schemas.openxmlformats.org/spreadsheetml/2006/main" count="14691" uniqueCount="2308">
  <si>
    <t>Раздел 1. Поступления и выплаты</t>
  </si>
  <si>
    <t>Наименование показателя</t>
  </si>
  <si>
    <t>Код строки</t>
  </si>
  <si>
    <t>Сумма</t>
  </si>
  <si>
    <t>за пределами планового периода</t>
  </si>
  <si>
    <t>х</t>
  </si>
  <si>
    <t>Доходы, всего</t>
  </si>
  <si>
    <t>Расходы, всего</t>
  </si>
  <si>
    <t>№ п/п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</si>
  <si>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</si>
  <si>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Код по бюджетной классификации Российской Федерации</t>
  </si>
  <si>
    <t>Аналитический код</t>
  </si>
  <si>
    <t>Остаток средств на начало текущего финансового года</t>
  </si>
  <si>
    <t>0001</t>
  </si>
  <si>
    <t>0002</t>
  </si>
  <si>
    <t>Остаток средств на конец текущего финансового года</t>
  </si>
  <si>
    <t>Выплаты, уменьшающие доход, всего</t>
  </si>
  <si>
    <t>Раздел 2. Сведения по выплатам на закупки товаров, работ, услуг</t>
  </si>
  <si>
    <t>Выплаты на закупку товаров, работ, услуг, всего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</si>
  <si>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</si>
  <si>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Наименование</t>
  </si>
  <si>
    <t>Обоснования (расчеты) плановых показателей поступлений</t>
  </si>
  <si>
    <t>Наименование услуг (работ)</t>
  </si>
  <si>
    <t>Доходы от оказания услуг (выполнения работ) в рамках установленного муниципального задания</t>
  </si>
  <si>
    <t>Доходы в виде целевых субсидий, а также субсидий на осуществление капитальных вложений</t>
  </si>
  <si>
    <t>Обоснования (расчеты) плановых показателей выплат</t>
  </si>
  <si>
    <t>Код субсидии:</t>
  </si>
  <si>
    <t>Отраслевой код:</t>
  </si>
  <si>
    <t>2.001.2101</t>
  </si>
  <si>
    <t>Код вида финансового обеспечения:</t>
  </si>
  <si>
    <t>в том числе:</t>
  </si>
  <si>
    <t>Источник  финансового обеспечения: субсидия на иные цели</t>
  </si>
  <si>
    <t>Источник финансового обеспечения: приносящая доход деятельность</t>
  </si>
  <si>
    <t>0.000.0000</t>
  </si>
  <si>
    <t>2.22.0.10.00000.000000</t>
  </si>
  <si>
    <t>Наименование расходов</t>
  </si>
  <si>
    <t>Количество дней</t>
  </si>
  <si>
    <t>Пособие за первые три дня за счет средств работодателя</t>
  </si>
  <si>
    <t>2.001.0000</t>
  </si>
  <si>
    <t>Итого</t>
  </si>
  <si>
    <t>1.2. Обоснования (расчеты) расходов на иные выплаты персоналу учреждений, за исключением фонда оплаты труда:</t>
  </si>
  <si>
    <t>1.2.1. Обоснования (расчеты) расходов, связанных с возмещением работникам (сотрудникам) расходов, связанных со служебными командировками</t>
  </si>
  <si>
    <t>1.2.3. Обоснования (расчеты)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семей:</t>
  </si>
  <si>
    <t>1.2.4. Обоснования (расчеты) на ежемесячные компенсационные выплаты в размере 50 рублей сотрудникам (работникам), находящимся в отпуске по уходу за ребенком до достижения им возраста 3 лет:</t>
  </si>
  <si>
    <t>Численность работников, получающих пособие</t>
  </si>
  <si>
    <t>1.2.5. Обоснования (расчеты) расходов на иные выплаты:</t>
  </si>
  <si>
    <t>Наименование государственного внебюджетного фонда</t>
  </si>
  <si>
    <t>1.1</t>
  </si>
  <si>
    <t>1.3.2. Обоснования (расчеты) страховых взносов, начисленных на иные выплаты (за исключением выплаты заработной платы):</t>
  </si>
  <si>
    <t>Наименование выплаты</t>
  </si>
  <si>
    <t>Размер ставки, %</t>
  </si>
  <si>
    <t>2. Обоснования (расчеты) расходов на социальные и иные выплаты населению (строка 2200):</t>
  </si>
  <si>
    <t>3. Обоснования (расчеты) расходов на уплату налогов, сборов и иных платежей (строка 2300):</t>
  </si>
  <si>
    <t>Ставка налога, %</t>
  </si>
  <si>
    <t>5.2. Обоснования (расчеты) расходов на оплату транспортных услуг:</t>
  </si>
  <si>
    <t>Объем потребления ресурсов</t>
  </si>
  <si>
    <t>Услуги теплоснабжения</t>
  </si>
  <si>
    <t>Услуги холодного водоснабжения</t>
  </si>
  <si>
    <t xml:space="preserve">Услуги водоотведения </t>
  </si>
  <si>
    <t>Услуги горячего водоснабжения (компонент на холодную воду)</t>
  </si>
  <si>
    <t>Техническое освидетельствование огнетушителей</t>
  </si>
  <si>
    <t>Единица измерений</t>
  </si>
  <si>
    <t>2.560.0000</t>
  </si>
  <si>
    <t>КОСГУ:</t>
  </si>
  <si>
    <t>2.1.1</t>
  </si>
  <si>
    <t>1.1.1</t>
  </si>
  <si>
    <t>2.6.6</t>
  </si>
  <si>
    <t>2.03.2.01.84303.000000</t>
  </si>
  <si>
    <t>1.1.2</t>
  </si>
  <si>
    <t>2.1.2</t>
  </si>
  <si>
    <t>2.2.6</t>
  </si>
  <si>
    <t>2.4.4</t>
  </si>
  <si>
    <t>1.1.9</t>
  </si>
  <si>
    <t>2.1.4</t>
  </si>
  <si>
    <t>2.1.3</t>
  </si>
  <si>
    <t>2.9.1</t>
  </si>
  <si>
    <t>2.2.1</t>
  </si>
  <si>
    <t>2.2.3</t>
  </si>
  <si>
    <t>2.2.5</t>
  </si>
  <si>
    <t>2.2.7</t>
  </si>
  <si>
    <t>3.1.0</t>
  </si>
  <si>
    <t>3.4.6</t>
  </si>
  <si>
    <t>*</t>
  </si>
  <si>
    <t>Услуги электроснабжения</t>
  </si>
  <si>
    <t>Услуги горячего водоснабжения (компонент на теплую энергию)</t>
  </si>
  <si>
    <t>Охранно-пожарная сигнализация</t>
  </si>
  <si>
    <t>Техническое обслуживание системы контроля и управления доступом</t>
  </si>
  <si>
    <t>Предрейсовый и послерейсовый осмотр водителей</t>
  </si>
  <si>
    <t>месяц</t>
  </si>
  <si>
    <t>Расходы на страховые взносы (начисления на выплаты по оплате труда)</t>
  </si>
  <si>
    <t>2.6.4</t>
  </si>
  <si>
    <t>2.03.2.01.20980.000000</t>
  </si>
  <si>
    <t>2.03.4.01.20980.000000</t>
  </si>
  <si>
    <t>Страхование детей от несчастных случаев в рамках мероприятий по организации оздоровительной кампании детей и подростков (лето)</t>
  </si>
  <si>
    <t>2.03.4.01.82050.000000</t>
  </si>
  <si>
    <t>2.001.2205</t>
  </si>
  <si>
    <t>Канцелярские товары</t>
  </si>
  <si>
    <t>Хозяйственные товары</t>
  </si>
  <si>
    <t>3.4.9</t>
  </si>
  <si>
    <t>3.4.3</t>
  </si>
  <si>
    <t>Ежемесячная компенсация персоналу, находящимся в отпуске по уходу за ребенком до 3 - х лет</t>
  </si>
  <si>
    <t>Работники, имеющие право на компенсацию стоимости проезда к месту использования отпуска и обратно</t>
  </si>
  <si>
    <t>2.840.0000</t>
  </si>
  <si>
    <t>2.9.6</t>
  </si>
  <si>
    <t>Материальная помощь неработающим пенсионерам</t>
  </si>
  <si>
    <t>2.800.0000</t>
  </si>
  <si>
    <t>2.6.7</t>
  </si>
  <si>
    <t>Компенсация на зубопротезирование работникам учреждения</t>
  </si>
  <si>
    <t>услуга</t>
  </si>
  <si>
    <t>07.02</t>
  </si>
  <si>
    <t>2.910.0000</t>
  </si>
  <si>
    <t>2.37.2.02.20980.000000</t>
  </si>
  <si>
    <t>2.770.0000</t>
  </si>
  <si>
    <t>2.34.0.03.20980.000000</t>
  </si>
  <si>
    <t>Обучение на курсах повышения квалификации по охране труда</t>
  </si>
  <si>
    <t>2.03.2.01.20700.000000</t>
  </si>
  <si>
    <t>Суточные</t>
  </si>
  <si>
    <t>Согласовано:</t>
  </si>
  <si>
    <t>ИТОГО</t>
  </si>
  <si>
    <t>2.29.1.00.00000.000000</t>
  </si>
  <si>
    <t>Проживание</t>
  </si>
  <si>
    <t>Расходы на страховые взносы с прохождения первичного медосмотра</t>
  </si>
  <si>
    <t>2.9.2</t>
  </si>
  <si>
    <t>2.9.3</t>
  </si>
  <si>
    <t>Штрафы за нарушение законодательства о налогах и сборах, законодательство о страховых взносах</t>
  </si>
  <si>
    <t>Денежная компенсация за несвоевременную выплату заработной платы</t>
  </si>
  <si>
    <t>2.9.7</t>
  </si>
  <si>
    <t>3.4.5</t>
  </si>
  <si>
    <t>2.001.0101</t>
  </si>
  <si>
    <t>2.001.0010</t>
  </si>
  <si>
    <t>2.520.0000</t>
  </si>
  <si>
    <t>2.550.0000</t>
  </si>
  <si>
    <t>2.710.0000</t>
  </si>
  <si>
    <t>2.820.0000</t>
  </si>
  <si>
    <t>2.850.0000</t>
  </si>
  <si>
    <t>2.930.0000</t>
  </si>
  <si>
    <t>0.00.0.00.00000.000000</t>
  </si>
  <si>
    <t>2.12.2.01.00000.000000</t>
  </si>
  <si>
    <t>2.03.1.01.84303.000000</t>
  </si>
  <si>
    <t>2.22.2.00.00000.000000</t>
  </si>
  <si>
    <t>2.22.0.30.00000.000000</t>
  </si>
  <si>
    <t>2.29.0.80.00000.000000</t>
  </si>
  <si>
    <t>2.29.0.90.00000.000000</t>
  </si>
  <si>
    <t>2.22.3.00.00000.000000</t>
  </si>
  <si>
    <t>2.03.4.01.S2050.000000</t>
  </si>
  <si>
    <t xml:space="preserve">Источник финансового обеспечения: </t>
  </si>
  <si>
    <t>111</t>
  </si>
  <si>
    <t xml:space="preserve">КВР </t>
  </si>
  <si>
    <t>321</t>
  </si>
  <si>
    <t>112</t>
  </si>
  <si>
    <t>119</t>
  </si>
  <si>
    <t>851</t>
  </si>
  <si>
    <t>244</t>
  </si>
  <si>
    <t>Субсидии на финансовое обеспечение выполнения муниципального задания</t>
  </si>
  <si>
    <t>За счет возмещения расходов по содержанию и эксплуатации арендованного имущества</t>
  </si>
  <si>
    <t>Расходы за счет средств, полученных в результате оказания дополнительных образовательных и спортивно – оздоровительных услуг</t>
  </si>
  <si>
    <t>Ведущий экономист ОЭС  МКУ "УУиООУ"</t>
  </si>
  <si>
    <t>КВР 119</t>
  </si>
  <si>
    <t>1. Обоснования (расчеты) выплат персоналу (строка 2100):</t>
  </si>
  <si>
    <t>Заместитель директора по АХР</t>
  </si>
  <si>
    <t>ВСЕГО:</t>
  </si>
  <si>
    <t xml:space="preserve">Питание детей </t>
  </si>
  <si>
    <t>Питание детей</t>
  </si>
  <si>
    <t>КОСГУ 340</t>
  </si>
  <si>
    <t>КОСГУ 310</t>
  </si>
  <si>
    <t>КОСГУ 349</t>
  </si>
  <si>
    <t>КОСГУ 296</t>
  </si>
  <si>
    <t>участие школьников в региональном этапе Всероссийской олимпиады школьников по учебным предметам на территории Ханты-Мансийского автономного округа - Югры</t>
  </si>
  <si>
    <t>Всероссийская олимпиада школьников</t>
  </si>
  <si>
    <t>расходы на услуги по защите автоматизированных рабочих мест</t>
  </si>
  <si>
    <t>КОСГУ 226</t>
  </si>
  <si>
    <t>КОСГУ 225</t>
  </si>
  <si>
    <t>КОСГУ 222</t>
  </si>
  <si>
    <t>Страховые взносы с льготного проезда</t>
  </si>
  <si>
    <t>КОСГУ 213</t>
  </si>
  <si>
    <t>Найм жилых помещений</t>
  </si>
  <si>
    <t>Проезд на сессию</t>
  </si>
  <si>
    <t>Суточные Всероссийская олимпиада школьников</t>
  </si>
  <si>
    <t>КОСГУ 212</t>
  </si>
  <si>
    <t>Заработная плата</t>
  </si>
  <si>
    <t>КОСГУ 211</t>
  </si>
  <si>
    <t>Субсидии на иные цели - всего</t>
  </si>
  <si>
    <t>Комплектующие и расходные  к техническим средствам обучения</t>
  </si>
  <si>
    <t>Приобретение медалей</t>
  </si>
  <si>
    <t>Приобретение аттестатов</t>
  </si>
  <si>
    <t>приобретение горюче-смазочных материалов</t>
  </si>
  <si>
    <t>Программное обеспечение</t>
  </si>
  <si>
    <t>МФУ</t>
  </si>
  <si>
    <t>Цифровые лаборатории</t>
  </si>
  <si>
    <t>Мебель</t>
  </si>
  <si>
    <t>Учебники</t>
  </si>
  <si>
    <t>Приобретение игр</t>
  </si>
  <si>
    <t>Налог за негативное воздействие на окружающую среду</t>
  </si>
  <si>
    <t>Оплата транспортного налога</t>
  </si>
  <si>
    <t>Оплата налога на имущество</t>
  </si>
  <si>
    <t xml:space="preserve">Земельный налог </t>
  </si>
  <si>
    <t>КОСГУ 290</t>
  </si>
  <si>
    <t>КОСГУ 262</t>
  </si>
  <si>
    <t>КОСГУ 227</t>
  </si>
  <si>
    <t>Питание детей (лагерь)</t>
  </si>
  <si>
    <t>Кнопка экстренного вызова наряда полиции</t>
  </si>
  <si>
    <t xml:space="preserve">Услуги по охране сотрудниками частных охранных предприятий </t>
  </si>
  <si>
    <t>школа</t>
  </si>
  <si>
    <t>сад</t>
  </si>
  <si>
    <t>ТБО</t>
  </si>
  <si>
    <t>Эксплуатационное испытание ограждения кровли</t>
  </si>
  <si>
    <t>услуги по содержанию территории в зимнее и летнее время</t>
  </si>
  <si>
    <t>дератизация и дезинсекция помещений</t>
  </si>
  <si>
    <t>Обслуживание питьевых фонтанчиков</t>
  </si>
  <si>
    <t>ТО оконечных абонентских устройств</t>
  </si>
  <si>
    <t>ТО системы ПАК "Стрелец-Мониторинг</t>
  </si>
  <si>
    <t>Система ПАК "Стрелец-Мониторинг"</t>
  </si>
  <si>
    <t>перезарядка огнетушителей</t>
  </si>
  <si>
    <t>т/о системы видеонаблюдения</t>
  </si>
  <si>
    <t>КОСГУ 223</t>
  </si>
  <si>
    <t>КОСГУ 221</t>
  </si>
  <si>
    <t>Заработная плата школа</t>
  </si>
  <si>
    <t>Заработная плата сад</t>
  </si>
  <si>
    <t>Субсидии на выполнение муниципального задания - всего</t>
  </si>
  <si>
    <t>4</t>
  </si>
  <si>
    <t>Декабрь</t>
  </si>
  <si>
    <t>Ноябрь</t>
  </si>
  <si>
    <t>Октябрь</t>
  </si>
  <si>
    <t>Сентябрь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</si>
  <si>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</si>
  <si>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</si>
  <si>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</si>
  <si>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</si>
  <si>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</si>
  <si>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</si>
  <si>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</si>
  <si>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</si>
  <si>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предоставили заявки</t>
  </si>
  <si>
    <t>Контроль</t>
  </si>
  <si>
    <t>Отраслевой код</t>
  </si>
  <si>
    <t>Код субсидии</t>
  </si>
  <si>
    <t>КОСГУ</t>
  </si>
  <si>
    <t>Пункт для заключения договора</t>
  </si>
  <si>
    <t xml:space="preserve">Наименование расходов </t>
  </si>
  <si>
    <t>Ведущий экономист ОЭС</t>
  </si>
  <si>
    <t>1.2.6. Обоснования (расчеты) расходов на иные выплаты, за исключением фонда оплаты труда учреждений, лицам, привлекаемым согласно законодательству для выполнения отдельных полномочий:</t>
  </si>
  <si>
    <t>4. Обоснования (расчеты) прочих выплат (кроме выплат на закупку товаров, работ, услуг) (строка 2500):</t>
  </si>
  <si>
    <t>5. Обоснования (расчеты) расходов на закупку товаров, работ, услуг (строка 2600):</t>
  </si>
  <si>
    <t>Л.А. Кудашева</t>
  </si>
  <si>
    <t>1</t>
  </si>
  <si>
    <t>шт.</t>
  </si>
  <si>
    <t xml:space="preserve">Шкаф </t>
  </si>
  <si>
    <t>Стоимость за час, руб.</t>
  </si>
  <si>
    <t>Количество, ед.</t>
  </si>
  <si>
    <t>Количество постов охраны</t>
  </si>
  <si>
    <t>Количество часов охраны в год, час.</t>
  </si>
  <si>
    <t>Количество месяцев обслуживания</t>
  </si>
  <si>
    <t>Количество уборок  в месяц</t>
  </si>
  <si>
    <t>Количество месяцев</t>
  </si>
  <si>
    <t>Количество обработок</t>
  </si>
  <si>
    <t>Количество работников, чел.</t>
  </si>
  <si>
    <t>Сумма, руб.</t>
  </si>
  <si>
    <t>Налоговая база, руб.</t>
  </si>
  <si>
    <t>Всего доходов, руб.</t>
  </si>
  <si>
    <t>Средний размер выплаты на одного работника в день, руб.</t>
  </si>
  <si>
    <t>Размер базы для начисления страховых взносов, руб.</t>
  </si>
  <si>
    <t>Сумма взноса, руб.</t>
  </si>
  <si>
    <t>Сумма выплаты в год, руб.</t>
  </si>
  <si>
    <t>Средний размер выплаты на одного работника, руб.</t>
  </si>
  <si>
    <t>Стоимость за ед., руб.</t>
  </si>
  <si>
    <t>Тариф (с учетом НДС), руб.</t>
  </si>
  <si>
    <t>Стоимость 1 кв.м. в месяц, руб.</t>
  </si>
  <si>
    <t>Стоимость 1 кв.м, руб.</t>
  </si>
  <si>
    <t>Стоимость обслуживания в месяц, руб.</t>
  </si>
  <si>
    <t>Стоимость за ед. руб.</t>
  </si>
  <si>
    <t>Площадь обработки, кв.м.</t>
  </si>
  <si>
    <t>Площадь, кв.м.</t>
  </si>
  <si>
    <t>Единица измерения</t>
  </si>
  <si>
    <t>чел.</t>
  </si>
  <si>
    <t>Количество платежей в год</t>
  </si>
  <si>
    <t>Размер выплаты (пособия) в месяц, руб.</t>
  </si>
  <si>
    <t>Количество получателей выплаты, чел.</t>
  </si>
  <si>
    <t>Количество выплат в год на одного работника</t>
  </si>
  <si>
    <t>Количество членов семьи работников, имеющих право на компенсацию стоимости проезда к месту использования отпуска и обратно</t>
  </si>
  <si>
    <t>Расходы на страховые взносы компенсации на зубопротезирование работникам учреждения</t>
  </si>
  <si>
    <t>Налог на прибыль</t>
  </si>
  <si>
    <t>2</t>
  </si>
  <si>
    <t>Шкаф для учебных пособий</t>
  </si>
  <si>
    <t>Муниципальная программа "Развитие образования города Сургута на период до 2030 года"</t>
  </si>
  <si>
    <t xml:space="preserve">Подпрограмма "Общее и дополнительное образование в общеобразовательных учреждениях" </t>
  </si>
  <si>
    <t>Субсидия на финансовое обеспечение выполнения муниципального задания - средства местного бюджета</t>
  </si>
  <si>
    <t xml:space="preserve">Подпрограмма "Организация и обеспечение отдыха и оздоровления детей" </t>
  </si>
  <si>
    <t>Субсидия на организацию питания детей в возрасте от 6 до 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</si>
  <si>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Месячный фонд заработной платы</t>
  </si>
  <si>
    <t>Фонд заработной платы в год</t>
  </si>
  <si>
    <t>Единовременная выплата к отпуску в размере месячного фонда заработной платы по основной тарифной ставке (должностному окладу)</t>
  </si>
  <si>
    <t>Единовременное премирование к праздничным дням в размере месячного фонда заработной платы по основной тарифной ставке (должностному окладу)</t>
  </si>
  <si>
    <t>852</t>
  </si>
  <si>
    <t>Мощность транспортного  средства</t>
  </si>
  <si>
    <t>Система видеонаблюдения</t>
  </si>
  <si>
    <t>Система контроля и управления доступом</t>
  </si>
  <si>
    <t>Стоимость за ед. руб</t>
  </si>
  <si>
    <t>Сумма, руб</t>
  </si>
  <si>
    <t>дни</t>
  </si>
  <si>
    <t>чел</t>
  </si>
  <si>
    <t>Профессионально гигиеническая подготовка (санитарно-гигиеническое обучение)</t>
  </si>
  <si>
    <t>Обязательное стахование гражданской ответственности владельцев транспортных средств</t>
  </si>
  <si>
    <t>Бензин Регулятор -92 (класс 5)</t>
  </si>
  <si>
    <t>литр</t>
  </si>
  <si>
    <t>шт</t>
  </si>
  <si>
    <t>КВР</t>
  </si>
  <si>
    <t>Обоснования (расчеты) расходов на оплату коммунальных услуг:</t>
  </si>
  <si>
    <t>Обоснования (расчеты) расходов на услуги связи:</t>
  </si>
  <si>
    <t>Обоснования (расчеты) расходов на услуги по техническому обслуживанию систем и оборудования:</t>
  </si>
  <si>
    <t>Обоснования (расчеты) расходов на услуги по перезарядке и техническому освидетельствованию огнетушителей:</t>
  </si>
  <si>
    <t>Обоснования (расчеты) расходов оплату прочих работ, услуг (за исключением расходов на невооруженную охрану объекта)</t>
  </si>
  <si>
    <t>Обоснования (расчеты) расходов на приобретение основных средств, материальных запасов:</t>
  </si>
  <si>
    <t>Обоснования (расчеты) расходов на оплату труда:</t>
  </si>
  <si>
    <t>Обоснования (расчеты) расходов на заработную плату</t>
  </si>
  <si>
    <t>Обоснования (расчеты) расходов на иные выплаты персоналу учреждений, за исключением фонда оплаты труда:</t>
  </si>
  <si>
    <t>Обоснования (расчеты) расходов, связанных с возмещением работникам (сотрудникам) расходов, связанных со служебными командировками</t>
  </si>
  <si>
    <t>Обоснования (расчеты)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страхования:</t>
  </si>
  <si>
    <t>Обоснования (расчеты) страховых взносов, начисленных на выплаты по заработной плате</t>
  </si>
  <si>
    <t xml:space="preserve">Обоснования (расчеты) расходов оплату прочих работ, услуг </t>
  </si>
  <si>
    <t>Обоснования (расчеты)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семей:</t>
  </si>
  <si>
    <t>Обоснования (расчеты) расходов на иные выплаты:</t>
  </si>
  <si>
    <t>Обоснования (расчеты) расходов оплату прочих работ, услуг</t>
  </si>
  <si>
    <t>Обоснования (расчеты) расходов на иные выплаты за исключением выплаты заработной платы:</t>
  </si>
  <si>
    <t>Обоснования (расчеты) расходов на услуги по санитарному содержанию зданий и территорий:</t>
  </si>
  <si>
    <t>Обоснования (расчеты) расходов на невооруженную охрану объекта</t>
  </si>
  <si>
    <t>Обоснования (расчеты) расходов на страхование:</t>
  </si>
  <si>
    <t>Обоснования (расчеты) расходов на приобретение учебников:</t>
  </si>
  <si>
    <t>Обоснования (расчеты) расходов на приобретение горюче-смазочных материалов:</t>
  </si>
  <si>
    <t>Обоснования (расчеты) расходов на приобретение канцелярских и хозяйственных материалов:</t>
  </si>
  <si>
    <t>от "__"___________20___г.</t>
  </si>
  <si>
    <t>Орган, осуществляющий
функции и полномочия учредителя</t>
  </si>
  <si>
    <t>департамент образования Администрации города</t>
  </si>
  <si>
    <t>Учреждение</t>
  </si>
  <si>
    <t xml:space="preserve">Единица измерения: </t>
  </si>
  <si>
    <t>руб.</t>
  </si>
  <si>
    <t>2 001 0000 шк</t>
  </si>
  <si>
    <t xml:space="preserve">Подпрограмма "Дошкольное образование в общеобразовательных учреждениях, реализующих программу дошкольного образования" </t>
  </si>
  <si>
    <t>2.03.1.01.20980.000000</t>
  </si>
  <si>
    <t>Оплата транспортного налога (ЛАДА ВАЗ 211540 легковая седан, категория В)</t>
  </si>
  <si>
    <t>Здание по адресу ул.30 лет Победы, 39/1</t>
  </si>
  <si>
    <t>Медицинский осмотр работников (жен.до 40 лет)</t>
  </si>
  <si>
    <t>Медицинский осмотр работников (жен.после 40 лет)</t>
  </si>
  <si>
    <t>Медицинский осмотр работников (муж.)</t>
  </si>
  <si>
    <t>Обоснования (расчеты) расходов на приобретение учебно-наглядных пособий:</t>
  </si>
  <si>
    <t>Обоснования (расчеты) расходов на приобретение технических средств:</t>
  </si>
  <si>
    <t>Учебные стенды</t>
  </si>
  <si>
    <t>Обоснования (расчеты) расходов на приобретение учебного оборудования:</t>
  </si>
  <si>
    <t>Трансформируемая детская мебель для игровых зон</t>
  </si>
  <si>
    <t>Расходные материалы для уроков труда</t>
  </si>
  <si>
    <t xml:space="preserve">Канцелярские товары </t>
  </si>
  <si>
    <t>Средняя стоимость за ед., руб.</t>
  </si>
  <si>
    <t>на 2021 год (на текущий финансовый год)</t>
  </si>
  <si>
    <t>на 2022 год (на текущий финансовый год)</t>
  </si>
  <si>
    <t>2.700.0000</t>
  </si>
  <si>
    <t>2.03.0.07.20980.000000</t>
  </si>
  <si>
    <t>2.960.0000</t>
  </si>
  <si>
    <t>Директор МБОУ НШ "Перспектива"</t>
  </si>
  <si>
    <t>Е.Л. Запольская</t>
  </si>
  <si>
    <t>Занятия  по программе «Страна чудес» (в группе 10-14 человек)</t>
  </si>
  <si>
    <t>Занятия  по программе «Грамотейка» (в группе 10-14 человек)</t>
  </si>
  <si>
    <t>Занятия  по программе «Мир логики» (в группе 10-14 человек)</t>
  </si>
  <si>
    <t>Занятия  по программе «Хочу в школу» (в группе 10-14 человек)</t>
  </si>
  <si>
    <t>5</t>
  </si>
  <si>
    <t>Услуги по  обеспечению информационной безопасности</t>
  </si>
  <si>
    <t>Коммунальные услуги сад</t>
  </si>
  <si>
    <t>Коммунальные услуги школа</t>
  </si>
  <si>
    <t>ТО КТС</t>
  </si>
  <si>
    <t>ТО оборудование (ТТО и прачечное)</t>
  </si>
  <si>
    <t>ТО видеодомофона</t>
  </si>
  <si>
    <t>лабораторное исследование пищеблока</t>
  </si>
  <si>
    <t>услуги по страхованию (ОСАГО)</t>
  </si>
  <si>
    <t>п.4</t>
  </si>
  <si>
    <t>ПМК</t>
  </si>
  <si>
    <t>п.4, МК</t>
  </si>
  <si>
    <t>Учебно-наглядные пособия</t>
  </si>
  <si>
    <t>Современные средства информатизации</t>
  </si>
  <si>
    <t>Игровое оборудование и игрушки</t>
  </si>
  <si>
    <t>СА</t>
  </si>
  <si>
    <t>ЭА</t>
  </si>
  <si>
    <t>п.5</t>
  </si>
  <si>
    <t>Учебные пособия, рабочие тетради</t>
  </si>
  <si>
    <t>п.14</t>
  </si>
  <si>
    <t xml:space="preserve">Приобретение канцелярских товаров </t>
  </si>
  <si>
    <t xml:space="preserve">Комплектующие материалы для компьютерной техники, оргтехники и ТСО </t>
  </si>
  <si>
    <t>Услуги по вывозу твердо-коммунальных отходов сад</t>
  </si>
  <si>
    <t>Услуги по вывозу твердо-коммунальных отходов школа</t>
  </si>
  <si>
    <t>Оплата стоимости  проезда к месту отдыха и обратно сад</t>
  </si>
  <si>
    <t>Оплата стоимости  проезда к месту отдыха и обратно школа</t>
  </si>
  <si>
    <t>Расходы на компенсацию находящимся в отпуске по уходу за ребенком до 3 - х лет сад</t>
  </si>
  <si>
    <t>Расходы на компенсацию находящимся в отпуске по уходу за ребенком до 3 - х лет школа</t>
  </si>
  <si>
    <t>Зубопротезирование сад</t>
  </si>
  <si>
    <t>Зубопротезирование школа</t>
  </si>
  <si>
    <t>Страховые взносы с льготного проезда сад</t>
  </si>
  <si>
    <t>Страховые взносы с льготного проезда школа</t>
  </si>
  <si>
    <t>Выплата материальной помощи неработающим пенсионерам сад</t>
  </si>
  <si>
    <t>Выплата материальной помощи неработающим пенсионерам школа</t>
  </si>
  <si>
    <t>Расходы по награждению</t>
  </si>
  <si>
    <t>А.Н. Гиниятова</t>
  </si>
  <si>
    <t>Страхование детей от несчастных случаев в рамках мероприятий по организации оздоровительной кампании детей и подростков (осень)</t>
  </si>
  <si>
    <t>усл.</t>
  </si>
  <si>
    <t>Муниципальное бюджетное общеобразовательное учреждение начальная школа "Перспектива"</t>
  </si>
  <si>
    <t>Код по бюджетной классификации (КВР)</t>
  </si>
  <si>
    <t>Код субсидии (КЦС)</t>
  </si>
  <si>
    <t>Отраслевой код (ОК)</t>
  </si>
  <si>
    <t>Аналитическая группа подвидов доходов/
вида источников</t>
  </si>
  <si>
    <t>КВФО</t>
  </si>
  <si>
    <t>КФСР</t>
  </si>
  <si>
    <t>на 09.01.2017</t>
  </si>
  <si>
    <t>сняли для передвижки в ПФХД</t>
  </si>
  <si>
    <t>на 23.01.2017</t>
  </si>
  <si>
    <t>в том числе</t>
  </si>
  <si>
    <t>на 25.04.2017</t>
  </si>
  <si>
    <t>Экономия исключаем пока</t>
  </si>
  <si>
    <t>Передвигаем (из Плана -закупок исключаем)</t>
  </si>
  <si>
    <t>МК</t>
  </si>
  <si>
    <t>факт</t>
  </si>
  <si>
    <t>эк-ия</t>
  </si>
  <si>
    <t>II. Выплаты по расходам, всего:</t>
  </si>
  <si>
    <t>200</t>
  </si>
  <si>
    <t>1.1. Услуги связи</t>
  </si>
  <si>
    <t>261</t>
  </si>
  <si>
    <t>221</t>
  </si>
  <si>
    <t>0702</t>
  </si>
  <si>
    <t>1.2. Услуги связи</t>
  </si>
  <si>
    <t>1.3. Услуги связи</t>
  </si>
  <si>
    <t>1.4. Коммунальные услуги</t>
  </si>
  <si>
    <t>263</t>
  </si>
  <si>
    <t>223</t>
  </si>
  <si>
    <t>1.6. Коммунальные услуги</t>
  </si>
  <si>
    <t>1.7. Работы, услуги по содержанию имущества</t>
  </si>
  <si>
    <t>265</t>
  </si>
  <si>
    <t>225</t>
  </si>
  <si>
    <t>1.8. Работы, услуги по содержанию имущества</t>
  </si>
  <si>
    <t>1.10. Прочие работы, услуги</t>
  </si>
  <si>
    <t>266</t>
  </si>
  <si>
    <t>226</t>
  </si>
  <si>
    <t>1.11. Прочие работы, услуги</t>
  </si>
  <si>
    <t>1.12. Прочие работы, услуги</t>
  </si>
  <si>
    <t>0707</t>
  </si>
  <si>
    <t>1.13. Прочие работы, услуги</t>
  </si>
  <si>
    <t>1.14. Прочие работы, услуги</t>
  </si>
  <si>
    <t>Страхование</t>
  </si>
  <si>
    <t>227</t>
  </si>
  <si>
    <t>1.15. Увеличение стоимости основных средств</t>
  </si>
  <si>
    <t>268</t>
  </si>
  <si>
    <t>310</t>
  </si>
  <si>
    <t>1.16. Увеличение стоимости основных средств</t>
  </si>
  <si>
    <t>269</t>
  </si>
  <si>
    <t>340</t>
  </si>
  <si>
    <t>Увеличение стоимости горюче-смазочных материалов</t>
  </si>
  <si>
    <t>343</t>
  </si>
  <si>
    <t>Увеличение стоимости прочих оборотных запасов (материалов)</t>
  </si>
  <si>
    <t>346</t>
  </si>
  <si>
    <t xml:space="preserve">Увеличение стоимости неисключительных прав на результаты интеллектуальной деятельности с неопределенным сроком полезного использования </t>
  </si>
  <si>
    <t>352</t>
  </si>
  <si>
    <t xml:space="preserve"> Услуги связи</t>
  </si>
  <si>
    <t>Коммунальные услуги</t>
  </si>
  <si>
    <t>Работы, услуги по содержанию имущества</t>
  </si>
  <si>
    <t>Увеличение стоимости основных средств</t>
  </si>
  <si>
    <t>Увеличение стоимости материальных запасов</t>
  </si>
  <si>
    <t>Прочие работы, услуги</t>
  </si>
  <si>
    <t>2.950.0000</t>
  </si>
  <si>
    <t>267</t>
  </si>
  <si>
    <t>2.790.0000</t>
  </si>
  <si>
    <t>290</t>
  </si>
  <si>
    <t>Увеличение стоимости продуктов питания</t>
  </si>
  <si>
    <t>342</t>
  </si>
  <si>
    <t>Увеличение стоимости мягкого инвентаря</t>
  </si>
  <si>
    <t>345</t>
  </si>
  <si>
    <t>3.1. Коммунальные услуги</t>
  </si>
  <si>
    <t>2.22.2.0000.0.00000000</t>
  </si>
  <si>
    <t>3.4. Прочие работы, услуги</t>
  </si>
  <si>
    <t>3.5. Прочие работы, услуги</t>
  </si>
  <si>
    <t>3.6. Прочие работы, услуги</t>
  </si>
  <si>
    <t>3.7. Прочие расходы</t>
  </si>
  <si>
    <t>3.8. Увеличение стоимости основных средств</t>
  </si>
  <si>
    <t>3.9. Увеличение стоимости основных средств</t>
  </si>
  <si>
    <t>3.10. Увеличение стоимости основных средств</t>
  </si>
  <si>
    <t xml:space="preserve">Увеличение стоимости прочих материальных запасов однократного применения </t>
  </si>
  <si>
    <t>349</t>
  </si>
  <si>
    <t>3.13. Увеличение стоимости материальных запасов</t>
  </si>
  <si>
    <t xml:space="preserve">Первоочередные </t>
  </si>
  <si>
    <t>Текущие</t>
  </si>
  <si>
    <t>ВСЕГО</t>
  </si>
  <si>
    <t>5% от фин.средств</t>
  </si>
  <si>
    <t xml:space="preserve">50% от фин.средств </t>
  </si>
  <si>
    <t xml:space="preserve">50% от фин.средств
но не более 20 000000,00 </t>
  </si>
  <si>
    <t>или 2 000 000,00</t>
  </si>
  <si>
    <t xml:space="preserve">Информация для формирования плана закупок товаров, работ, услуг для обеспечения нужд субъектов Российской Федерации и муниципальных нужд на 2020 финансовый год </t>
  </si>
  <si>
    <t>Прочие расходы</t>
  </si>
  <si>
    <t>Субсидия на финансовое обеспечение выполнения муниципального задания - остаток средств местного бюджета</t>
  </si>
  <si>
    <t>План с учётом текущих изменений, руб.</t>
  </si>
  <si>
    <t>Отклонение
 ("+" увеличение, 
"-" уменьшение)</t>
  </si>
  <si>
    <t xml:space="preserve">Субсидия на финансовое обеспечения выполнения муниципального задания </t>
  </si>
  <si>
    <t>Начисления на выплаты по оплате труда</t>
  </si>
  <si>
    <t>000</t>
  </si>
  <si>
    <t xml:space="preserve">Субсидия на финансовое обеспечение выполнения муниципального задания за счет средств местного бюджета </t>
  </si>
  <si>
    <t>Услуги связи</t>
  </si>
  <si>
    <t>Технический осмотр транспортных средств</t>
  </si>
  <si>
    <t>Доходы от оказания дополнительных образовательных и спортивно – оздоровительных услуг</t>
  </si>
  <si>
    <t>2.22.0.1000.0.00000000</t>
  </si>
  <si>
    <t>Возмещение расходов по содержанию и эксплуатации арендованного имущества</t>
  </si>
  <si>
    <t>но не более 30 млн.р.</t>
  </si>
  <si>
    <t>Субвенция на реализацию основных общеобразовательных программ в рамках подпрограммы «Общее и дополнительное образование в общеобразовательных учреждениях» 
муниципальной программы «Развитие образования города Сургута на период до 2030 года»</t>
  </si>
  <si>
    <t xml:space="preserve">Возврат дебиторской задолженности прошлых лет по ранее произведенным расходам </t>
  </si>
  <si>
    <t>341</t>
  </si>
  <si>
    <t>Увеличение стоимости медицинских изделий</t>
  </si>
  <si>
    <t>шк</t>
  </si>
  <si>
    <t>2.760.0302</t>
  </si>
  <si>
    <t>2.750.0302</t>
  </si>
  <si>
    <t>2.17.2.08.20980.000000</t>
  </si>
  <si>
    <t>2.29.0.06.20980.000000</t>
  </si>
  <si>
    <t>10% от фин.средств</t>
  </si>
  <si>
    <t>Обоснования (расчеты) на ежемесячные компенсационные выплаты сотрудникам (работникам), находящимся в отпуске по уходу за ребенком до достижения им возраста 3 лет:</t>
  </si>
  <si>
    <t>в том числе по источникам:</t>
  </si>
  <si>
    <t>Период оказания услуг</t>
  </si>
  <si>
    <t>2.722.0000</t>
  </si>
  <si>
    <t>2.721.0000</t>
  </si>
  <si>
    <t>2.563.0000</t>
  </si>
  <si>
    <t>2.562.0000</t>
  </si>
  <si>
    <t>2021 год</t>
  </si>
  <si>
    <t>КОСГУ 214</t>
  </si>
  <si>
    <t>Медицинский осмотр работников</t>
  </si>
  <si>
    <t>КОСГУ 266</t>
  </si>
  <si>
    <t>КОСГУ 267</t>
  </si>
  <si>
    <t>Услуги горячего водоснабжения</t>
  </si>
  <si>
    <t xml:space="preserve">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Ханты-Мансийского автономного округа – Югры отдельных государственных полномочий в области образования </t>
  </si>
  <si>
    <t>Сопровождение и обслуживание бызы данных в СКУД</t>
  </si>
  <si>
    <t>текущий финансовый год</t>
  </si>
  <si>
    <t>первый год планового периода</t>
  </si>
  <si>
    <t>второй год планового периода</t>
  </si>
  <si>
    <t>3</t>
  </si>
  <si>
    <t>6</t>
  </si>
  <si>
    <t>7</t>
  </si>
  <si>
    <t>8</t>
  </si>
  <si>
    <t>1000</t>
  </si>
  <si>
    <t>1200</t>
  </si>
  <si>
    <t>130</t>
  </si>
  <si>
    <t>1210</t>
  </si>
  <si>
    <t>1230</t>
  </si>
  <si>
    <t xml:space="preserve">   Безвозмездные денежные поступления, всего</t>
  </si>
  <si>
    <t>1400</t>
  </si>
  <si>
    <t>150</t>
  </si>
  <si>
    <t>1410</t>
  </si>
  <si>
    <t xml:space="preserve">      Целевые субсидии</t>
  </si>
  <si>
    <t xml:space="preserve">   Доходы от операций с активами, всего</t>
  </si>
  <si>
    <t>1900</t>
  </si>
  <si>
    <t xml:space="preserve">      Прочие поступления, всего</t>
  </si>
  <si>
    <t>1980</t>
  </si>
  <si>
    <t xml:space="preserve">         Увеличение остатков денежных средств за счет возврата дебиторской задолженности прошлых лет</t>
  </si>
  <si>
    <t>1981</t>
  </si>
  <si>
    <t>510</t>
  </si>
  <si>
    <t>2000</t>
  </si>
  <si>
    <t>2100</t>
  </si>
  <si>
    <t>2110</t>
  </si>
  <si>
    <t>211</t>
  </si>
  <si>
    <t>2120</t>
  </si>
  <si>
    <t xml:space="preserve">      Прочие выплаты персоналу, в том числе компенсационного характера</t>
  </si>
  <si>
    <t>212</t>
  </si>
  <si>
    <t>214</t>
  </si>
  <si>
    <t>2140</t>
  </si>
  <si>
    <t>2141</t>
  </si>
  <si>
    <t>213</t>
  </si>
  <si>
    <t>2142</t>
  </si>
  <si>
    <t xml:space="preserve">   Социальные и иные выплаты населению, всего</t>
  </si>
  <si>
    <t>2200</t>
  </si>
  <si>
    <t>300</t>
  </si>
  <si>
    <t xml:space="preserve">      Социальные выплаты гражданам, кроме публичных нормативных социальных выплат</t>
  </si>
  <si>
    <t>2210</t>
  </si>
  <si>
    <t>320</t>
  </si>
  <si>
    <t xml:space="preserve">         Пособия, компенсации и иные социальные выплаты гражданам, кроме публичных нормативных обязательств</t>
  </si>
  <si>
    <t>2211</t>
  </si>
  <si>
    <t>264</t>
  </si>
  <si>
    <t>2212</t>
  </si>
  <si>
    <t>323</t>
  </si>
  <si>
    <t xml:space="preserve">   Уплату налогов, сборов и иных платежей, всего</t>
  </si>
  <si>
    <t>2300</t>
  </si>
  <si>
    <t>850</t>
  </si>
  <si>
    <t xml:space="preserve">      Налог на имущество организаций и земельный налог</t>
  </si>
  <si>
    <t>2310</t>
  </si>
  <si>
    <t>291</t>
  </si>
  <si>
    <t xml:space="preserve">      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</si>
  <si>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</si>
  <si>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 xml:space="preserve">      Уплата штрафов (в том числе административных), пеней, иных платежей</t>
  </si>
  <si>
    <t>2330</t>
  </si>
  <si>
    <t>853</t>
  </si>
  <si>
    <t>293</t>
  </si>
  <si>
    <t>295</t>
  </si>
  <si>
    <t>296</t>
  </si>
  <si>
    <t>292</t>
  </si>
  <si>
    <t>2400</t>
  </si>
  <si>
    <t xml:space="preserve">      Взносы в международные организации</t>
  </si>
  <si>
    <t>2420</t>
  </si>
  <si>
    <t>862</t>
  </si>
  <si>
    <t xml:space="preserve">   Расходы на закупку товаров, работ, услуг, всего</t>
  </si>
  <si>
    <t>2600</t>
  </si>
  <si>
    <t>2640</t>
  </si>
  <si>
    <t>3000</t>
  </si>
  <si>
    <t>100</t>
  </si>
  <si>
    <t>3010</t>
  </si>
  <si>
    <t>180</t>
  </si>
  <si>
    <t>Налог на добавленную стоимость</t>
  </si>
  <si>
    <t>3020</t>
  </si>
  <si>
    <t>Прочие налоги, уменьшающие доход</t>
  </si>
  <si>
    <t>3030</t>
  </si>
  <si>
    <t>Экономия исключаем пока, КЗ, ЕСН, первоочередные дог.</t>
  </si>
  <si>
    <t>МК, в.8,в.14,п.11</t>
  </si>
  <si>
    <t>247</t>
  </si>
  <si>
    <t>Прочие доходы</t>
  </si>
  <si>
    <t>Муниципальное бюджетное общеобразовательное учреждение 
"Перспектива"</t>
  </si>
  <si>
    <t>Директор МБОУ "Перспектива"</t>
  </si>
  <si>
    <t>по МБОУ "Перспектива"</t>
  </si>
  <si>
    <t>228</t>
  </si>
  <si>
    <t>2.37.1.15.20980.000000</t>
  </si>
  <si>
    <t>2.751.0000</t>
  </si>
  <si>
    <t>2.40.0.00.20990.000000</t>
  </si>
  <si>
    <t>Увеличение стоимости прочих материальных запасов однократного примененияУвеличение стоимости прочих материальных запасов однократного применения</t>
  </si>
  <si>
    <t>140</t>
  </si>
  <si>
    <t>час</t>
  </si>
  <si>
    <t>Расходы за счет средств, полученных в результате оказания доп.образовательных и спортивно – оздоровительных услуг</t>
  </si>
  <si>
    <t>К.И.Олейник</t>
  </si>
  <si>
    <t>2 001 2101 шк зп</t>
  </si>
  <si>
    <t>2 001 2101 уч расх</t>
  </si>
  <si>
    <t>льготный</t>
  </si>
  <si>
    <t>2.4.0001.0000</t>
  </si>
  <si>
    <t xml:space="preserve">2.4.0001.2101 </t>
  </si>
  <si>
    <t>2.4.0001.2101</t>
  </si>
  <si>
    <t>Кол-во выплат</t>
  </si>
  <si>
    <t>1.2</t>
  </si>
  <si>
    <t>1.3</t>
  </si>
  <si>
    <t>1.4</t>
  </si>
  <si>
    <t>Проверка качества огнезащитной обработки декораций, сценического оформления</t>
  </si>
  <si>
    <t xml:space="preserve">Техническое обслуживание системы охранной сигнализации </t>
  </si>
  <si>
    <t>тс</t>
  </si>
  <si>
    <t>Оказание услуг по проведению периодической профессиональной гигиенической подготовки и аттестации должностных лиц и работников декретированных групп населения</t>
  </si>
  <si>
    <t>Оказание услуг по обучению по программе дополнительного профессионального образования: "Пожарно-технический минимум"</t>
  </si>
  <si>
    <t>Оказание услуг по организации и проведению обучения по программе "Повышение группы по электробезопасности"</t>
  </si>
  <si>
    <t>Проведение специальной оценки условий труда на рабочих местах</t>
  </si>
  <si>
    <t>Численность</t>
  </si>
  <si>
    <t>Стоимость за чел. в день., руб</t>
  </si>
  <si>
    <t xml:space="preserve">Организация горячего питания детей, посещающих лагерь с дневным пребыванием на базе образовательного учреждения (лето) </t>
  </si>
  <si>
    <t>2 001 2205 лагерь</t>
  </si>
  <si>
    <t>2 001 0000 лагерь</t>
  </si>
  <si>
    <t>лицензия</t>
  </si>
  <si>
    <t>2.5.0701.5301</t>
  </si>
  <si>
    <t>2.5.0306.0000</t>
  </si>
  <si>
    <t>Приобретение ворот, выполнение пусконаладочных работ системы дистанционного управления воротами с функцией автоматического открывания (закрывания) в случае возникновения пожара на объекте, улица 30 лет Победы, 39/1</t>
  </si>
  <si>
    <t>Приобретение, монтаж, выполнение пусконаладочных работ системы пожарной сигнализации и оповещения людей о пожаре</t>
  </si>
  <si>
    <t>2.5.0301.0000</t>
  </si>
  <si>
    <t>Разработка проекта монтажа системы пожарной сигнализации и оповещения людей о пожаре</t>
  </si>
  <si>
    <t>План на 2022 год</t>
  </si>
  <si>
    <t>Дератизация и дезинсекция помещений</t>
  </si>
  <si>
    <t>Зимнее содержание территории</t>
  </si>
  <si>
    <t>ТО ОПС</t>
  </si>
  <si>
    <t>ТО системы видеонаблюдения</t>
  </si>
  <si>
    <t>Техосвидетельствование и перезарядка огнетушителей</t>
  </si>
  <si>
    <t>Кассовый план 2022 год МБОУ "Перспектива"</t>
  </si>
  <si>
    <t>КАССОВЫЙ ПЛАН</t>
  </si>
  <si>
    <t>тепло</t>
  </si>
  <si>
    <t>эл-во</t>
  </si>
  <si>
    <t>тко</t>
  </si>
  <si>
    <t>Наименование услуги</t>
  </si>
  <si>
    <t>% предоплаты по условиям договора</t>
  </si>
  <si>
    <t>по кварталам</t>
  </si>
  <si>
    <t>помесячно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</si>
  <si>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</si>
  <si>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</si>
  <si>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</si>
  <si>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</si>
  <si>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</si>
  <si>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</si>
  <si>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</si>
  <si>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</si>
  <si>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</si>
  <si>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</si>
  <si>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</si>
  <si>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</si>
  <si>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</si>
  <si>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</si>
  <si>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</si>
  <si>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</si>
  <si>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заполнить из расчета к договору</t>
  </si>
  <si>
    <t>предоплата</t>
  </si>
  <si>
    <t>формула</t>
  </si>
  <si>
    <t>оплата по факту</t>
  </si>
  <si>
    <t>Услуги по энергоснабжению</t>
  </si>
  <si>
    <t xml:space="preserve">Услуги холодного водоснабжения и водоотведения </t>
  </si>
  <si>
    <t xml:space="preserve">ТКО </t>
  </si>
  <si>
    <t>Итого, в том числе</t>
  </si>
  <si>
    <t xml:space="preserve">ФАКТ : </t>
  </si>
  <si>
    <t xml:space="preserve">Разница: </t>
  </si>
  <si>
    <t>КОСГУ 343</t>
  </si>
  <si>
    <t>Бензин</t>
  </si>
  <si>
    <t>2.4.0001.0010</t>
  </si>
  <si>
    <t>2.4.0001.0101</t>
  </si>
  <si>
    <t>Среднемесячный заработок за период трудоустройства со дня увольнения в связи с сокращением</t>
  </si>
  <si>
    <t>Лист согласования плана финансово-хозяйственной деятельности</t>
  </si>
  <si>
    <t>наименование образовательного учреждения</t>
  </si>
  <si>
    <t>Дата предоставления МКУ плана ФХД</t>
  </si>
  <si>
    <t xml:space="preserve">Дата составления плана ФХД в АЦК - планировании </t>
  </si>
  <si>
    <t>Дата возврата плана ФХД в МКУ (при выявлении ошибок)</t>
  </si>
  <si>
    <t>Причина возврата</t>
  </si>
  <si>
    <t>Дата согласования плана ФХД</t>
  </si>
  <si>
    <t>Муниципальное бюджетное общеобразовательное учреждение "Перспектива"</t>
  </si>
  <si>
    <t>Ведущий экономист ОЭС МКУ "УУиООУ"</t>
  </si>
  <si>
    <t>Начальник ОЭС МКУ "УУиООУ"</t>
  </si>
  <si>
    <t xml:space="preserve">2.03.2.01.20980.000000 </t>
  </si>
  <si>
    <t>Увеличение средств на выплату суточных в командировках, в связи с увеличением потребности</t>
  </si>
  <si>
    <t>Расходы на командировки и служебные разъезды в части оплаты суточных</t>
  </si>
  <si>
    <t>Увеличение средств на оплату больничного за первые три дня за счет работодателя, в связи с увеличением потребности</t>
  </si>
  <si>
    <t>Оплата больничных за первые три дня за счет работодателя</t>
  </si>
  <si>
    <t>Увеличение средств на выплату заработной платы, в связи с увеличением потребности</t>
  </si>
  <si>
    <t xml:space="preserve">Итого доходы за счёт средств, полученных в результате оказания дополнительных образовательных и спортивно – оздоровительных услуг: </t>
  </si>
  <si>
    <t>Расходы на оплату первичного медосмотра работников</t>
  </si>
  <si>
    <t>Итого по 2.4.0001.2101</t>
  </si>
  <si>
    <t>Обоснования (расчеты) расходов на приобретение  учебных пособий:</t>
  </si>
  <si>
    <t>набор</t>
  </si>
  <si>
    <t>Обоснования (расчеты) расходов на приобретение расходных материалов:</t>
  </si>
  <si>
    <t>Итого по 2.4.0001.0000</t>
  </si>
  <si>
    <t>Ватман</t>
  </si>
  <si>
    <t>Альбом для рисования</t>
  </si>
  <si>
    <t>Цветные карандаши</t>
  </si>
  <si>
    <t>Клей-карандаш</t>
  </si>
  <si>
    <t>Обоснования (расчеты) расходов на приобретение канцелярских товаров для групп продленного дня:</t>
  </si>
  <si>
    <t>упаковка</t>
  </si>
  <si>
    <t>Здание по адресу ул.30 лет Победы, 39/2</t>
  </si>
  <si>
    <t xml:space="preserve">Зимнее содержание территории </t>
  </si>
  <si>
    <t xml:space="preserve">Очистка крыши от снега и наледи </t>
  </si>
  <si>
    <t xml:space="preserve">Проведение лабораторных исследований бассейна </t>
  </si>
  <si>
    <t>Л.Н. Глазкова</t>
  </si>
  <si>
    <t>Бензин Регулятор - 92 (класс 5)</t>
  </si>
  <si>
    <t>2.4.0001.2205</t>
  </si>
  <si>
    <t>Страховые взносы со стоимости проезда к месту проведения отпуска за пределы РФ</t>
  </si>
  <si>
    <t>А.М. Глазкова</t>
  </si>
  <si>
    <t>Обязательное страхование гражданской ответственности владельцев транспортных средств</t>
  </si>
  <si>
    <t>на 2023 год (на текущий финансовый год)</t>
  </si>
  <si>
    <t>Ед.изм</t>
  </si>
  <si>
    <t>Площадь обработки</t>
  </si>
  <si>
    <t>Стоимость, руб.</t>
  </si>
  <si>
    <t>кв.м.</t>
  </si>
  <si>
    <t>Дезинсекция</t>
  </si>
  <si>
    <t>Кол-во, ед.</t>
  </si>
  <si>
    <t>штука</t>
  </si>
  <si>
    <t>Обоснования (расчеты) расходов на технический осмотр транспортного средства:</t>
  </si>
  <si>
    <t>Кол-во единиц транспортных средств</t>
  </si>
  <si>
    <t>Стоимость  техосмотра за 1 ед. ТС, руб.</t>
  </si>
  <si>
    <t>Частота  прохождения в год</t>
  </si>
  <si>
    <t>Кол-во ед в мес.</t>
  </si>
  <si>
    <t>Кол-во месяцев обслуживания</t>
  </si>
  <si>
    <t>Количество уборок в месяц</t>
  </si>
  <si>
    <t>усл.ед.</t>
  </si>
  <si>
    <t xml:space="preserve">Очистка  (сбивание) сосулек с кровли с помощью АГП-22 </t>
  </si>
  <si>
    <t>Стоимость проверки качества огнезащитной обработки за 1 кв.м., руб.</t>
  </si>
  <si>
    <t>Площадь декораций, сценического оформления, кв.м.</t>
  </si>
  <si>
    <t>Проверки качества огнезащитной обработки</t>
  </si>
  <si>
    <t>Рабочие тетради</t>
  </si>
  <si>
    <t>Приобретение торгово-технологического оборудования</t>
  </si>
  <si>
    <t>Расходы на оплату услуг по разработке проекта, работ по демонтажу, монтажу, приобретение, выполнение пусконаладочных работ системы пожарной сигнализации и оповещения людей о пожаре</t>
  </si>
  <si>
    <t>Реализация социальных, инициативных, инновационных проектов</t>
  </si>
  <si>
    <t>2.5.0703.7217</t>
  </si>
  <si>
    <t>Обеспечение участия учащихся в региональном этапе всероссийской олимпиады школьников (химия)</t>
  </si>
  <si>
    <t>Проезд Сургут-Ханты-Мансийск-Сургут</t>
  </si>
  <si>
    <t>Транспортные услуги на месте проведения олимпиады</t>
  </si>
  <si>
    <t xml:space="preserve"> Обоснования (расчеты) расходов на оплату участия учащихся в части проезда:</t>
  </si>
  <si>
    <t>Стоимость проезда, руб.</t>
  </si>
  <si>
    <t>Числен-
ность, чел.</t>
  </si>
  <si>
    <t>Количество услуг</t>
  </si>
  <si>
    <t xml:space="preserve"> Обоснования (расчеты) расходов на оплату участия учащихся в части проживания:</t>
  </si>
  <si>
    <t>Стоимость 
одних суток проживания, руб.</t>
  </si>
  <si>
    <t xml:space="preserve"> Обоснования (расчеты) расходов на приобретение основных средств, материальных запасов:</t>
  </si>
  <si>
    <t>2.5.0604.0000</t>
  </si>
  <si>
    <t>Обоснования (расчеты) расходов на приобретение баннера</t>
  </si>
  <si>
    <t>Баннер</t>
  </si>
  <si>
    <t>Обоснования (расчеты) расходов на оплату приобретения наградной продукции</t>
  </si>
  <si>
    <t>Обоснования (расчеты) плановых показателей поступлений.</t>
  </si>
  <si>
    <t>Доходы от оказания дополнительных образовательных и спортивно-оздоровительных услуг</t>
  </si>
  <si>
    <t>Отраслевой код:  2.12.2.01.00000.000000 130</t>
  </si>
  <si>
    <t>Остаток средств на 01.01.2023 год</t>
  </si>
  <si>
    <t>Доходы текущего года:</t>
  </si>
  <si>
    <t>Наименование образовательной услуги</t>
  </si>
  <si>
    <t xml:space="preserve">Тариф на 1 занятие на 1 занимающегося </t>
  </si>
  <si>
    <t>Кол-во занимающихся в группе</t>
  </si>
  <si>
    <t>Кол-во групп</t>
  </si>
  <si>
    <t xml:space="preserve">Кол-во занятий в месяц </t>
  </si>
  <si>
    <t>Доход в месяц, руб.</t>
  </si>
  <si>
    <t>Кол-во месяцев оказания услуг</t>
  </si>
  <si>
    <t>Итого:</t>
  </si>
  <si>
    <t>Родительская плата за присмотр и уход за детьми в образовательных учреждениях, реализующих программу дошкольного образования</t>
  </si>
  <si>
    <t>Отраслевой код: 2.12.2.03.00000.000000 130</t>
  </si>
  <si>
    <t>Средняя годовая численность детей, чел.</t>
  </si>
  <si>
    <t>Размер родительской платы в день, руб.</t>
  </si>
  <si>
    <t xml:space="preserve">Количество дней посещения учреждения 1-м ребенком в год </t>
  </si>
  <si>
    <t>Поступление грантов в форме субсидий</t>
  </si>
  <si>
    <t>Отраслевой код:  2.12.2.07.00000.000000 150</t>
  </si>
  <si>
    <t xml:space="preserve">Наименование </t>
  </si>
  <si>
    <t>Расчет объёма доходов</t>
  </si>
  <si>
    <t>Доходы, полученные от реализации материалов, товаров, продуктов питания</t>
  </si>
  <si>
    <t>Отраслевой код:  2.12.9.05.00000.000000 130</t>
  </si>
  <si>
    <t xml:space="preserve">Отраслевой код:  2.12.9.10.00000.000000 130 </t>
  </si>
  <si>
    <t>Наименование арендатора</t>
  </si>
  <si>
    <t>Месяц</t>
  </si>
  <si>
    <t>Площадь арендуемого помещения, 
кв. м</t>
  </si>
  <si>
    <t xml:space="preserve">Кол-во арендуемого времени в месяц, час. 
</t>
  </si>
  <si>
    <t>Стоимость арендной платы в месяц, 
руб.</t>
  </si>
  <si>
    <t>МБОУ ДО СДЮСШОР "Аверс"</t>
  </si>
  <si>
    <t>Безвозмездные поступления и пожертвования по договорам пожертвования от физических и юридических лиц</t>
  </si>
  <si>
    <t>Отраслевой код: 0.00.0.00.00000.000000  440</t>
  </si>
  <si>
    <t>Налог на прибыль:</t>
  </si>
  <si>
    <t>Отраслевой код:  0.00.0.0000.0.00000000 180</t>
  </si>
  <si>
    <t>Отраслевой код:  2.12.2.0100.0.00000000 180</t>
  </si>
  <si>
    <t>Отраслевой код:  2.12.2.0300.0.00000000 180</t>
  </si>
  <si>
    <t>Налогооблагаемый доход за год, руб.</t>
  </si>
  <si>
    <t>Размер налога, %</t>
  </si>
  <si>
    <t>Всего, руб.</t>
  </si>
  <si>
    <t>Налог на прибыль (Доходы от оказания дополнительных образовательных и спортивно-оздоровительных услуг)</t>
  </si>
  <si>
    <t>Налог на прибыль (Родительская плата за присмотр и уход за детьми в образовательных учреждениях, реализующих программу дошкольного образования)</t>
  </si>
  <si>
    <t>Налог на прибыль (Прочие доходы)</t>
  </si>
  <si>
    <t xml:space="preserve"> Обоснования (расчеты) расходов на оплату труда:</t>
  </si>
  <si>
    <t xml:space="preserve"> Обоснования (расчеты) расходов на заработную плату</t>
  </si>
  <si>
    <t>Фонд оплаты труда в месяц</t>
  </si>
  <si>
    <t>Расходы на иные единовременные выплаты из фонда оплаты труда</t>
  </si>
  <si>
    <t>Оплата пени из-за несвоевременной оплаты за оказанные услуги</t>
  </si>
  <si>
    <t>Оплата штрафов</t>
  </si>
  <si>
    <t>Обоснования (расчеты) расходов оплату прочих работ, услуг:</t>
  </si>
  <si>
    <t>2.22.0.00.00000.000000</t>
  </si>
  <si>
    <t>Услуги банка</t>
  </si>
  <si>
    <t>Обоснования (расчеты) расходов на приобретение мебели</t>
  </si>
  <si>
    <t>2.22.0.60.00000.000000</t>
  </si>
  <si>
    <t>2.22.0.70.00000.000000</t>
  </si>
  <si>
    <t>Обоснования (расчеты) расходов на приобретение интерактивного комплекса</t>
  </si>
  <si>
    <t>Занятия  по программе «Английский без границ» (в группе 10-14 человек)</t>
  </si>
  <si>
    <t>Занятия  по программе «Секреты русского языка» (в группе 10-14 человек)</t>
  </si>
  <si>
    <t>комплект</t>
  </si>
  <si>
    <t xml:space="preserve">Обоснования (расчеты) плановых показателей поступлений и выплат на 2025 год </t>
  </si>
  <si>
    <t>Субсидия на финансовое обеспечение выполнения муниципального задания на оказание муниципальных услуг (выполнение работ) - средства местного бюджета</t>
  </si>
  <si>
    <t>Остаток средств на 01.01.2025 год</t>
  </si>
  <si>
    <t>2 001 2205 шк</t>
  </si>
  <si>
    <t>Дети</t>
  </si>
  <si>
    <t>Субсидия на финансове обеспечения муниципального задания -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</t>
  </si>
  <si>
    <t>Возврат остатка средств субсидии на организацию питания детей в возрасте от 6 до 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 на возмещение нормативных затрат, связанных с оказанием в соответствии с муниципальным заданием муниципальных услуг 2019 года в доход бюджета города</t>
  </si>
  <si>
    <t xml:space="preserve">2.001.0101 </t>
  </si>
  <si>
    <t>Фонд заработной платы</t>
  </si>
  <si>
    <t xml:space="preserve">2.4.0001.0101 </t>
  </si>
  <si>
    <t>на 2020 год (на текущий финансовый год)</t>
  </si>
  <si>
    <t>Количество работ ников, чел</t>
  </si>
  <si>
    <t>Коли-чество дней</t>
  </si>
  <si>
    <t>Обоснования (расчеты) страховых взносов, начисленных на иные выплаты (за исключением выплаты заработной платы):</t>
  </si>
  <si>
    <t>x</t>
  </si>
  <si>
    <t>5.4. Обоснования (расчеты) расходов на оплату аренды имущества:</t>
  </si>
  <si>
    <t>Обоснования (расчеты) расходов на оплату работ, услуг по содержанию имущества:</t>
  </si>
  <si>
    <t>Обоснования (расчеты) расходов на кредиторскую задолженность на дератизацию и дезинсекцию</t>
  </si>
  <si>
    <t>Дератизации за декабрь 2020г.</t>
  </si>
  <si>
    <t>Дезинсекция за декабрь 2020г.</t>
  </si>
  <si>
    <t>Очистка крыши от снега и наледи (1 раз в мес.: январь-март 2020г)</t>
  </si>
  <si>
    <t>Очистка крыши от снега и наледи (2 раза в декабре 2019г)</t>
  </si>
  <si>
    <t xml:space="preserve">Очистка (сбивание) сосулек с кровли с помощью АГП-22 (2 раза в марте)                       </t>
  </si>
  <si>
    <t xml:space="preserve">Зимнее содержание территории (3 раза в мес.:декабрь 2019г,январь-март 2020г)                                                            </t>
  </si>
  <si>
    <t>Обоснования (расчеты) расходов на кредиторскую задолженность на услуги по техническому обслуживанию систем и оборудования:</t>
  </si>
  <si>
    <t>Стрелец Мониторинг</t>
  </si>
  <si>
    <t>Кнопка тревожной сигнализации</t>
  </si>
  <si>
    <t>Охранно-пожарная сигнализация за декабрь 2019г.</t>
  </si>
  <si>
    <t>Техническое обслуживание охранной сигнализации</t>
  </si>
  <si>
    <t>Оборудования и другого особо ценного имущства 
(ТТО и прачечного оборудования) за декабрь 2020г.</t>
  </si>
  <si>
    <t>Видеодомофон за декабрь 2020г.</t>
  </si>
  <si>
    <t>штук</t>
  </si>
  <si>
    <t>5.5.4. Обоснования (расчеты) расходов на услуги по перезарядке и техническому освидетельствованию огнетушителей:</t>
  </si>
  <si>
    <t>ОП-4, ОП 5</t>
  </si>
  <si>
    <t xml:space="preserve">Перезарядка огнетушителей </t>
  </si>
  <si>
    <t>2.1</t>
  </si>
  <si>
    <t xml:space="preserve">Обоснования (расчеты) расходов на услуги по огнезащитной обработке (пропитка) и проверка качества огнезащитным составом декораций, сценического оформления </t>
  </si>
  <si>
    <t>Обслуживаемая площадь, кв.м</t>
  </si>
  <si>
    <t xml:space="preserve">Огнезащитная обработка (пропитка) огнезащитным составом декораций, сценического оформления </t>
  </si>
  <si>
    <t xml:space="preserve">Проверка качества огнезащитной обработки декораций, сценического оформления </t>
  </si>
  <si>
    <t>Обоснования (расчеты) расходов на санитарно-эпидемиологическую экспертизу, лабораторные исследования:</t>
  </si>
  <si>
    <t>Количество
услуг</t>
  </si>
  <si>
    <t>Стоимость за одну услугу, руб.</t>
  </si>
  <si>
    <t>Лабораторное исследование пищеблока</t>
  </si>
  <si>
    <t xml:space="preserve">Выполнение работ по капитальному ремонту технических средств охраны (системы тревожной сигнализации в помещении) </t>
  </si>
  <si>
    <t>Кнопка экстренного вызова наряда милиции</t>
  </si>
  <si>
    <t>ПЭА</t>
  </si>
  <si>
    <t>Обоснования (расчеты) расходов на оплату расходы к летней оздоровительной кампании в организации отдыха детей и их оздоровления</t>
  </si>
  <si>
    <t>Работники на сдачу анализа на тест ПЦР привлекаемые к летней оздоровительной кампании 2021 года в организации отдыха детей и их оздоровления</t>
  </si>
  <si>
    <t>Лабораторное исследование воды, микроклимата, освещенности в помещение</t>
  </si>
  <si>
    <t>Обоснования (расчеты) расходов на оплату прочих работ, услуг:</t>
  </si>
  <si>
    <t>Обоснования (расчеты) расходов на лабораторные исследования:</t>
  </si>
  <si>
    <t>Лабораторное исследование песка</t>
  </si>
  <si>
    <t>Охрана сотрудниками ЧОП с 01.01.-31.03.2019</t>
  </si>
  <si>
    <t>Охрана сотрудниками ЧОП с 01.04.-31.12.2019</t>
  </si>
  <si>
    <t>Медицинский осмотр работников лагеря (исследование РПГА и кишечной инфекции)</t>
  </si>
  <si>
    <t>Курсы повышения квалификации</t>
  </si>
  <si>
    <t>Программное обеспечение Касперского</t>
  </si>
  <si>
    <t>2.03.2.01.84305.000000</t>
  </si>
  <si>
    <t>Обеспечение информационной безопасности при передаче данных участников государственной итоговой аттестации обучающихся, освоивших образовательные программы основного общего и среднего общего образования, по защищенным каналам связи (ЕГЭ)</t>
  </si>
  <si>
    <t>Организация горячего питания детей, посещающих лагерь с дневным пребыванием на базе образовательного учреждения (лето) 21 день</t>
  </si>
  <si>
    <t>Организация горячего питания детей, посещающих лагерь с дневным пребыванием на базе образовательного учреждения (осень) 5 дней</t>
  </si>
  <si>
    <t>,</t>
  </si>
  <si>
    <t>5.7. Обоснования (расчеты) расходов на проведение ремонта зданий и сооружений:</t>
  </si>
  <si>
    <t>машина</t>
  </si>
  <si>
    <t>Поставка учебников</t>
  </si>
  <si>
    <t>ЕП</t>
  </si>
  <si>
    <t>Настенная панель "Экополка Яблонька"</t>
  </si>
  <si>
    <t>Настенная панель "Экополка Елочка"</t>
  </si>
  <si>
    <t>Настенная панель "Экополка Дубок"</t>
  </si>
  <si>
    <t>Учебно-демонстрационная площадка "Метеостанция"</t>
  </si>
  <si>
    <t>Учебно-демонстрационная площадка "Космос"</t>
  </si>
  <si>
    <t>Ноутбуки</t>
  </si>
  <si>
    <t xml:space="preserve">МФУ </t>
  </si>
  <si>
    <t>Проектор ультракороткофокусный</t>
  </si>
  <si>
    <t>Мобильная интерактивная панель</t>
  </si>
  <si>
    <t>Развлекательный напольно-настенный комплекс</t>
  </si>
  <si>
    <t>Обоснования (расчеты) расходов на приобретение учебно-игрового оборудования:</t>
  </si>
  <si>
    <t>Театральный чемоданчик</t>
  </si>
  <si>
    <t>Колонки</t>
  </si>
  <si>
    <t>АУ</t>
  </si>
  <si>
    <t>Мебель для столовой (комплект:стол+скамьи)</t>
  </si>
  <si>
    <t>Парта</t>
  </si>
  <si>
    <t>Учебно-наглядные пособия по английскому языку</t>
  </si>
  <si>
    <t>Учебно-наглядные пособия по русскому языку</t>
  </si>
  <si>
    <t>Учебно-наглядные пособия по математики</t>
  </si>
  <si>
    <t>Учебно-наглядные пособия по природоведению</t>
  </si>
  <si>
    <t>Учебно-наглядные пособия по чтению</t>
  </si>
  <si>
    <t>Учебные пособия по английскому языку</t>
  </si>
  <si>
    <t>Учебные пособия по математики</t>
  </si>
  <si>
    <t>Учебные пособия по русскому языку</t>
  </si>
  <si>
    <t>Учебные пособия по ИЗО</t>
  </si>
  <si>
    <t>Интерактивная панель</t>
  </si>
  <si>
    <t>Ноутбук</t>
  </si>
  <si>
    <t>Машинка швейная</t>
  </si>
  <si>
    <t>Ученическая мебель (комплект:парта+стул)</t>
  </si>
  <si>
    <t>Обоснования (расчеты) расходов на приобретение химических реагентов:</t>
  </si>
  <si>
    <t xml:space="preserve">Норматив расхода химического реагента в год на 1 куб. м. бассейна </t>
  </si>
  <si>
    <t>Стоимость за ед., руб</t>
  </si>
  <si>
    <t>Сумма (15% от потребности), руб</t>
  </si>
  <si>
    <t>Химические реагенты для обработки воды в бассейне с 440 куб.м.</t>
  </si>
  <si>
    <t>кг</t>
  </si>
  <si>
    <t>Обоснования (расчеты) расходов на приобретение учебных пособий:</t>
  </si>
  <si>
    <t xml:space="preserve">Учебные пособия обучение грамоте для детей от 5 до 7 лет  </t>
  </si>
  <si>
    <t xml:space="preserve">Учебные пособия развитие речи для детей от 3 до 5 лет  </t>
  </si>
  <si>
    <t>Прописи для детей по программе "Детский сад 2100" в 2- ух частях от 3 до 7 лет (граматика)</t>
  </si>
  <si>
    <t>Прописи для детей по программе "Детский сад 2100" от 3 до 7 лет (математика)</t>
  </si>
  <si>
    <t>Наборы для эксперементирования</t>
  </si>
  <si>
    <t>Обоснования (расчеты) расходов на приобретение комплектующих и расходных материалов:</t>
  </si>
  <si>
    <t>Комплектующие материалы для компьютерной техники</t>
  </si>
  <si>
    <t>Комплектующие материалы к ТСО</t>
  </si>
  <si>
    <t>Методические пособия, рабочие тетради 1 -ый год обучения</t>
  </si>
  <si>
    <t>Методические пособия, рабочие тетради 2 -ой год обучения</t>
  </si>
  <si>
    <t>Методические пособия, рабочие тетради 3 -ий год обучения</t>
  </si>
  <si>
    <t>Методические пособия, рабочие тетради 4 -ый год обучения</t>
  </si>
  <si>
    <t>Канцелярские товары для групп продленного дня</t>
  </si>
  <si>
    <t>Обоснования (расчеты) расходов на приобретение комплектующих материалов:</t>
  </si>
  <si>
    <t>Комплектующие и расходные материалы для оргтехники для обеспечения пунктов ЕГЭ</t>
  </si>
  <si>
    <t>Обоснования (расчеты) расходов на изготовления (приобретение) аттестатов, грамот и похвальных листов:</t>
  </si>
  <si>
    <t xml:space="preserve">   Доходы от собственности, всего</t>
  </si>
  <si>
    <t>1100</t>
  </si>
  <si>
    <t>120</t>
  </si>
  <si>
    <t xml:space="preserve">      Арендная плата за пользование имуществом</t>
  </si>
  <si>
    <t>1110</t>
  </si>
  <si>
    <t xml:space="preserve">   Доходы от оказания услуг, работ, компенсации затрат учреждений, всего</t>
  </si>
  <si>
    <t xml:space="preserve">      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</si>
  <si>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 xml:space="preserve">      Поступления от иной, приносящей доход деятельности</t>
  </si>
  <si>
    <t xml:space="preserve">   Доходы от штрафов, пеней, иных сумм принудительного изъятия, всего</t>
  </si>
  <si>
    <t>1300</t>
  </si>
  <si>
    <t xml:space="preserve">      Доходы от штрафов, пеней, иных сумм принудительного изъятия</t>
  </si>
  <si>
    <t>1310</t>
  </si>
  <si>
    <t xml:space="preserve">      Субсидии на осуществление капитальных вложений</t>
  </si>
  <si>
    <t>1420</t>
  </si>
  <si>
    <t xml:space="preserve">      Гранты, предоставляемые другим организациям и физическим лицам</t>
  </si>
  <si>
    <t xml:space="preserve">   Прочие доходы, всего</t>
  </si>
  <si>
    <t>1500</t>
  </si>
  <si>
    <t>1901</t>
  </si>
  <si>
    <t>440</t>
  </si>
  <si>
    <t>1982</t>
  </si>
  <si>
    <t xml:space="preserve">      Иные выплаты, за исключением фонда оплаты труда учреждения, для выполнения отдельных полномочий</t>
  </si>
  <si>
    <t>2130</t>
  </si>
  <si>
    <t>113</t>
  </si>
  <si>
    <t xml:space="preserve">      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</si>
  <si>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</si>
  <si>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 xml:space="preserve">      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</si>
  <si>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</si>
  <si>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</si>
  <si>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 xml:space="preserve">      Иные выплаты населению</t>
  </si>
  <si>
    <t>2240</t>
  </si>
  <si>
    <t>360</t>
  </si>
  <si>
    <t>241</t>
  </si>
  <si>
    <t>297</t>
  </si>
  <si>
    <t xml:space="preserve">      Гранты, предоставляемые бюджетным учреждениям</t>
  </si>
  <si>
    <t>2410</t>
  </si>
  <si>
    <t>613</t>
  </si>
  <si>
    <t xml:space="preserve">      Гранты, предоставляемые автономным учреждениям</t>
  </si>
  <si>
    <t>623</t>
  </si>
  <si>
    <t>2430</t>
  </si>
  <si>
    <t>634</t>
  </si>
  <si>
    <t>2440</t>
  </si>
  <si>
    <t>810</t>
  </si>
  <si>
    <t>2450</t>
  </si>
  <si>
    <t xml:space="preserve">      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</si>
  <si>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</si>
  <si>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</si>
  <si>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2500</t>
  </si>
  <si>
    <t xml:space="preserve">      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</si>
  <si>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</si>
  <si>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</si>
  <si>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2610</t>
  </si>
  <si>
    <t>2630</t>
  </si>
  <si>
    <t>243</t>
  </si>
  <si>
    <t>222</t>
  </si>
  <si>
    <t>224</t>
  </si>
  <si>
    <t>344</t>
  </si>
  <si>
    <t>2650</t>
  </si>
  <si>
    <t>2700</t>
  </si>
  <si>
    <t>400</t>
  </si>
  <si>
    <t>2710</t>
  </si>
  <si>
    <t>406</t>
  </si>
  <si>
    <t>2720</t>
  </si>
  <si>
    <t>407</t>
  </si>
  <si>
    <t>2800</t>
  </si>
  <si>
    <t>880</t>
  </si>
  <si>
    <t>Прочие выплаты, всего</t>
  </si>
  <si>
    <t>4000</t>
  </si>
  <si>
    <t xml:space="preserve">   Возврат в бюджет средств субсидии</t>
  </si>
  <si>
    <t>4010</t>
  </si>
  <si>
    <t>610</t>
  </si>
  <si>
    <t>4020</t>
  </si>
  <si>
    <t>№
п/п</t>
  </si>
  <si>
    <t>Коды
строк</t>
  </si>
  <si>
    <t>Год
начала закупки</t>
  </si>
  <si>
    <t>Код по бюджетной классификации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</si>
  <si>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</si>
  <si>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</si>
  <si>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</si>
  <si>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</si>
  <si>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26000</t>
  </si>
  <si>
    <t>26100</t>
  </si>
  <si>
    <t xml:space="preserve"> 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12</t>
  </si>
  <si>
    <t>26200</t>
  </si>
  <si>
    <t xml:space="preserve"> По контрактам (договорам), заключенным до начала текущего финансового года с учетом требований Федерального закона № 44-ФЗ и Федерального закона № 223-ФЗ 13</t>
  </si>
  <si>
    <t>26300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</si>
  <si>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13</t>
  </si>
  <si>
    <t>26400</t>
  </si>
  <si>
    <t>26410</t>
  </si>
  <si>
    <t xml:space="preserve">   В соответствии с Федеральным законом № 44-ФЗ</t>
  </si>
  <si>
    <t>26411</t>
  </si>
  <si>
    <t xml:space="preserve">   В соответствии с Федеральным законом № 223-ФЗ</t>
  </si>
  <si>
    <t>26412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</si>
  <si>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</si>
  <si>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</si>
  <si>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26421</t>
  </si>
  <si>
    <t>26422</t>
  </si>
  <si>
    <t xml:space="preserve">  За счет субсидий, предоставляемых на осуществление капитальных вложений</t>
  </si>
  <si>
    <t>26430</t>
  </si>
  <si>
    <t xml:space="preserve">  За счет прочих источников финансового обеспечения</t>
  </si>
  <si>
    <t>26450</t>
  </si>
  <si>
    <t>26451</t>
  </si>
  <si>
    <t>26452</t>
  </si>
  <si>
    <t>26500</t>
  </si>
  <si>
    <t/>
  </si>
  <si>
    <t xml:space="preserve"> В том числе по году начала закупки</t>
  </si>
  <si>
    <t>26510</t>
  </si>
  <si>
    <t>2.2</t>
  </si>
  <si>
    <t>2.3</t>
  </si>
  <si>
    <t>26600</t>
  </si>
  <si>
    <t>3.1</t>
  </si>
  <si>
    <t>26610</t>
  </si>
  <si>
    <t>3.2</t>
  </si>
  <si>
    <t>3.3</t>
  </si>
  <si>
    <t>на 2025 г</t>
  </si>
  <si>
    <t xml:space="preserve">      Гранты, предоставляемые иным некоммерческим организациям (за исключением автономных и бюджетных учреждений)</t>
  </si>
  <si>
    <t>2025</t>
  </si>
  <si>
    <t>Обоснования (расчеты) расходов на услуги на огнезащитную обработку, проверку качества огнезащитной обработки декораций, сценического оформления</t>
  </si>
  <si>
    <t>Cстоимость 1 кв.м  общей площади нежилого помещения в месяц за 1 час, руб.</t>
  </si>
  <si>
    <t>Оплата государственной пошлины</t>
  </si>
  <si>
    <t>Обоснования (расчеты) расходов  на прохождение медицинского осмотра:</t>
  </si>
  <si>
    <t>Первичный медосмотр работников</t>
  </si>
  <si>
    <t>Виртуальная АТС</t>
  </si>
  <si>
    <t>Абонентская плата за дополнительный номер АВС</t>
  </si>
  <si>
    <t>Стоимость пакета 1200 минут на услугу "Виртуальная АТС"</t>
  </si>
  <si>
    <t>Прочие услуги связи</t>
  </si>
  <si>
    <t>Прочие услуги</t>
  </si>
  <si>
    <t xml:space="preserve">      Закупку энергетических ресурсов</t>
  </si>
  <si>
    <t>Дератизация</t>
  </si>
  <si>
    <t>Обоснования (расчеты) расходов на дератизацию и дезинсекцию и санитарно-эпидемиологической экспертизы:</t>
  </si>
  <si>
    <t>Палочки для ныряния</t>
  </si>
  <si>
    <t>Обоснования (расчеты) расходов на оснащение кабинета технологии для мальчиков</t>
  </si>
  <si>
    <t>Обоснования (расчеты) расходов на оплату налогов, пошлин и сборов:</t>
  </si>
  <si>
    <t>Обоснования (расчеты) расходов на уплату налогов</t>
  </si>
  <si>
    <t>Обоснования (расчеты) расходов на уплату пеней</t>
  </si>
  <si>
    <t>Обоснования (расчеты) расходов на оплату иных выплат текущего характера физическим лицам</t>
  </si>
  <si>
    <t>Обоснования (расчеты) расходов на уплату штрафов</t>
  </si>
  <si>
    <t>Обоснования (расчеты) расходов на уплату транспортного налога</t>
  </si>
  <si>
    <t>Увеличение стоимости прочих материальных запасов</t>
  </si>
  <si>
    <t>Обоснования (расчеты) расходов на оснащения бассейна:</t>
  </si>
  <si>
    <t>Обоснования (расчеты) расходов на приобретение учебного оборудования для кабинета ОБЖ:</t>
  </si>
  <si>
    <t>Оказание услуг по техническому обслуживанию системы охранной сигнализации ул.30 лет победы,39/1</t>
  </si>
  <si>
    <t>Оказание услуг по техническому обслуживанию системы охранной сигнализации ул.30 лет победы,39/2</t>
  </si>
  <si>
    <t>Аналитическая информация от  10.03.2023</t>
  </si>
  <si>
    <t>КОСГУ / Ан.группа</t>
  </si>
  <si>
    <r>
      <t>План, согласно действующего плана ФХД, руб.</t>
    </r>
    <r>
      <rPr>
        <sz val="11"/>
        <color indexed="10"/>
        <rFont val="Times New Roman"/>
        <family val="1"/>
        <charset val="204"/>
      </rPr>
      <t xml:space="preserve"> </t>
    </r>
  </si>
  <si>
    <r>
      <t>Примечание</t>
    </r>
    <r>
      <rPr>
        <sz val="11"/>
        <color indexed="10"/>
        <rFont val="Times New Roman"/>
        <family val="1"/>
        <charset val="204"/>
      </rPr>
      <t xml:space="preserve"> </t>
    </r>
  </si>
  <si>
    <t>Итого по КС 2.4.0001.2101:</t>
  </si>
  <si>
    <t>Расходы за счет средств от прочих доходов</t>
  </si>
  <si>
    <t>Прочие доходы от оказания прочих услуг</t>
  </si>
  <si>
    <t xml:space="preserve">Увеличение прочих доходов в связи с увеличением оказания прочих услуг </t>
  </si>
  <si>
    <t>Расходы на услуги питания детей лагеря в рамках мероприятий по организации оздоровительной кампании детей и подростков (лето)</t>
  </si>
  <si>
    <t>Средства на организацию горячего питания дополнительных детей (25 чел.), посещающих лагерь с дневным пребыванием на базе образовательного учреждения (лето) 21 день</t>
  </si>
  <si>
    <t>Итого по ОК 2.29.0.90.00000.000000:</t>
  </si>
  <si>
    <t>по МБОУ Перспектива</t>
  </si>
  <si>
    <t>Изменение объема финансового обеспечения от 28.02.2023 № 34</t>
  </si>
  <si>
    <t>Пособие за первые три дня временной нетрудоспособности уволенному сотруднику за счет средств работодателя</t>
  </si>
  <si>
    <t>Аналитическая информация от 22.03.2023</t>
  </si>
  <si>
    <t>Изменение объема финансового обеспечения от 28.02.2023 № 29</t>
  </si>
  <si>
    <t>Курсы повышения квалификации пед.работников и программное обеспечение</t>
  </si>
  <si>
    <t>Увеличением средств в связи с необходимости продления лицензии на право использования программного обеспечения "Касперский" (99 170,10)</t>
  </si>
  <si>
    <t>Уменьшение средств на приобретение расходных материалов и офисной бумаги (204 824,58) в связи с уменьшением потребности</t>
  </si>
  <si>
    <t>Канцелярские и хозяйственные товары в рамках мероприятий по организации оздоровительной кампании детей и подростков (лето)</t>
  </si>
  <si>
    <t>Изменение объема финансового обеспечения от 16.03.2023 № 56</t>
  </si>
  <si>
    <t>Страхование детей от несчастных случаев в рамках мероприятий по организации оздоровительной кампании детей и подростков</t>
  </si>
  <si>
    <t>2.03.4.01.$2050.000000</t>
  </si>
  <si>
    <t>Итого по КЦС 2.4.0001.0000:</t>
  </si>
  <si>
    <t>Компенсация расходов на зубопротезирование</t>
  </si>
  <si>
    <t>Средства на компенсацию расходов на зубопротезирование</t>
  </si>
  <si>
    <t>Страховые взносы со стоимости зубопротезирования</t>
  </si>
  <si>
    <t>Средства на оплату страховых взносов со стоимости компенсации расходов по зубопротезированию</t>
  </si>
  <si>
    <t xml:space="preserve">Увеличение средств в связи с увеличением фактических расходов  </t>
  </si>
  <si>
    <t>Иные выплаты текущего характера физическим лицам</t>
  </si>
  <si>
    <t xml:space="preserve">Уменьшение средств в связи с уменьшением фактических расходов </t>
  </si>
  <si>
    <t>Итого по ОК 2.22.0.10.00000.000000:</t>
  </si>
  <si>
    <t>Увеличение средств на услуги потребления холодного водоснабжения и водоотведения в связи с увеличением фактических расходов</t>
  </si>
  <si>
    <t>Увеличение средств на услуги потребления теплоснабжения в связи с увеличением фактических расходов</t>
  </si>
  <si>
    <t>Увеличение средств на приобретение ГСМ в связи с увеличением фактических расходов</t>
  </si>
  <si>
    <t>Уменьшение средств на потребление электроэнергии в связи с уменьшением фактических расходов</t>
  </si>
  <si>
    <t>Увеличение средств на оплату услуг по охране в общеобразовательных учреждениях сотрудниками ЧОП в связи с увеличением фактических расходов</t>
  </si>
  <si>
    <t xml:space="preserve">Уменьшение доходов от оказания дополнительных образовательных и спортивно – оздоровительных услуг в 2023 году в связи с уменьшением количества детей за 2022-2023 учебный год; </t>
  </si>
  <si>
    <t xml:space="preserve">Уменьшение средств на приобретения в связи с отсутствием потребности </t>
  </si>
  <si>
    <t xml:space="preserve">Техническое обслуживание системы видеонаблюдения на адрес ул.30 лет Победы,39/1 </t>
  </si>
  <si>
    <t>Субсидии на финансовое обеспечение выполнения муниципального задания- остаток средств местного бюджета</t>
  </si>
  <si>
    <t>Кол-во ед. обслуживания</t>
  </si>
  <si>
    <t>Стоимость обслуживания за ед., руб.</t>
  </si>
  <si>
    <t>Кол-во ед.в мес.</t>
  </si>
  <si>
    <t xml:space="preserve">Обслуживание и сопровождение базы данных СКУД на адрес ул.30 лет Победы,39/1 </t>
  </si>
  <si>
    <t>Обслуживание и сопровождение базы данных СКУД на адрес ул.30 лет Победы,39/2</t>
  </si>
  <si>
    <t>Обоснования (расчеты) расходов на невооруженную охрану объекта:</t>
  </si>
  <si>
    <t>Кол-во постов охраны</t>
  </si>
  <si>
    <t>Кол-во часов охраны в год, час.</t>
  </si>
  <si>
    <t>Стоимость охраны за час, руб.</t>
  </si>
  <si>
    <t>период с 19-00 ч 09.01.2023 года по 19-00 ч  30.11.2024 года (ежедневно)</t>
  </si>
  <si>
    <t xml:space="preserve">Охрана в общеобразовательных учреждениях сотрудниками ЧОП на адрес ул.30 лет Победы,39/1 </t>
  </si>
  <si>
    <t>Охрана в общеобразовательных учреждениях сотрудниками ЧОП на адрес ул.30 лет Победы,39/2</t>
  </si>
  <si>
    <t>Расходы за счет средств, полученных от оказание прочих услуг</t>
  </si>
  <si>
    <t>2 001 0101 шк</t>
  </si>
  <si>
    <t>2 001 0010 шк</t>
  </si>
  <si>
    <t>Субсидия на финансовое обеспечение выполнения муниципального задания на оказание муниципальных услуг (выполнения работ) - средства местного бюджета</t>
  </si>
  <si>
    <t xml:space="preserve">Субсидия на финансовое обеспечение выполнения муниципального задания на оказание муниципальных услуг (выполнения работ) -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Ханты-Мансийского автономного округа – Югры отдельных государственных полномочий в области образования </t>
  </si>
  <si>
    <t>Субсидия на финансове обеспечения муниципального задания - 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</t>
  </si>
  <si>
    <t>Пенсии, пособия, выплачиваемые работодателями, нанимателями бывшим работникам в денежной форме</t>
  </si>
  <si>
    <t>Технический осмотр транспортного средства</t>
  </si>
  <si>
    <t>Техосвидетельствование огнетушителей ОП-3</t>
  </si>
  <si>
    <t>Техосвидетельствование огнетушителей ОП-4, ОП-5</t>
  </si>
  <si>
    <t xml:space="preserve">Техосвидетельствование огнетушителей ОУ-2 </t>
  </si>
  <si>
    <t>Техосвидетельствование огнетушителей ОУ-3</t>
  </si>
  <si>
    <t>Техосвидетельствование огнетушителей ОУ-5</t>
  </si>
  <si>
    <t>Техническое обслуживание оборудования ПАК "Стрелец -Мониторинг"</t>
  </si>
  <si>
    <t>Техническое обслуживание комплекса технических средств охраны на объектах (КТС)</t>
  </si>
  <si>
    <t>Техническое обслуживание системы видеонаблюдения</t>
  </si>
  <si>
    <t xml:space="preserve">Техническое обслуживание системы автоматической-пожарной сигнализации и оповещения людей о пожаре </t>
  </si>
  <si>
    <t>Техническое обслуживание питьевых фонтанов на адрес по ул.30 лет Победы, 39/1</t>
  </si>
  <si>
    <t>Техническое обслуживание питьевых фонтанов на адрес по ул.30 лет Победы, 39/2</t>
  </si>
  <si>
    <t>Техническое обслуживание системы контроля и управления доступом (СКУД) на адрес по ул.30 лет Победы, 39/1</t>
  </si>
  <si>
    <t>Техническое обслуживание системы контроля и управления доступом (СКУД) на адрес по ул.30 лет Победы, 39/2</t>
  </si>
  <si>
    <t xml:space="preserve">Здание по адресу ул.30 лет Победы, 39/1 </t>
  </si>
  <si>
    <t xml:space="preserve">Охрана объекта путем оперативного реагирования наряда полиции на сигнал тревожного оповещения </t>
  </si>
  <si>
    <t>Кол-во
дней</t>
  </si>
  <si>
    <t>Количество, ед</t>
  </si>
  <si>
    <t>% оплаты по данной субсидии</t>
  </si>
  <si>
    <t>Количество, 
час</t>
  </si>
  <si>
    <t>Обоснования (расчеты) расходов на приобретение учебного оборудования для кабинета труда и технологии:</t>
  </si>
  <si>
    <t>Халаты</t>
  </si>
  <si>
    <t>Фартуки</t>
  </si>
  <si>
    <t xml:space="preserve">Перчатки </t>
  </si>
  <si>
    <t>Декоративный саморез Левша</t>
  </si>
  <si>
    <t xml:space="preserve">Шуруп потайной универсальный </t>
  </si>
  <si>
    <t>Саморез гипсокартон-дерево</t>
  </si>
  <si>
    <t>Шуруп качественный</t>
  </si>
  <si>
    <t>Проволка из нержавеющей стали</t>
  </si>
  <si>
    <t>Проволка</t>
  </si>
  <si>
    <t>Гвозди оцинкованные</t>
  </si>
  <si>
    <t>Финишные оцинкованные гвозди</t>
  </si>
  <si>
    <t xml:space="preserve">Березовый шкант </t>
  </si>
  <si>
    <t>Фанера ФК 6 мм</t>
  </si>
  <si>
    <t>Фанера ФК 4 мм</t>
  </si>
  <si>
    <t>Шкант</t>
  </si>
  <si>
    <t>Рейка плоская</t>
  </si>
  <si>
    <t>Лак алкидно-уретановый</t>
  </si>
  <si>
    <t>упак.</t>
  </si>
  <si>
    <t>Лак в/д ЛаКРа</t>
  </si>
  <si>
    <t>Набор бит и сверл</t>
  </si>
  <si>
    <t>Металлический уголок тип 1</t>
  </si>
  <si>
    <t>Металлический уголок тип 2</t>
  </si>
  <si>
    <t>Металлический уголок тип 3</t>
  </si>
  <si>
    <t>Монтажный клей</t>
  </si>
  <si>
    <t>Универсальный клей Момент</t>
  </si>
  <si>
    <t>Нейлоновый хомут Вихрь 2,5*150</t>
  </si>
  <si>
    <t>Нейлоновый хомут Вихрь 4,8*250</t>
  </si>
  <si>
    <t xml:space="preserve">Скоба каленая </t>
  </si>
  <si>
    <t>Сегментые лезвия для ножей</t>
  </si>
  <si>
    <t xml:space="preserve">ПВХ-изолента тип 1 </t>
  </si>
  <si>
    <t>ПВХ-изолента тип 2</t>
  </si>
  <si>
    <t>Обезжириватель арикон бутылка</t>
  </si>
  <si>
    <t>Анкерный болт</t>
  </si>
  <si>
    <t>Пленка самоклеящаяся витраз</t>
  </si>
  <si>
    <t xml:space="preserve">Пленка самоклеящаяся </t>
  </si>
  <si>
    <t>Саморез по металлу тип 1</t>
  </si>
  <si>
    <t>Саморез по металлу тип 2</t>
  </si>
  <si>
    <t>Саморез по дереву тип 2</t>
  </si>
  <si>
    <t>Саморез по дереву тип 1</t>
  </si>
  <si>
    <t>Саморез по металлу тип 3</t>
  </si>
  <si>
    <t>Саморез по дереву тип 3</t>
  </si>
  <si>
    <t>Саморез по металлу тип 4</t>
  </si>
  <si>
    <t>Саморез по дереву тип 4</t>
  </si>
  <si>
    <t>Болт с шестигранной головкой оцинкованноый тип 1</t>
  </si>
  <si>
    <t>Болт с шестигранной головкой оцинкованноый тип 2</t>
  </si>
  <si>
    <t>Винт с полуцилиндрической головкой</t>
  </si>
  <si>
    <t>Винт КРеП-КоМП с полуцилиндрической головкой</t>
  </si>
  <si>
    <t>Управляющий модуль для интерактивной панели</t>
  </si>
  <si>
    <t>Шнур с флажками поворота</t>
  </si>
  <si>
    <t>пог.метр</t>
  </si>
  <si>
    <t xml:space="preserve">Нудл цветной </t>
  </si>
  <si>
    <t>Управляющий OPS модуль для интерактивной панели</t>
  </si>
  <si>
    <t>2.Обоснования (расчеты) расходов на социальные и иные выплаты населению (строка 2200):</t>
  </si>
  <si>
    <t>3.Обоснования (расчеты) расходов на уплату налогов, сборов и иных платежей (строка 2300):</t>
  </si>
  <si>
    <t>4.Обоснования (расчеты) расходов на безвозмездные перечисления организациям и физическим лицам (строка 2400):</t>
  </si>
  <si>
    <t>5.Обоснования (расчеты) прочих выплат (кроме выплат на закупку товаров, работ, услуг) (строка 2500):</t>
  </si>
  <si>
    <t>6.Обоснования (расчеты) расходов на закупку товаров, работ, услуг (строка 2600):</t>
  </si>
  <si>
    <t>1.Обоснования (расчеты) расходов на заработную плату:</t>
  </si>
  <si>
    <t>1.Обоснования (расчеты) выплат персоналу (строка 2100):</t>
  </si>
  <si>
    <t>Уменьшение средств в связи с уменьшением фактических услуг внутризоновой и междугородней связи</t>
  </si>
  <si>
    <t>Увеличение стоимости горюче-смазочного материала</t>
  </si>
  <si>
    <t>Уменьшение средств на оплату труда в связи с уменьшением фактических расходов</t>
  </si>
  <si>
    <t>Уменьшение средств на страховые взносы по оплате труда в связи с уменьшением фактических расходов</t>
  </si>
  <si>
    <t>Доходы за счет средств, полученных от оказания прочих услуг</t>
  </si>
  <si>
    <t>Отраслевой код: 0.00.0.00.00000.000000 140 - Суммы принудительного изъятия (штрафы, пени и другие поступления от контрагенты за нарушения договорных обязательств)</t>
  </si>
  <si>
    <t>Доходы в виде безвозмездных денежных поступлений (в том числе грантов, пожертвований)</t>
  </si>
  <si>
    <t>Доходы текущего года</t>
  </si>
  <si>
    <t>Обоснования (расчеты) расходов  на оплату командировочных расходов в части проезда:</t>
  </si>
  <si>
    <t>Обоснования (расчеты) на компенсацию расходов на зубопротезирование:</t>
  </si>
  <si>
    <t>5.Обоснования (расчеты) расходов на прочие выплаты (кроме выплат на закупку товаров товаров, работ, услуг) (строка 2500):</t>
  </si>
  <si>
    <t>Обоснования (расчеты) расходов на работы, услуги по содержанию имущества</t>
  </si>
  <si>
    <t>Кровь РПГА</t>
  </si>
  <si>
    <t>Обоснования (расчеты) расходов оплату прочих услуг:</t>
  </si>
  <si>
    <t>Оказание услуг по отбору и проведению исследования сточных вод</t>
  </si>
  <si>
    <t xml:space="preserve">Уменьшение средств на работы по текущему ремонту здания  в связи с отсутствием потребности </t>
  </si>
  <si>
    <t xml:space="preserve">Уменьшение средств на услугу по монтажу оборудования в связи с отсутствием потребности </t>
  </si>
  <si>
    <t xml:space="preserve">Расходные материалы на обслуживание обрудования для бассейна </t>
  </si>
  <si>
    <t>Хозяйственные товары для чистки бассейна</t>
  </si>
  <si>
    <t>Химические реагенты для обработки воды в бассейне</t>
  </si>
  <si>
    <t>Обоснования (расчеты) расходов на оплату приобретения химических реагентов для бассейна:</t>
  </si>
  <si>
    <t>Обоснования (расчеты) расходов на приобретения для бассейна:</t>
  </si>
  <si>
    <t>Обоснования (расчеты) расходов на оплату приобретения материальных запасов:</t>
  </si>
  <si>
    <t>Уменьшение средств на услуги потребления теплоснабжения в связи с уменьшением объемов потребления</t>
  </si>
  <si>
    <t>Занятия  по программе «Подготовка к школе» (в группе 10-14 человек)</t>
  </si>
  <si>
    <t xml:space="preserve">Приобретение технических средств обучения, учебного оборудования, учебной литературы и мебели </t>
  </si>
  <si>
    <t>Приобретение канцелярских товаров, расходных материалов и учебных пособий (рабочих тетрадей)</t>
  </si>
  <si>
    <t>Уменьшение средств на приобретение учебного оборудования в связи с уменьшением потребности</t>
  </si>
  <si>
    <t>Увеличение средств на приобретение расходных материалов и канцелярских товаров в связи с увеличением потребности</t>
  </si>
  <si>
    <t>ПЛАН</t>
  </si>
  <si>
    <t>ФАКТ</t>
  </si>
  <si>
    <t>ост.</t>
  </si>
  <si>
    <t xml:space="preserve">Услуги теплоснабжения </t>
  </si>
  <si>
    <t xml:space="preserve">Предварительное обязательное комиссионное психиатрическое освидетельствование работников </t>
  </si>
  <si>
    <t>Аналитическая информация от 07.04.2023</t>
  </si>
  <si>
    <t>Услуги по обращению с твердыми коммунальными отходами</t>
  </si>
  <si>
    <t>Обоснования (расчеты) расходов на оплату обучения сотрудников:</t>
  </si>
  <si>
    <t>Обучение по программе "Повышение группы по электробезопасности"</t>
  </si>
  <si>
    <t>Обучение по охране труда и проверке знаний требований охраны труда работников организации</t>
  </si>
  <si>
    <t>Обучению по программе "Оказание первой помощи пострадавшим"</t>
  </si>
  <si>
    <t>Специальная оценка условий труда</t>
  </si>
  <si>
    <t>раб.мест</t>
  </si>
  <si>
    <t>Увеличение средств на услугу теплоснабжения в связи с увеличением фактических расходов</t>
  </si>
  <si>
    <t>Уменьшение средств на услугу по обращению с твердыми коммунальными отходами в связи с уменьшением фактических расходов</t>
  </si>
  <si>
    <t>Увеличение средства на оплату первичного медосмотра работников в связи с увеличением фактических расходов</t>
  </si>
  <si>
    <t>Уменьшение средства на оплату страховых взносов с прохождения первичного медосмотра в связи с применением регрессивной шкалы налогообложения</t>
  </si>
  <si>
    <t>Приобретение канцелярских товара, расходных материалов и учебных пособий (рабочих тетрадей)</t>
  </si>
  <si>
    <t>Уменьшение средств в связи с применением регрессивной шкалы налогообложения</t>
  </si>
  <si>
    <t>Уменьшение средств в связи с уменьшением фактического потребления горюче-смазочных материалов</t>
  </si>
  <si>
    <t>Аналитическая информация от 27.04.2023</t>
  </si>
  <si>
    <t>ПГ</t>
  </si>
  <si>
    <t>первоочередные</t>
  </si>
  <si>
    <t>ПГ должен быть</t>
  </si>
  <si>
    <t>ОбязПЗ</t>
  </si>
  <si>
    <t>п.</t>
  </si>
  <si>
    <t>Аналитическая информация от 15.05.2023</t>
  </si>
  <si>
    <t>Занятия в спортивно-оздоровительных группах по плаванию (дети)</t>
  </si>
  <si>
    <t>Фотобарабан PANTUM DL 425X</t>
  </si>
  <si>
    <t>Картридж PANTUM TL 425U</t>
  </si>
  <si>
    <t>2.9.5</t>
  </si>
  <si>
    <t>Другие экономические санкции</t>
  </si>
  <si>
    <t>Обоснования (расчеты) расходов на уплату иных платежей</t>
  </si>
  <si>
    <t>Аналитическая информация от 29.05.2023</t>
  </si>
  <si>
    <t>Средства для уплаты административного штрафа</t>
  </si>
  <si>
    <t>0.0.0000.0000</t>
  </si>
  <si>
    <t>6 731 267,66 руб. - объем средств, перемещаемых на учебные расходы с заработной платы, начислений на ЗПЛ (уменьшен объем резервных средств на обеспечение целевого показателя по ЗПЛ);
202 477,00 руб. - снятие экономия средств заработной платы и страховых взносов с оплаты труда в связи с сокращением должности "Лаборант";
20 000,00 руб. - средства на выплату пособия за первые три дня временной нетрудоспособности уволенному сотруднику за счет средств работодателя</t>
  </si>
  <si>
    <t>Услуги по программному обеспечению, курсы повышения квалификации пед.работников</t>
  </si>
  <si>
    <t>Увеличение средств на приобретение программного обеспечения на учебные программы для установки на современные средства информатизации</t>
  </si>
  <si>
    <t xml:space="preserve">Пневматический пистолет Baikal ИЖ 46М (поршневой) </t>
  </si>
  <si>
    <t xml:space="preserve">Макет массогабаратный пистолета Макарова  </t>
  </si>
  <si>
    <t>Фанера</t>
  </si>
  <si>
    <t>Краска</t>
  </si>
  <si>
    <t>Увеличение средств на приобретение учебного оборудования, учебных пособий и современных средств информатизации в связи с увеличение потребности</t>
  </si>
  <si>
    <t>Обоснования (расчеты) расходов на приобретение расходных материалов к оргтехнике:</t>
  </si>
  <si>
    <t>Комплекты расходных материалов для кабинета труда и технолонии (болты,гайки)</t>
  </si>
  <si>
    <t>Комплекты расходных материалов для кабинета труда и технолонии (винты)</t>
  </si>
  <si>
    <t>компл.</t>
  </si>
  <si>
    <t>Приобретение мягкого инвентарная и СИЗов</t>
  </si>
  <si>
    <t>Уменьшение средств на приобретение спецодежды в кабинет технологии для мальчиков по факту заключенного договора</t>
  </si>
  <si>
    <t>Уменьшение средств на услугу по изготовлению технического плана на нежилое здание в связи с не востребованностью</t>
  </si>
  <si>
    <t>Уменьшение средств на услуги по организации горячего питания детей, посещающих лагерь с дневным пребыванием на базе образовательного учреждения (лето) в связи с не востребованностью</t>
  </si>
  <si>
    <t xml:space="preserve">Обязательное страхование гражданской ответственности </t>
  </si>
  <si>
    <t>Уменьшение средств в связи с отсутствием потребности</t>
  </si>
  <si>
    <t xml:space="preserve"> к плану финансово-хозяйственной деятельности на 2023 год</t>
  </si>
  <si>
    <t>Услуги по невооруженную охрану объекта и прочие работы, услуги</t>
  </si>
  <si>
    <t>Налоги, пошлины и сборы</t>
  </si>
  <si>
    <t>Уменьшение средств на уплату налога на имущество и налога на землю в связи с измененияем налогооблагаемой базы и законодательства по налогам</t>
  </si>
  <si>
    <t>Аналитическая информация от 02.06.2023</t>
  </si>
  <si>
    <t>Увеличение средств на охрану в общеобразовательных учреждениях сотрудниками ЧОП в связи с увеличением тарифов</t>
  </si>
  <si>
    <t>Увеличение средств на услугу по перезарядке и техническому освидетельствованию огнетушителей и технического обслуживания медицинского оборудования в связи с необходимостью заключения договоров на данные расходы</t>
  </si>
  <si>
    <t>Уменьшение средств на услуги потребления горячего водоснабжения в связи с уменьшением фактических расходов</t>
  </si>
  <si>
    <t>Здание по адресу ул.30 лет Победы, 39/1 с 01.02.2023-30.11.2023</t>
  </si>
  <si>
    <t>Здание по адресу ул.30 лет Победы, 39/2 с 01.02.2023-30.11.2023</t>
  </si>
  <si>
    <t>Оказание услуг по техническому обслуживанию медицинского оборудования</t>
  </si>
  <si>
    <t>налоги</t>
  </si>
  <si>
    <t>Увеличение средств на услуги потребления холодной воды, водоотведения и услуги по обращению с твердыми коммунальными отходами в связи с увеличением фактических расходов</t>
  </si>
  <si>
    <t>Увеличение средств на услуги потребления энергоснабжения и теплоснабжения в связи с увеличением фактических расходов</t>
  </si>
  <si>
    <t>Аналитическая информация от 21.06.2023</t>
  </si>
  <si>
    <t>Спортивная винтовка Xammerli AR20 Pro</t>
  </si>
  <si>
    <t>Пневматическая винтовка Xammerli (газобаллонная)</t>
  </si>
  <si>
    <t>ПФХД</t>
  </si>
  <si>
    <t>Уменьшение средств в связи с уменьшением фактического потребления горюче-смазочных материалов по причине отпуска водителя</t>
  </si>
  <si>
    <t>Увеличение средств в связи с увеличением фактических расходов на техническое обслуживание системы контроля и управления доступом, охранной сигнализации и системы автоматической-пожарной сигнализации и оповещения людей о пожаре</t>
  </si>
  <si>
    <t>Уменьшение средств на услуги потребления теплоснабжения и энергоснабжения в связи с уменьшением объемов потребления</t>
  </si>
  <si>
    <t>Уменьшение средств на текущий ремонт здания по причине не востребованности расходов</t>
  </si>
  <si>
    <t>Уменьшение средств на услугу связи по причине уменьшение фактических расходов на услуги внутризоновой и междугородней связи</t>
  </si>
  <si>
    <t xml:space="preserve">Уменьшение средств в связи с уменьшением фактических расходов на оказание услуги по предрейсовому и послерейсовому осмотру водителя по причине его отпуска </t>
  </si>
  <si>
    <t>Аналитическая информация от 14.07.2023</t>
  </si>
  <si>
    <t xml:space="preserve">      Безвозмездные денежные поступления</t>
  </si>
  <si>
    <t>1430</t>
  </si>
  <si>
    <t xml:space="preserve">  За счет средств обязательного медицинского страхования</t>
  </si>
  <si>
    <t>26440</t>
  </si>
  <si>
    <t xml:space="preserve">      в том числе:</t>
  </si>
  <si>
    <t>410</t>
  </si>
  <si>
    <t>1902</t>
  </si>
  <si>
    <t>далеко,далеко КП с ЛО</t>
  </si>
  <si>
    <t>СОГЛАШ.КП общий с ЛО</t>
  </si>
  <si>
    <t>ЛО КП</t>
  </si>
  <si>
    <t>Итого по КЦС 2.4.0001.2101:</t>
  </si>
  <si>
    <t>Увеличение средств на приобретение учебных пособий в связи с увеличение потребности</t>
  </si>
  <si>
    <t>Уменьшение средств на приобретение расходных материалов и канцелярских товаров в связи с уменьшением потребности</t>
  </si>
  <si>
    <t>Аналитическая информация от 20.07.2023</t>
  </si>
  <si>
    <t>Изменение объема финансового обеспечения в связи с увеличением средств на услуги связи в связи с увеличением фактических расходов</t>
  </si>
  <si>
    <t>Изменение объема финансового обеспечения в связи с увеличением средств на услуги потребления холодной воды, водоотведения и услуги по обращению с твердыми коммунальными отходами в связи с увеличением фактических расходов</t>
  </si>
  <si>
    <t>Изменение объема финансового обеспечения в связи с увеличением средств на услуги потребления энергоснабжения и теплоснабжения в связи с увеличением фактических расходов</t>
  </si>
  <si>
    <t xml:space="preserve">Изменение объема финансового обеспечения в связи с увеличением средств на техническое обслуживание системы контроля и управления доступом, охранной сигнализации и системы автоматической-пожарной сигнализации и оповещения людей о пожаре в связи с увеличением фактических расходов </t>
  </si>
  <si>
    <t xml:space="preserve">Изменение объема финансового обеспечения в связи с увеличением средств на услуги частной охраны, по предрейсовому и послерейсовому осмотру водителя и обслуживание кнопки экстренного вызова наряда полиции в связи с увеличением фактических расходов </t>
  </si>
  <si>
    <t>Изменение объема финансового обеспечения в связи с необходимостью заключения договора на обязательное страхование гражданской ответственности образовательного учреждения, являющегося владельцем опасного объекта (лифта, подъемной платформы для инвалидов), за причинение вреда в результате аварии на опасном объекте</t>
  </si>
  <si>
    <t>Изменение объема финансового обеспечения в связи с увеличением средств на потребления горюче-смазочных материалов в связи с увеличение фактических расходов</t>
  </si>
  <si>
    <t>Лак по дереву</t>
  </si>
  <si>
    <t xml:space="preserve">Кисть </t>
  </si>
  <si>
    <t>Грунтовка по дереву</t>
  </si>
  <si>
    <t>2.37.1.15.20980.00000</t>
  </si>
  <si>
    <t>Кубки</t>
  </si>
  <si>
    <t>Грамоты</t>
  </si>
  <si>
    <t>2.5.0602.0000</t>
  </si>
  <si>
    <t>2.03.2.01.20700.00000</t>
  </si>
  <si>
    <t>Конкурс инициативных проектов Школьных спортивных клубов "Дружная семья - спортивная семья"</t>
  </si>
  <si>
    <t>снять</t>
  </si>
  <si>
    <t>Код вида финансового обеспечения:   5</t>
  </si>
  <si>
    <t>Аналитическая информация от 08.09.2023</t>
  </si>
  <si>
    <t>Увеличение средств на приобретение программного обеспечения (электронные учебники -ключ) в связи с необходимостью обеспечения бесперебойного образовательного процесса</t>
  </si>
  <si>
    <t>Уменьшение средств на приобретение учебников в бумажном варианте в связи с приобретением учебных пособий на  электронном носителе</t>
  </si>
  <si>
    <t xml:space="preserve"> к плану финансово-хозяйственной деятельности</t>
  </si>
  <si>
    <t>2023 год</t>
  </si>
  <si>
    <t>ВСЕГО на 2023 год</t>
  </si>
  <si>
    <t>2024 год</t>
  </si>
  <si>
    <t>Уменьшение средств на уплату налога на имущество в связи с измененияем налогооблагаемой базы и законодательства по налогам</t>
  </si>
  <si>
    <t>Увеличение средств на услуги по обслуживанию здания, охрану и прочие услуги в связи с увеличением тарифов в 2024 году</t>
  </si>
  <si>
    <t>Увеличение средств на услуги потребления холодной воды, водоснабжения, водопотребления и вывоза мусора в связи с увеличением обьемов и тарифов в 2024 году</t>
  </si>
  <si>
    <t>Увеличение средств на услуги потребления теплоснабжения, электрической энергии и горячей воды в связи с увеличением обьемов и тарифов в 2024 году</t>
  </si>
  <si>
    <t>ВСЕГО на 2024 год:</t>
  </si>
  <si>
    <t>Увеличение средств на услуги по обслуживанию здания, охрану и прочие услуги в связи с увеличением тарифов в 2025 году</t>
  </si>
  <si>
    <t>Увеличение средств на услуги потребления холодной воды, водоснабжения, водопотребления и вывоза мусора в связи с увеличением обьемов и тарифов в 2025 году</t>
  </si>
  <si>
    <t>Увеличение средств на услуги потребления теплоснабжения, электрической энергии и горячей воды в связи с увеличением обьемов и тарифов в 2025 году</t>
  </si>
  <si>
    <t>ВСЕГО на 2025 год:</t>
  </si>
  <si>
    <t>2025 год</t>
  </si>
  <si>
    <t>Аналитическая информация от 11.09.2023</t>
  </si>
  <si>
    <t>по МБОУ СОШ № 4</t>
  </si>
  <si>
    <t>Уменьшение средств на данные цели в связи с уменьшением фактических расходов за первое полугодие 2023 года</t>
  </si>
  <si>
    <t>Увеличение средств на приобретение учебного оборудования, учебных пособий для кабинета ОБЖ в связи с увеличением потребности</t>
  </si>
  <si>
    <t>Заместитель начальника ОЭС МКУ "УУиООУ"</t>
  </si>
  <si>
    <t>Аналитическая информация от 13.09.2023</t>
  </si>
  <si>
    <t>Аналитическая информация от 15.09.2023</t>
  </si>
  <si>
    <t>Средства на услуги по охране в общеобразовательных учреждениях сотрудниками ЧОП в связи с увеличением стоимости за час охраны</t>
  </si>
  <si>
    <t>Аналитическая информация от 28.09.2023</t>
  </si>
  <si>
    <t>Аналитическая информация от 03.10.2023</t>
  </si>
  <si>
    <t>Увеличение средств на приобретение учебного оборудования, учебных пособий для кабинета труда в связи с увеличением потребности</t>
  </si>
  <si>
    <t>Уменьшение средств на данные цели в связи с уменьшением фактических расходов</t>
  </si>
  <si>
    <t>Увеличение средств на данные цели в связи с увеличением фактических расходов</t>
  </si>
  <si>
    <t xml:space="preserve">Уменьшение средств на приобретение программного обеспечения "Касперский" по результатам торговых процедур на электроной площадке </t>
  </si>
  <si>
    <t xml:space="preserve">Уменьшение прочих доходов в связи с уменьшением оказания прочих услуг </t>
  </si>
  <si>
    <t>Обоснования (расчеты) расходов на оплату командировочных расходов в части суточных:</t>
  </si>
  <si>
    <t>Расходы на оплату командировочных расходов в части суточных</t>
  </si>
  <si>
    <t>Увеличение средств на командировочные расходы в связи с увеличением расходов на данные цели</t>
  </si>
  <si>
    <t>Количество дней/ билетов</t>
  </si>
  <si>
    <t>Средний размер выплаты на одного работника за ед., руб.</t>
  </si>
  <si>
    <t>Расходы на оплату предварительного медицинского осмотра работников и командировочных расходов в части оплаты проезда и проживания</t>
  </si>
  <si>
    <t>Увеличение средств на первичный медосмотр и командировочные расходы в связи с увеличением расходов на данные цели</t>
  </si>
  <si>
    <t>Увеличение средств на оплату страховых взносов с прохождения первичного медосмотра в связи с увеличением расходов на данные цели</t>
  </si>
  <si>
    <t>Уменьшение средств для уплаты административного штрафа,  в связи с оплатой в первые 15 дней после выставления штрафных санкций</t>
  </si>
  <si>
    <t>Уменьшение средств на услуги потребления холодного водоснабжения и водоотведения в связи с уменьшением фактических расходов</t>
  </si>
  <si>
    <t>Уменьшение средств на услуги по охране в общеобразовательных учреждениях сотрудниками ЧОП в связи с уменьшением фактических расходов</t>
  </si>
  <si>
    <t>Уменьшение средств на приобретение ГСМ в связи с уменьшением фактических расходов</t>
  </si>
  <si>
    <t>Уменьшение средств на услуги потребления горячего водоснабжения и электропотребления в связи с уменьшением фактических расходов</t>
  </si>
  <si>
    <t>Аналитическая информация от 12.10.2023</t>
  </si>
  <si>
    <t>Проведение фестиваля "Счастье в кубе и в квадрате"</t>
  </si>
  <si>
    <t xml:space="preserve">Суточные при нахождение в командировке </t>
  </si>
  <si>
    <t>Субсидии на иные цели</t>
  </si>
  <si>
    <t>Итого на Иные цели:</t>
  </si>
  <si>
    <t>07.09</t>
  </si>
  <si>
    <t xml:space="preserve"> 2.03.2.01.207000.000000</t>
  </si>
  <si>
    <t>Приобретение баннера на здание учереждения</t>
  </si>
  <si>
    <t>Уменьшение средств на приобретение баннера на мероприятие, однократного использования</t>
  </si>
  <si>
    <t>Страховые взносы с оплаты труда</t>
  </si>
  <si>
    <t>Уменьшение средств в связи с уменьшением фактических расходов</t>
  </si>
  <si>
    <t>Увеличение средств в связи с необходимостью приобретения сантехнического оборудование в пищеблок (ванна) по Предписанию</t>
  </si>
  <si>
    <t>Средства на приобретение спецодежды и обуви</t>
  </si>
  <si>
    <t>Средства на заключение договора ОСАГО</t>
  </si>
  <si>
    <t>Увеличение средств на услуги потребления холодного водоснабжения и водоотведения в связи с увеличением  фактических расходов</t>
  </si>
  <si>
    <t>Уменьшение средств на услуги потребления теплоснабжения в связи с уменьшением фактических расходов</t>
  </si>
  <si>
    <t>Аналитическая информация от 25.10.2023</t>
  </si>
  <si>
    <t>И.о. начальника ОЭС МКУ "УУиООУ"</t>
  </si>
  <si>
    <t>Д.В. Гофман</t>
  </si>
  <si>
    <t>Обоснования (расчеты) расходов на оплату приобретения мягкого инвентаря:</t>
  </si>
  <si>
    <t xml:space="preserve">Спецодежда </t>
  </si>
  <si>
    <t>Ванна котломоечная двухсекционная</t>
  </si>
  <si>
    <t>Аналитическая информация от 01.11.2023</t>
  </si>
  <si>
    <t>Увеличение средств в связи с увеличением потребности на данных расходы</t>
  </si>
  <si>
    <t>Аналитическая информация от 11.12.2023</t>
  </si>
  <si>
    <t>Увеличение средств в связи с увеличением расходов на услуги потребления энергоснабжения и теплоснабжения по причине увеличения фактических расходов</t>
  </si>
  <si>
    <t>Набор сверл</t>
  </si>
  <si>
    <t>Пилки лобзиковые</t>
  </si>
  <si>
    <t>Выжигательная игла</t>
  </si>
  <si>
    <t>Аналитическая информация от 20.12.2023г.</t>
  </si>
  <si>
    <t>КЦС</t>
  </si>
  <si>
    <t>КОСГУ/ Ан.группа</t>
  </si>
  <si>
    <r>
      <t>План, согласно действующего ПФХД, руб.</t>
    </r>
    <r>
      <rPr>
        <sz val="11"/>
        <color indexed="10"/>
        <rFont val="Times New Roman"/>
        <family val="1"/>
        <charset val="204"/>
      </rPr>
      <t xml:space="preserve"> </t>
    </r>
  </si>
  <si>
    <t>Расходы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</si>
  <si>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 xml:space="preserve"> 2.03.2.01.53030.000000</t>
  </si>
  <si>
    <t>Ежемесячного денежного вознаграждения за классное руководство педагогическим работникам муниципальных общеобразовательных организаций за счет бюджетных ассигнований, предусмотренных бюджету Ханты-Мансийского автономного округа - Югры из федерального бюджета</t>
  </si>
  <si>
    <t xml:space="preserve"> 2.03.2.ЕВ.51790.000000</t>
  </si>
  <si>
    <t>Выплата заработной платы и страховых взносов советнику директора по воспитанию и взаимодействию с детскими общественными объединениями в общеобразовательных организациях в рамках регионального проекта «Патриотическое воспитание граждан Российской Федерации»</t>
  </si>
  <si>
    <t>ВСЕГО на 2023 год:</t>
  </si>
  <si>
    <t xml:space="preserve"> к плану финансово-хозяйственной деятельности на 2024 год</t>
  </si>
  <si>
    <t xml:space="preserve"> к плану финансово-хозяйственной деятельности на 2025 год</t>
  </si>
  <si>
    <t>Заместитель начальника  ОЭС МКУ "УУиООУ"</t>
  </si>
  <si>
    <t>Изменение объема финансового обеспечения на 20.12.2023 год (Соглашение № 4-ПЕР/23 от 26.09.2023)</t>
  </si>
  <si>
    <t>Изменение объема финансового обеспечения на 20.12.2023 год (Соглашение № 20-2023-008038 от 30.05.2023)</t>
  </si>
  <si>
    <t>Изменение объема финансового обеспечения на 2023 год (исх.№388 от 11.12.2023)</t>
  </si>
  <si>
    <t xml:space="preserve">Увеличение доходов от оказания дополнительных образовательных и спортивно – оздоровительных услуг в 2023 году в связи с увеличением количества детей за учебный год; </t>
  </si>
  <si>
    <t>Увеличение средств на текущий ремонт здания по причине необходимости постройки КПП</t>
  </si>
  <si>
    <t>Увеличение средств на текущий ремонт здания по причине необходимости выполнения работ по прокладке кабелей для подключения Интернета</t>
  </si>
  <si>
    <t>Увеличение средств на прочие услуги по причине необходимости заключения договора на услуги по поключения Интернета</t>
  </si>
  <si>
    <t>Увеличение средств в связи с необходимостью приобретения запасных частей и материалов для подключения оборудование на Интерент</t>
  </si>
  <si>
    <t>Аналитическая информация от 22.12.2023г.</t>
  </si>
  <si>
    <t>Фонд заработной платы за период с января по август</t>
  </si>
  <si>
    <t xml:space="preserve">Единовременная выплата к отпуску </t>
  </si>
  <si>
    <t>Единовременная вылата к профессиональному празднику (2*10 000)</t>
  </si>
  <si>
    <t>Иные единовременные выплаты из фонда оплаты труда (5% от месяч-ного ФОТ)</t>
  </si>
  <si>
    <t>Расходы на увеличение ФОТ в связи с выплатами из расчета среднего заработка</t>
  </si>
  <si>
    <t>Премиальная выплата по результатам работы за год (до 1 ФОТ)</t>
  </si>
  <si>
    <t>на 2024 год (на текущий финансовый год)</t>
  </si>
  <si>
    <t>2.03.2.01.00590.000000</t>
  </si>
  <si>
    <t>+</t>
  </si>
  <si>
    <t>с 01.12.2023
по 31.12.2023</t>
  </si>
  <si>
    <t>с 01.01.2024
по 30.11.2024</t>
  </si>
  <si>
    <t>Сброс загрязняющих веществ в составе сточных вод 
по адресу ул.30 лет Победы, 39/1</t>
  </si>
  <si>
    <t>Сброс загрязняющих веществ в составе сточных вод 
по адресу ул.30 лет Победы, 39/2</t>
  </si>
  <si>
    <t>Сброс загрязняющих веществ в составе сточных вод на оба адреса</t>
  </si>
  <si>
    <t>Негативное воздействие на работу центральной системы водоотведения по адресу ул.30 лет Победы, 39/1</t>
  </si>
  <si>
    <t>Негативное воздействие на работу центральной системы водоотведения на оба адреса</t>
  </si>
  <si>
    <t>КЗ в т.ч.</t>
  </si>
  <si>
    <t xml:space="preserve">Оказание услуг по техническому обслуживанию системы охранной сигнализации (ОС) </t>
  </si>
  <si>
    <t>период с 19-00 ч 28.12.2023 года по 19-00 ч  30.11.2025 года (ежедневно)</t>
  </si>
  <si>
    <t xml:space="preserve">Организация горячего питания детей, посещающих лагерь с дневным пребыванием на базе образовательного учреждения (весна) </t>
  </si>
  <si>
    <t>Страхование детей от несчастных случаев в рамках мероприятий по организации оздоровительной кампании детей и подростков (весна)</t>
  </si>
  <si>
    <t>2.03.4.01.00590.000000</t>
  </si>
  <si>
    <t>Расходы в рамках мероприятий по организации оздоровительной кампании детей и подростков (лето)</t>
  </si>
  <si>
    <t>Средний раз-мер стоимости на одного работника, руб.</t>
  </si>
  <si>
    <t xml:space="preserve">Страховые взносы со стоимости зубопротезирования </t>
  </si>
  <si>
    <t>Услуги по приему платежей за декабрь 2023 года</t>
  </si>
  <si>
    <t>фхд</t>
  </si>
  <si>
    <t>2.5.1600.0000</t>
  </si>
  <si>
    <t>Проведение фестиваля "Минута славы: Счастье в кубе и в квадрате!"</t>
  </si>
  <si>
    <t>2.37.1.03.00590.00000</t>
  </si>
  <si>
    <t>Награждение: сертификат</t>
  </si>
  <si>
    <t>Обоснования (расчеты) расходов на прочие услуги</t>
  </si>
  <si>
    <t>Оформление зала (шаровая композиция)</t>
  </si>
  <si>
    <t xml:space="preserve">Код субсидии: </t>
  </si>
  <si>
    <t xml:space="preserve">Отраслевой код: </t>
  </si>
  <si>
    <t>3.4.1</t>
  </si>
  <si>
    <t>Материально-техническое оснащение медицинских кабинетов</t>
  </si>
  <si>
    <t xml:space="preserve">КС </t>
  </si>
  <si>
    <t>ОК</t>
  </si>
  <si>
    <t>заявка на ЭА</t>
  </si>
  <si>
    <t>пункт</t>
  </si>
  <si>
    <t>Расходы за счет средств, поступившие в рамках возмещения затрат учреждения (ФСС)</t>
  </si>
  <si>
    <t xml:space="preserve">0.00.0.00.00000.000000 </t>
  </si>
  <si>
    <t>Приобретение канцелярских, хозяйственных товаров, запасных частей, расходных материал и прочих материальных запасов</t>
  </si>
  <si>
    <t>Итого по ОК 2.22.0.60.00000.000000:</t>
  </si>
  <si>
    <t>Начальник  ОЭС МКУ "УУиООУ"</t>
  </si>
  <si>
    <t>по Муниципальное бюджетное общеобразовательное учреждение "Перспектива"</t>
  </si>
  <si>
    <t>Итого по КЦС 2.4.0001.0010:</t>
  </si>
  <si>
    <t>Итого по КЦС 2.4.0001.0101:</t>
  </si>
  <si>
    <t>Средства на выплату заработной платы</t>
  </si>
  <si>
    <t>Обоснования (расчеты) расходов на оплату хозяйственных товаров:</t>
  </si>
  <si>
    <t>Чистящие, моющие, дезинфицирующие средства</t>
  </si>
  <si>
    <t>Доходы от использования собственности (аренда)</t>
  </si>
  <si>
    <t>0.00.0.00.00000.000000 130 - Средства, поступившие в рамках возмещения затрат учреждения (ФСС)</t>
  </si>
  <si>
    <t>223,310</t>
  </si>
  <si>
    <t>Аналитическая информация от 19.01.2024г.</t>
  </si>
  <si>
    <t xml:space="preserve">Доходы от оказания дополнительных образовательных и спортивно – оздоровительных услуг в текущем учебном году. </t>
  </si>
  <si>
    <t xml:space="preserve">Средства на услуги потребления холодного водоснабжения и водоотведения </t>
  </si>
  <si>
    <t>Средств на услуги потребления теплоснабжения, энергоснабжение и горячей воды</t>
  </si>
  <si>
    <t>Средства на оплату за оказание охранных услуг (ЧОП)</t>
  </si>
  <si>
    <t xml:space="preserve"> к плану финансово-хозяйственной деятельности на 2026 год</t>
  </si>
  <si>
    <t>ВСЕГО на 2026 год:</t>
  </si>
  <si>
    <t>Компенсация расходов на зубопротезирование (Горшков В.Г.)</t>
  </si>
  <si>
    <t>Наличка</t>
  </si>
  <si>
    <t>на 2026 г</t>
  </si>
  <si>
    <t>Обоснования (расчеты) расходов на материально-техническое оснащение медицинских кабинетов</t>
  </si>
  <si>
    <t>Здание по адресу ул.30 лет Победы, 39/1 (ПАО "Ростелеком")</t>
  </si>
  <si>
    <t>Здание по адресу ул.30 лет Победы, 39/2 (ООО "Теле-Плюс")</t>
  </si>
  <si>
    <t>Обоснования (расчеты) расходов на приобретение стендов:</t>
  </si>
  <si>
    <t>Аналитическая информация от 07.03.2024г.</t>
  </si>
  <si>
    <t>Увеличение средств в связи с необходимостью приобретения образовательных стендов</t>
  </si>
  <si>
    <t xml:space="preserve">Уменьшение средств в связи с уменьшением потребности в наборах для творчества </t>
  </si>
  <si>
    <t>Аналитическая информация от 22.03.2024г.</t>
  </si>
  <si>
    <t>Субвенция на реализацию основных общеобразовательных программ в рамках подпрограммы «Общее и дополнительное образование в общеобразовательных учреждениях» 
муниципальной программы «Развитие образования города Сургута на период до 2030 года</t>
  </si>
  <si>
    <t>Приобретение горюче-смазочных материалов</t>
  </si>
  <si>
    <t>Услуги страхования</t>
  </si>
  <si>
    <t>Оказание услуг по техническому обслуживанию кнопки для маломобильных групп населения (МГН)</t>
  </si>
  <si>
    <t xml:space="preserve">Увеличение доходов от оказания дополнительных образовательных и спортивно – оздоровительных услуг в связи с увеличением количества детей за учебный год; </t>
  </si>
  <si>
    <t>Уменьшение средства на приобретение канцелярских и хозяйственных товаров, чистящих, моющих и дезинфицирующих средств в связи с отсутствием потребности</t>
  </si>
  <si>
    <t xml:space="preserve">Средства на изготовление паспорта доступности для инвалидов и маломобильных групп населения </t>
  </si>
  <si>
    <t>Увеличение средств в связи с необходимостью оказание услуг по техническому обслуживанию кнопки для маломобильных групп населения</t>
  </si>
  <si>
    <t>Уменьшение средства на приобретение ГСМ в связи с отсутствием потребности</t>
  </si>
  <si>
    <t>Уменьшение средства на услуги страхования в связи с отсутствием потребности</t>
  </si>
  <si>
    <t>Уменьшение средства на предрейсовый и послерейсовый осмотр водителейя в связи с отсутствием потребности</t>
  </si>
  <si>
    <t>Увеличение средств на услуги по санитарному содержанию зданий и территорий (в зимнее время) в связи с увеличением объемов работ</t>
  </si>
  <si>
    <t>Увеличение средств в связи с необходимостью изготовления паспорта доступности для инвалидов и маломобильных групп населения и участие в семинаре -практикуме "Обеспечение организации ситуационной помощи на объекте"</t>
  </si>
  <si>
    <t>Аналитическая информация от 08.04.2024г.</t>
  </si>
  <si>
    <t>Уменьшение средств на услуги потребления энергоснабжение в связи с уменьшением фактических расходов</t>
  </si>
  <si>
    <t xml:space="preserve">Увеличение средств в связи с необходимостью изготовления паспорта доступности для инвалидов и маломобильных групп населения </t>
  </si>
  <si>
    <t>Уменьшение средств на услуги потребления горячей воды в связи с уменьшением фактических расходов</t>
  </si>
  <si>
    <t>Стенды "Уголок безопасности школьника"</t>
  </si>
  <si>
    <t>Экономия по факту формирования заявки</t>
  </si>
  <si>
    <t xml:space="preserve">Стенд настенный </t>
  </si>
  <si>
    <t>Стенд напольный</t>
  </si>
  <si>
    <t>Пластилин</t>
  </si>
  <si>
    <t>Тесто для лепки</t>
  </si>
  <si>
    <t>Картон цветной</t>
  </si>
  <si>
    <t>упак</t>
  </si>
  <si>
    <t>Раскраска для девочек</t>
  </si>
  <si>
    <t>Раскраска для мальчиков</t>
  </si>
  <si>
    <t>Гуаш</t>
  </si>
  <si>
    <t>Карандаши цветные</t>
  </si>
  <si>
    <t xml:space="preserve">Мелки восковые </t>
  </si>
  <si>
    <t>Мел цветной</t>
  </si>
  <si>
    <t>Бумага ф.А-3</t>
  </si>
  <si>
    <t>Бумага ф.А-4</t>
  </si>
  <si>
    <t>Обоснования (расчеты) расходов на приобретение канцелярских товаров:</t>
  </si>
  <si>
    <t>Бумага  "Ballet Brilliant"</t>
  </si>
  <si>
    <t>Ручка шариковая BIC CRISTAL</t>
  </si>
  <si>
    <t>Мел белый</t>
  </si>
  <si>
    <t>Клей-карандаш "Erich Krause"</t>
  </si>
  <si>
    <t>Папка-файл "Bantex"</t>
  </si>
  <si>
    <t>Увеличение средств в связи с необходимостью проведение работы по переносу и перестройки кнопки вызова персонала для инвалидов (МГН)</t>
  </si>
  <si>
    <t>Оказание услуг по проведению обследования доступности объекта, оформлении паспорта доступности для инвалидов и МГН</t>
  </si>
  <si>
    <t xml:space="preserve"> 2.03.2.01.00590.000000</t>
  </si>
  <si>
    <t>Итого по КЦС 2.5.1900.0000:</t>
  </si>
  <si>
    <t>Изменение объема финансового обеспечения от 16.04.2024 № 35</t>
  </si>
  <si>
    <t>Расходы на оплату командировочных расходов в части проезда и проживания</t>
  </si>
  <si>
    <t>Увеличение средства на командировочные расходы в части оплаты суточных в связи с увеличением фактических расходов</t>
  </si>
  <si>
    <t>Увеличение средства на командировочные расходы в части оплаты проезда и проживания в связи с увеличением фактических расходов</t>
  </si>
  <si>
    <t>Уменьшение средств в связи с уменьшением расходов на услугу по проведению обследования доступности объекта, оформлении паспорта доступности для инвалидов и МГН по факту формирования договора</t>
  </si>
  <si>
    <t>Увеличение средства на приобретение химических реагентов для обработки воды в бассейне в связи с увеличением фактических расходов</t>
  </si>
  <si>
    <t>Аналитическая информация от 27.04.2024г.</t>
  </si>
  <si>
    <t>Войтович Т.И.</t>
  </si>
  <si>
    <t>Сумма к выплате</t>
  </si>
  <si>
    <t>ЕСН</t>
  </si>
  <si>
    <t>НДФЛ</t>
  </si>
  <si>
    <t>Аналитическая информация от 30.05.2024г.</t>
  </si>
  <si>
    <t>Приобретение учебников, ССИ, учебное оборудование</t>
  </si>
  <si>
    <t xml:space="preserve">Увеличение средств на приобретение учебного оборудования, современных средств информатизация и мебели в связи с увеличением потребности </t>
  </si>
  <si>
    <t xml:space="preserve">Увеличение средств на приобретение канцелярских товаров, творческих наборов, робототехники и учебных пособий (рабочих тетрадей) в связи с увеличением потребности </t>
  </si>
  <si>
    <t>Парты для среднего звена</t>
  </si>
  <si>
    <t xml:space="preserve">Стелажи </t>
  </si>
  <si>
    <t>надо добавка</t>
  </si>
  <si>
    <t>Средний раз-мер выплаты на одного ра-ботника в день (руб.)</t>
  </si>
  <si>
    <t>на 2024 год  (на текущий финансовый год)</t>
  </si>
  <si>
    <t>Единый тариф страховых взносов в Социальный фонд России, всего:</t>
  </si>
  <si>
    <t>-</t>
  </si>
  <si>
    <t xml:space="preserve">В том числе:
В пределах установленной единой предельной величины базы для исчисления страховых взносов </t>
  </si>
  <si>
    <t>Страховые взносы на обязательное социальное страхование от несчастных случаев на производстве и профессиональных заболеваний в Социальный фонд России, всего:</t>
  </si>
  <si>
    <t xml:space="preserve">В том числе:
Обязательное социальное страхование от несчастных случаев на производстве и профессиональных заболеваний </t>
  </si>
  <si>
    <t>Увеличение средств в связи с увеличением фактических расходов</t>
  </si>
  <si>
    <t>Сумма исчис-ленного налога, подлежащего уплате, руб.</t>
  </si>
  <si>
    <t>Услуги начальника лагеря 1 смены</t>
  </si>
  <si>
    <t>Услуги начальника лагеря 2 смены</t>
  </si>
  <si>
    <t>Бумага цветная</t>
  </si>
  <si>
    <t>Набор цветной бумаги</t>
  </si>
  <si>
    <t>Набор белого картона</t>
  </si>
  <si>
    <t>Стаканы</t>
  </si>
  <si>
    <t>Ведро</t>
  </si>
  <si>
    <t>Средний раз-мер выплаты на одного работ-ника, руб.</t>
  </si>
  <si>
    <t>Учебники печатные общеобразовательного назначения</t>
  </si>
  <si>
    <t xml:space="preserve">Текущий ремонт здания (учебных кабинетов) </t>
  </si>
  <si>
    <t xml:space="preserve">Реагент  Dinotec А для хлора (DPD) на 60 анализов, раствор 
</t>
  </si>
  <si>
    <t>Реагент  Dinotec B для хлора (DPD) на 60 анализов, раствор</t>
  </si>
  <si>
    <t>Реагент  Dinotec C для хлора (DPD) на 60 анализов, раствор</t>
  </si>
  <si>
    <t>Реагент  Dinotec для рН на 140 анализов, раствор</t>
  </si>
  <si>
    <t xml:space="preserve">Крахмал растворимый (чда) (порошок белого или кремоватого цвета, растворимый в кипящей воде). Упаковка банка 700 гр. </t>
  </si>
  <si>
    <t xml:space="preserve">Вода дистиллированная 30 л </t>
  </si>
  <si>
    <t>Жидкий хлор для бассейна</t>
  </si>
  <si>
    <t>Аналитическая информация от 17.06.2024г.</t>
  </si>
  <si>
    <t>Изменение объема финансового обеспечения на 17.06.2024 год (Соглашение № 4-ПЕР/24 от 14.02.2024)</t>
  </si>
  <si>
    <t>Заместитель директора МКУ "УУиООУ"</t>
  </si>
  <si>
    <t>Н.А. Еленская</t>
  </si>
  <si>
    <t>Расходы по возмещению расходов по содержанию и эксплуатации арендованного имущества</t>
  </si>
  <si>
    <t>2.12.9.10.00000.000000</t>
  </si>
  <si>
    <t>Доходы от средств на возмещение расходов по содержанию и эксплуатации арендованного имущества от арендаторов</t>
  </si>
  <si>
    <t>2.29.1.0000.0.00000000</t>
  </si>
  <si>
    <t>Итого по ОК 2.29.1.0000.0.00000000:</t>
  </si>
  <si>
    <t>Аналитическая информация от 28.06.2024г.</t>
  </si>
  <si>
    <t>Средств на услуги энергоснабжения</t>
  </si>
  <si>
    <t>И.о.начальника ОЭС МКУ "УУиООУ"</t>
  </si>
  <si>
    <t>Аналитическая информация от 02.07.2024г.</t>
  </si>
  <si>
    <t>Уменьшение средств по результатам эл.процедур на торговой площадке на заключение договора на текущий ремонт кнопки вызова персонала для инвалидов (МГН)</t>
  </si>
  <si>
    <t xml:space="preserve">Уменьшение средств по данному источнику в связи с перерегистрацией на другой вид финансового обеспечения части договора на услуги связи </t>
  </si>
  <si>
    <t>с 01.07.2024 
по 30.11.2024</t>
  </si>
  <si>
    <t>м3</t>
  </si>
  <si>
    <t>Санитарно-гигиеническое исследование одной пробы воды бассейна при хлорировании воды</t>
  </si>
  <si>
    <t>Микробиологическое исследование воды бассейна</t>
  </si>
  <si>
    <t>Микробиологическое исследование воды по этапам водоподготовки</t>
  </si>
  <si>
    <t>Вирусологическое исследование воды на антиген ротавирусов</t>
  </si>
  <si>
    <t>Паразитологическое исследование воды бассейна</t>
  </si>
  <si>
    <t>Микробиологическое исследование смывов на БГКП</t>
  </si>
  <si>
    <t>Смывы с поверхностей на яйца гельминтов</t>
  </si>
  <si>
    <t>Измерение микроклимата (1 точка-бассейн)</t>
  </si>
  <si>
    <t>Показатели световой среды (искусственное освещение) (1 точка-бассейн)</t>
  </si>
  <si>
    <t>Заключение по результатам лабораторных исследований</t>
  </si>
  <si>
    <t>Измерение микроклимата (1 точка-кабинеты корпус 1)</t>
  </si>
  <si>
    <t>Измерение микроклимата (1 точка-кабинеты корпус 2)</t>
  </si>
  <si>
    <t>Показатели световой среды (искусственное освещение) (1 точка-кабинеты корпус 1)</t>
  </si>
  <si>
    <t>Показатели световой среды (искусственное освещение) (1 точка-кабинеты корпус 2)</t>
  </si>
  <si>
    <t>Кратность обследования</t>
  </si>
  <si>
    <t>Кол-во услуг</t>
  </si>
  <si>
    <t>Стоимость 1 ед., руб.</t>
  </si>
  <si>
    <t>Ед.изм.</t>
  </si>
  <si>
    <t>30</t>
  </si>
  <si>
    <t>Стул ученический</t>
  </si>
  <si>
    <t>Стол ученический</t>
  </si>
  <si>
    <t>Учебные пособия общеобразовательного назначения</t>
  </si>
  <si>
    <t>2.12.9.10.00000.000000 130 - Возмещение расходов по содержанию и эксплуатации арендованного имущества</t>
  </si>
  <si>
    <t>223 (247)</t>
  </si>
  <si>
    <t>Уменьшение средств в связи с уменьшением расходов на услуги по проведению обследования доступности объекта, оформлении паспорта доступности для инвалидов и МГН и участие в семинаре -практикуме "Обеспечение организации ситуационной помощи на объекте" по факту формирования договора</t>
  </si>
  <si>
    <t xml:space="preserve">Уменьшение средств по данному источнику в связи с перерегистрацией на другой вид финансового обеспечения части договора на услуги охраны в общеобразовательных учреждениях сотрудниками ЧОП </t>
  </si>
  <si>
    <t>Квтч</t>
  </si>
  <si>
    <t>с 01.01.2024
по 30.06.2024</t>
  </si>
  <si>
    <t>с 01.07.2024
по 30.11.2024</t>
  </si>
  <si>
    <t>м2</t>
  </si>
  <si>
    <t>Увеличение средств на услуги потреблнгтя холодного водоснабжения,водоотведения и по обращению с твердыми коммунальными отходами в связи с увеличением фактических расходов</t>
  </si>
  <si>
    <t>Начисления на вознаграждение за оказанные услуги ((28 152,00*2)*30%)</t>
  </si>
  <si>
    <t>Гкалл</t>
  </si>
  <si>
    <t xml:space="preserve">Начисления на вознаграждение за оказанные услуги </t>
  </si>
  <si>
    <t>И.о.начальника ОЭС  МКУ "УУиООУ"</t>
  </si>
  <si>
    <t>Рахмонова М.Н</t>
  </si>
  <si>
    <t>Атаманова Н.В.</t>
  </si>
  <si>
    <t>Сумма обложения</t>
  </si>
  <si>
    <t>Герб ХМАО-Югры</t>
  </si>
  <si>
    <t>Герб г.Сургута</t>
  </si>
  <si>
    <t xml:space="preserve">Уменьшение средств на приобретение учебного оборудования для кабинета по ОБЖ в связи с приобретением расходных материалов </t>
  </si>
  <si>
    <t xml:space="preserve">Увеличение средств на приобретение расходных материалов для кабинета по ОБЖ в связи с фактическим уменьшением расходов на учебное обрудование </t>
  </si>
  <si>
    <t>Обоснования (расчеты) расходов на приобретение мебели для учебных кабинетов:</t>
  </si>
  <si>
    <t>Скрепки "Lamark"</t>
  </si>
  <si>
    <t>Папка-вкладыш  с перфорацией</t>
  </si>
  <si>
    <t>Маркер для белых стираемых досок</t>
  </si>
  <si>
    <t>Губка для чистки маркерных досок "Berlingo"</t>
  </si>
  <si>
    <t>Гуашь</t>
  </si>
  <si>
    <t>Папка-регистратор</t>
  </si>
  <si>
    <t>пач</t>
  </si>
  <si>
    <t>Обоснования (расчеты) расходов на приобретение канцелярских принадлежностей:</t>
  </si>
  <si>
    <t>Обоснования (расчеты) расходов на приобретение наборов для творчества:</t>
  </si>
  <si>
    <t>Наборы для творчества:</t>
  </si>
  <si>
    <t>Набор для творчества "Азбука декора"</t>
  </si>
  <si>
    <t>Набор для творчества "Своими руками"</t>
  </si>
  <si>
    <t>Налоги, пошлины,сборы</t>
  </si>
  <si>
    <t>Аналитическая информация от 15.07.2024г.</t>
  </si>
  <si>
    <t>3.2.1</t>
  </si>
  <si>
    <t>Овчарук В.А.</t>
  </si>
  <si>
    <t>НА УСЛУГИ НА 2 мес. НЕТ СРЕДСТВ</t>
  </si>
  <si>
    <t>июль+август</t>
  </si>
  <si>
    <t>Аналитическая информация от 19.07.2024г.</t>
  </si>
  <si>
    <t>8.5.1</t>
  </si>
  <si>
    <t>8.5.2</t>
  </si>
  <si>
    <t>Коммунальные услуги (услуги холодного водоснабжения)</t>
  </si>
  <si>
    <t>ИТОГО:</t>
  </si>
  <si>
    <t>Хайрушина Е.В.</t>
  </si>
  <si>
    <t>Зубко Н.В.</t>
  </si>
  <si>
    <t>Рахмонова М.Н.</t>
  </si>
  <si>
    <t>Безуглая Н.А.</t>
  </si>
  <si>
    <t>Организация горячего питания детей, посещающих лагерь с дневным пребыванием на базе образовательного учреждения (лето) 1 и 2 смена</t>
  </si>
  <si>
    <t>по Муниципальное бюджетное общеобразовательное учреждение школа "Перспектива"</t>
  </si>
  <si>
    <t>Обоснования (расчеты) расходов на приобретение основных средств</t>
  </si>
  <si>
    <t>Награждение: грамоты</t>
  </si>
  <si>
    <t>Награждение: фоторамки</t>
  </si>
  <si>
    <t xml:space="preserve"> 2.03.2.01.20700.000000</t>
  </si>
  <si>
    <t>Приобретения наградной продукции при проведение культурно-массового мероприятия (призы и подарки)</t>
  </si>
  <si>
    <t>Изменение объема финансового обеспечения от 13.08.2024 № 173</t>
  </si>
  <si>
    <t>2.4.7</t>
  </si>
  <si>
    <t>8.5.3</t>
  </si>
  <si>
    <t>8.3.1</t>
  </si>
  <si>
    <t xml:space="preserve">Услуги связи </t>
  </si>
  <si>
    <t>Уменьшение средств по данному источнику в связи с перерегистрацией на другой вид финансового обеспечения части договора на услуги связи</t>
  </si>
  <si>
    <t>Лабораторное исследование питьевых фонтанов</t>
  </si>
  <si>
    <t>Изготовление технического паспорта</t>
  </si>
  <si>
    <t xml:space="preserve">Уменьшение средств по данному источнику в связи с перерегистрацией на другой вид финансового обеспечения части договоров на потребления теплоснабжения,  электроснабжения и услуг горячего водоснабжения </t>
  </si>
  <si>
    <t>янв+фев+март+апр+май+июн+июл+авг</t>
  </si>
  <si>
    <t>Проведение квест-игры «Наш след на планете Земля»</t>
  </si>
  <si>
    <t>Зайцева С.В.</t>
  </si>
  <si>
    <t>Годнева О.С.</t>
  </si>
  <si>
    <t>Обоснования (расчеты) расходов на приобретение прочего оборудования:</t>
  </si>
  <si>
    <t>Аптечки универсальные для оказания первой медицинской помощи</t>
  </si>
  <si>
    <t>Аналитическая информация от 06.09.2024г.</t>
  </si>
  <si>
    <t>Муниципальное бюджетное общеобразовательное учреждение школа "Перспектива"</t>
  </si>
  <si>
    <t>Щербакова Т.Л.</t>
  </si>
  <si>
    <t>Аптечка для спортивных залов</t>
  </si>
  <si>
    <t>Обоснования (расчеты) расходов на Иные выплаты персоналу учреждений, за исключением фонда оплаты труда:</t>
  </si>
  <si>
    <t>Аналитическая информация от 16.09.2024г.</t>
  </si>
  <si>
    <t>Уменьшение средства на командировочные расходы в части оплаты проезда и проживания в связи с уменьшением фактических расходов</t>
  </si>
  <si>
    <t>Аналитическая информация от 18.09.2024г.</t>
  </si>
  <si>
    <t>Увеличение средств в связи с увеличением фактических расходов на потребление холодного водоснабжения, водоотведения, сбросы и негативку за август месяц</t>
  </si>
  <si>
    <t>Увеличение средств в связи с увеличением фактических расходов на услуги связи за август месяц</t>
  </si>
  <si>
    <t>Увеличение средств в связи с увеличением фактических расходов на техническое обслуживание оборудования ПАК "Стрелец -Мониторинг",  средств охраны на объектах (КТС), системы видеонаблюдения , системы автоматической-пожарной сигнализации и оповещения людей о пожаре (ОПС), системы контроля и управления доступом (СКУД), системы охранной сигнализации (ОС) и услуи дератизации, дезинсекции за август месяц</t>
  </si>
  <si>
    <t>Увеличение средств в связи с увеличением фактических расходов на услуги охраны в общеобразовательных учреждениях сотрудниками ЧОП и охраны объекта путем оперативного реагирования наряда полиции на сигнал тревожного оповещения  за август месяц</t>
  </si>
  <si>
    <t>Аналитическая информация от 19.09.2024г.</t>
  </si>
  <si>
    <t>2.5.0706.5302</t>
  </si>
  <si>
    <t xml:space="preserve"> 2.03.2.01.L0500.000000</t>
  </si>
  <si>
    <t>Изменение объема финансового обеспечения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</si>
  <si>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Итого по иным целям:</t>
  </si>
  <si>
    <t xml:space="preserve">Уменьшение средств в связи с отсутствием выплат </t>
  </si>
  <si>
    <t>Аналитическая информация от 07.10.2024г.</t>
  </si>
  <si>
    <t>Уменьшение средств на приобретение учебного оборудования для кабинета по ОБЖ в связи с приобретением аптечек</t>
  </si>
  <si>
    <t>Средства на приобретение аптечек на учебные комнаты для использования</t>
  </si>
  <si>
    <t>Увеличение стоимости лекарственных препаратов и материалов, применяемых в медицинских целях</t>
  </si>
  <si>
    <t>Обоснования (расчеты) расходов на приобретение медикаментов</t>
  </si>
  <si>
    <t>Аналитическая информация от 10.10.2024г.</t>
  </si>
  <si>
    <t>Уплата налога на имущество организаций и земельного налога</t>
  </si>
  <si>
    <t>Уплата прочих налогов, сборов (транспортный налог)</t>
  </si>
  <si>
    <t>01.10.2023-30.06.2024</t>
  </si>
  <si>
    <t>За период выплаты</t>
  </si>
  <si>
    <t>01.07.2024-31.08.2024</t>
  </si>
  <si>
    <t>Годовая ставка налога, %</t>
  </si>
  <si>
    <t>Уменьшение средств на выплату транспортного налога в связи сокращением ставки водителя и передачи транспортного средства в безвозмездное пользование другому учреждению</t>
  </si>
  <si>
    <t xml:space="preserve">Жидкий хлор для бассейна </t>
  </si>
  <si>
    <t xml:space="preserve">Жидкий коагулянт/флокулянт </t>
  </si>
  <si>
    <t xml:space="preserve">Aqualeon Альгицид пролонгированный </t>
  </si>
  <si>
    <t xml:space="preserve">Раствор Dinotec А </t>
  </si>
  <si>
    <t>Раствор Dinotec B</t>
  </si>
  <si>
    <t>Раствор Dinotec C</t>
  </si>
  <si>
    <t>Раствор Dinotec для рН</t>
  </si>
  <si>
    <t>Калибровочный раствор Rx220-S Steiel</t>
  </si>
  <si>
    <t>Калибровочный раствор рН7-S Steiel</t>
  </si>
  <si>
    <t>Жидкий pH минус (регулятор кислотности)</t>
  </si>
  <si>
    <t>Изменение объема финансового обеспечения от 08.10.2024 № 374</t>
  </si>
  <si>
    <t>Уменьшение средств по данному источнику в связи с перерегистрацией на другой вид финансового обеспечения части договора на техническое обслужиание оборудования</t>
  </si>
  <si>
    <t xml:space="preserve">Уменьшение средств по данному источнику в связи с перерегистрацией на другой вид финансового обеспечения части договора охраны сотрудниками ЧОП и объекта путем оперативного реагирования наряда полиции на сигнал тревожного оповещения </t>
  </si>
  <si>
    <t>Уменьшение средств в связи с применением регрессивной шкалой налогооблажения</t>
  </si>
  <si>
    <t>Уменьшение средств по данному источнику в связи с перерегистрацией на другой вид финансового обеспечения части договоров на потребления холодного водоснабжения, водоотведения, сбросы и негативку</t>
  </si>
  <si>
    <t>Аналитическая информация от 23.10.2024г.</t>
  </si>
  <si>
    <t>Средства на содержание работников, обеспечивающих присмотр и уход с учетом количества задействованных штатных единиц</t>
  </si>
  <si>
    <t xml:space="preserve">Уменьшение средств на услуги теплоснабжения и энергоснабжения по факту заключение договора  </t>
  </si>
  <si>
    <t xml:space="preserve">Уменьшение прочих доходов в связи с отсутствием прочих услуг </t>
  </si>
  <si>
    <t>Субсидия на финансовое обеспечение выполнения муниципального задания на оказание муниципальных услуг  КС 2.4.0001.0010 
ОК 2.03.2.01.00590.000000</t>
  </si>
  <si>
    <t>Субсидия на финансовое обеспечение выполнения муниципального задания на оказание муниципальных услуг  КС 2.4.0001.0000 
ОК 2.03.2.01.00590.000000</t>
  </si>
  <si>
    <t>Средств, полученных в результате оказания дополнительных образовательных и спортивно – оздоровительных услуг 
ОК 2.22.0.10.00000.000000</t>
  </si>
  <si>
    <t>Уменьшение средств по данному источнику в связи с перерегистрацией на другой вид финансового обеспечения части договоров на услуги связи</t>
  </si>
  <si>
    <t>Уменьшение средств по данному источнику в связи с перерегистрацией на другой вид финансового обеспечения части договоров на услуги по техническому обслуживанию систем и оборудования</t>
  </si>
  <si>
    <t xml:space="preserve">Увеличение средств в связи с необходимостью приобретениея чистящих, моющих и дезинфицирующих средств </t>
  </si>
  <si>
    <t>Увеличение средств на услуги по вывозу твердо-коммунальных отходов в связи с повышением тарифов</t>
  </si>
  <si>
    <t>Аналитическая информация от 13.11.2024г.</t>
  </si>
  <si>
    <t>Расходы на наградную продукцию</t>
  </si>
  <si>
    <t>Средства на приобретение сувенирной продукции: настольная игра для награждение участников на фестивале "Минута славы: Счастье в кубе и в квадрате!" которое состоится 23 ноября 2024 года</t>
  </si>
  <si>
    <t>Проведение конкурса «Юнармейский боевой листок"</t>
  </si>
  <si>
    <t>Увеличение стоимости материальных запасов однократного применения</t>
  </si>
  <si>
    <t>Увеличение средств на приобретение наградной продукции: настольная игра для награждение участников на фестивале "Минута славы: Счастье в кубе и в квадрате!" которое состоится 23 ноября 2024 года</t>
  </si>
  <si>
    <t>Уменьшение средств в связи с уточнением целей расходования (отмена услуги оформление зала) на проведение фестиваля "Минута славы: Счастье в кубе и в квадрате!" которое состоится 23 ноября 2024 года</t>
  </si>
  <si>
    <t>Уменьшение средств в связи с уточнением целей расходования (определение настольных игр с сувенирной на наградную) и приобретение шаровой композиции при проведение фестиваля "Минута славы: Счастье в кубе и в квадрате!" которое состоится 23 ноября 2024 года</t>
  </si>
  <si>
    <t>Обоснования (расчеты) расходов на приобретение наградной продукции</t>
  </si>
  <si>
    <t>Наградная продукция: настольная игра</t>
  </si>
  <si>
    <t>Шаровая композиция</t>
  </si>
  <si>
    <t>Награждение: настольная игра</t>
  </si>
  <si>
    <t>Аналитическая информация от 14.11.2024г.</t>
  </si>
  <si>
    <t xml:space="preserve">Увеличение стоимости основных средств </t>
  </si>
  <si>
    <t>Увеличение средств в связи с необходимостью приобретениея видеокамер взамен сломанных</t>
  </si>
  <si>
    <t>Уменьшение средств в связи с уменьшением ожидаемых расходов</t>
  </si>
  <si>
    <t>Увеличение средств в связи с увеличением потребности в учебном оборудование и учебно-наглядных пособий</t>
  </si>
  <si>
    <t>Увеличение средств в связи с увеличением потребности в расходных материалов для оснащения учебного процесса</t>
  </si>
  <si>
    <t xml:space="preserve">Альгицид </t>
  </si>
  <si>
    <t xml:space="preserve">Жидкий коагулянт </t>
  </si>
  <si>
    <t>Кальций гипохлорид</t>
  </si>
  <si>
    <t>Калибровочный раствор pH 4</t>
  </si>
  <si>
    <t>Калибровочный раствор pH 7</t>
  </si>
  <si>
    <t>Калибровочный раствор pH 9</t>
  </si>
  <si>
    <t>Кварцевый песок фр. 0,5-0,8, 0,7-1,2 мм по 25 кг.</t>
  </si>
  <si>
    <t>Крахмал растворимый кг.</t>
  </si>
  <si>
    <t>Очиститель ватерлинии 5л.</t>
  </si>
  <si>
    <t>Порошок РН минус, 45 кг.</t>
  </si>
  <si>
    <t>Тестер общая щелочность 500 шт.</t>
  </si>
  <si>
    <t>Тестер уровень хлора 100 шт.</t>
  </si>
  <si>
    <t>Хлор в гранулах (45 кг)</t>
  </si>
  <si>
    <t>на 2025 год (на текущий финансовый год)</t>
  </si>
  <si>
    <t>План финансово-хозяйственной деятельности на 2025г</t>
  </si>
  <si>
    <t>(и плановый период 2026 - 2027 гг.)</t>
  </si>
  <si>
    <t>2.03.4.02.00590.000000</t>
  </si>
  <si>
    <t xml:space="preserve">Фонд заработной платы </t>
  </si>
  <si>
    <t>Расходы на доплаты до МРОТ (с 01.01.2025 -  22 440 руб. с учетом РКиСН)</t>
  </si>
  <si>
    <t>Средний размер выплаты на одного работ-ника, руб.</t>
  </si>
  <si>
    <t>на 2025 год  (на текущий финансовый год)</t>
  </si>
  <si>
    <t>Уплата налога на имущество за IV квартал 2024 года</t>
  </si>
  <si>
    <t>Уплата налога на имущество за I-III квартал 2025 года</t>
  </si>
  <si>
    <t>2.03.4.02.84303.000000</t>
  </si>
  <si>
    <t>5. Обоснования (расчеты) прочих выплат (кроме выплат на закупку товаров, работ, услуг) (строка 2500):</t>
  </si>
  <si>
    <t>6. Обоснования (расчеты) расходов на закупку товаров, работ, услуг (строка 2600):</t>
  </si>
  <si>
    <t>Предоставление услуг Виртуальная АТС 
(облачная АТС, новая телефония)</t>
  </si>
  <si>
    <t>Услуги по вывозу твердо-коммунальных отходов</t>
  </si>
  <si>
    <t>с 01.12.2024
по 31.12.2024</t>
  </si>
  <si>
    <t>с 01.01.2025
по 30.06.2025</t>
  </si>
  <si>
    <t>с 01.07.2025 
по 30.11.2025</t>
  </si>
  <si>
    <t>2.2.2</t>
  </si>
  <si>
    <t>Обоснования (расчеты) расходов на оплату транспортных услуг:</t>
  </si>
  <si>
    <t>Цель оказания услуг легко-вого такси / грузового такси</t>
  </si>
  <si>
    <t>Количество поездок на такси в год</t>
  </si>
  <si>
    <t>Количество часов оказания услуг такси в год</t>
  </si>
  <si>
    <t>Цена одного часа оказания услуг такси, руб.</t>
  </si>
  <si>
    <t xml:space="preserve">Транспортные услуги </t>
  </si>
  <si>
    <t>хозяйственные нужды</t>
  </si>
  <si>
    <t>Количество часов ока-зания услуг такси за одну поездку, час</t>
  </si>
  <si>
    <t xml:space="preserve">Здание по адресу ул.30 лет Победы, 39/2 </t>
  </si>
  <si>
    <t>Техническое обслуживание оборудования 
ПАК "Стрелец -Мониторинг"</t>
  </si>
  <si>
    <t>Техническое обслуживание комплекса технических средств, обеспечивающего передачу сигнала об опасности на пульт центрального наблюдения (КТС)</t>
  </si>
  <si>
    <t>Техническое обслуживание системы видеонаблюдения 
по адресу ул.30 лет Победы, 39/1</t>
  </si>
  <si>
    <t>Техническое обслуживание системы видеонаблюдения 
по адресу ул.30 лет Победы, 39/2</t>
  </si>
  <si>
    <t>Техническое обслуживание системы автоматической-пожарной сигнализации и оповещения людей о пожаре (ОПС) 
по адресу ул.30 лет Победы, 39/1</t>
  </si>
  <si>
    <t>Техническое обслуживание системы автоматической-пожарной сигнализации и оповещения людей о пожаре (ОПС) 
по адресу ул.30 лет Победы, 39/2</t>
  </si>
  <si>
    <t>Техническое обслуживание лифтового оборудования и подъёмных платформ</t>
  </si>
  <si>
    <t>единиц</t>
  </si>
  <si>
    <t>Системы атомотического открывания ворот</t>
  </si>
  <si>
    <t>Всего</t>
  </si>
  <si>
    <t>Техническое обслуживание и текущий ремонт слаботочных систем по адресу ул.30 лет Победы, 39/1</t>
  </si>
  <si>
    <t>Техническое обслуживание и текущий ремонт слаботочных систем по адресу ул.30 лет Победы, 39/2</t>
  </si>
  <si>
    <t>Системы контроля доступа (калитка, переговорное устройство и кнопка вызова на калитке для инвалидов-калясочников)</t>
  </si>
  <si>
    <t>Обоснования (расчеты) расходов на услуги по поддержанию работоспособности отдельных объектов имущества</t>
  </si>
  <si>
    <t>Кол-во объектов, шт.</t>
  </si>
  <si>
    <t xml:space="preserve">Поддержание работоспособности отдельных объектов имущества (вывод должности "рабочий по комплексному обслуживанию и ремонту зданий" вид услуг передан на аутсорсинг) </t>
  </si>
  <si>
    <t>Стоимость ус-луги по поддер-жанию работос-тоспособности отдельных объектов иму-щества в месяц, руб.</t>
  </si>
  <si>
    <t xml:space="preserve">Обоснования (расчеты) расходов на услуги по огнезащитной обработке: </t>
  </si>
  <si>
    <t xml:space="preserve">Площадь, кв.м. </t>
  </si>
  <si>
    <t>Стоимость обработки за кв.м., руб.</t>
  </si>
  <si>
    <t>Проверка качества огнезащитной обработки деревянных, металических конструкций крыш</t>
  </si>
  <si>
    <t xml:space="preserve">период с 19-00 ч 01.12.2024 года по 19-00 ч  30.11.2025 года (24 часа в сутки) </t>
  </si>
  <si>
    <t>период с 19-00 ч 01.01.2025 года по 19-00 ч  30.11.2025 года (12 часов в сутки)</t>
  </si>
  <si>
    <t xml:space="preserve">Охрана в общеобразовательных учреждениях сотрудниками ЧОП  </t>
  </si>
  <si>
    <t>Охрана объекта путем оперативного реагирования наряда полиции на сигнал тревожного оповещения с 30.12.2024 по 31.12.2024</t>
  </si>
  <si>
    <t>Охрана объекта путем оперативного реагирования наряда полиции на сигнал тревожного оповещения с 01.01.2025 по 30.11.2025</t>
  </si>
  <si>
    <t>Периодический медицинский осмотр работников</t>
  </si>
  <si>
    <t>Мужчины до 40 лет</t>
  </si>
  <si>
    <t>Женщины до 40 лет</t>
  </si>
  <si>
    <t>Женщина после 40 лет</t>
  </si>
  <si>
    <t>Предварительный медицинский осмотр работников</t>
  </si>
  <si>
    <t>Профессиональная гигиеническая подготовка и аттестация должностных лиц и работников декретированных групп населения</t>
  </si>
  <si>
    <t>посещений</t>
  </si>
  <si>
    <t>Обучение по охране труда</t>
  </si>
  <si>
    <t>Обучение по программе электробезопасности</t>
  </si>
  <si>
    <t>Обучение по программе по пожарной безопасности</t>
  </si>
  <si>
    <t>Проведение специальной оценки условий труда</t>
  </si>
  <si>
    <t xml:space="preserve">Мужчины </t>
  </si>
  <si>
    <t xml:space="preserve">Женщины </t>
  </si>
  <si>
    <t xml:space="preserve">Страхование детей от несчастных случаев в рамках мероприятий по организации оздоровительной кампании детей и подростков (лето) 1 смена (01.06-26.06.2025) </t>
  </si>
  <si>
    <t xml:space="preserve">Страхование детей от несчастных случаев в рамках мероприятий по организации оздоровительной кампании детей и подростков (лето) 2 смена (01.08-24.08.2025) </t>
  </si>
  <si>
    <t>2.03.4.03.00590.000000</t>
  </si>
  <si>
    <t>2.03.4.03.S2050.000000</t>
  </si>
  <si>
    <t>2.03.4.03.82050.000000</t>
  </si>
  <si>
    <t xml:space="preserve">Папка-регистратор </t>
  </si>
  <si>
    <t>Скоросшиватель пластиковый с перфорацией</t>
  </si>
  <si>
    <t>Ручка гелевая с грипом</t>
  </si>
  <si>
    <t xml:space="preserve">Клейкая лента упаковочная </t>
  </si>
  <si>
    <t>Ножницы, прорезиненные ручки</t>
  </si>
  <si>
    <t>Бейдж горизонтальный (60х90 мм), с клипсой и булавкой</t>
  </si>
  <si>
    <t xml:space="preserve">Папки-файлы перфорированные </t>
  </si>
  <si>
    <t>Ручка шариковая масляная с грипом</t>
  </si>
  <si>
    <t xml:space="preserve">Набор текстовыделителей </t>
  </si>
  <si>
    <t>Корректирующая жидкость</t>
  </si>
  <si>
    <t xml:space="preserve">Корректирующая лента </t>
  </si>
  <si>
    <t xml:space="preserve">Закладки клейкие неоновые </t>
  </si>
  <si>
    <t>Блок самоклеящийся (стикеры)</t>
  </si>
  <si>
    <t>Пленки-заготовки для ламинирования А4, КОМПЛЕКТ 100 шт.</t>
  </si>
  <si>
    <t xml:space="preserve">Скобы для степлера </t>
  </si>
  <si>
    <t xml:space="preserve">Скрепки </t>
  </si>
  <si>
    <t>Этикетка самоклеящаяся 4</t>
  </si>
  <si>
    <t xml:space="preserve">Конверты С4 </t>
  </si>
  <si>
    <t xml:space="preserve">Конверт-пакеты </t>
  </si>
  <si>
    <t>Тетрадь 48 л. в клетку обложка кожзам</t>
  </si>
  <si>
    <t xml:space="preserve">Ватман формат А1 </t>
  </si>
  <si>
    <t>Блок для записей</t>
  </si>
  <si>
    <t xml:space="preserve">Краска штемпельная </t>
  </si>
  <si>
    <t>Обоснования (расчеты) расходов на приобретение хозяйственных товаров:</t>
  </si>
  <si>
    <t>Жидкое мыло для рук</t>
  </si>
  <si>
    <t xml:space="preserve">Полотно ХПП холстопрошивное </t>
  </si>
  <si>
    <t>ед.</t>
  </si>
  <si>
    <t>Чистящее средство Пемолюкс Антибактериальный</t>
  </si>
  <si>
    <t xml:space="preserve">Средство моющее универсальное </t>
  </si>
  <si>
    <t xml:space="preserve">Чистящее средство 1 л, DOMESTOS </t>
  </si>
  <si>
    <t>Дезинфицирующее средство "Део-Хлор"</t>
  </si>
  <si>
    <t>Перчатки хозяйственные резиновые</t>
  </si>
  <si>
    <t>пар</t>
  </si>
  <si>
    <t>Ведро-контейнер, с крышкой и педалью</t>
  </si>
  <si>
    <t>Обоснования (расчеты) расходов на приобретение ГСМ:</t>
  </si>
  <si>
    <t>Валенки обрезиненные</t>
  </si>
  <si>
    <t>пара</t>
  </si>
  <si>
    <t>Костюм рабочий х/б специализированный</t>
  </si>
  <si>
    <t>Перчатки комбинированные/с полимерным покрытием</t>
  </si>
  <si>
    <t xml:space="preserve">Сапоги резиновые </t>
  </si>
  <si>
    <t>Халат рабочий х/б</t>
  </si>
  <si>
    <t>Куртка утепленная</t>
  </si>
  <si>
    <t>Услуги энергоснабжения</t>
  </si>
  <si>
    <t xml:space="preserve">Программное обеспечение </t>
  </si>
  <si>
    <t>Художественная литература</t>
  </si>
  <si>
    <t>Мягкий модуль</t>
  </si>
  <si>
    <t>Обоснования (расчеты) расходов на приобретение учебно-наглядных средств:</t>
  </si>
  <si>
    <t>Учебно-наглядные средства по истории</t>
  </si>
  <si>
    <t>Демонстрационные пособия</t>
  </si>
  <si>
    <t>Учебное 3D оборудование</t>
  </si>
  <si>
    <t>Мобильный класс</t>
  </si>
  <si>
    <t>Стул компьютерный</t>
  </si>
  <si>
    <t>Интерактивные песочницы</t>
  </si>
  <si>
    <t>Электронное табло</t>
  </si>
  <si>
    <t>Светодиодный экран</t>
  </si>
  <si>
    <t>Система хранения</t>
  </si>
  <si>
    <t>Шторы</t>
  </si>
  <si>
    <t>Расходные материалы для кабинета технологии</t>
  </si>
  <si>
    <t>Папки</t>
  </si>
  <si>
    <t>Расходные материалы для кабинета труда</t>
  </si>
  <si>
    <t xml:space="preserve">Аттестат о среднем общем образовании с твердой обложкой к аттестату </t>
  </si>
  <si>
    <t xml:space="preserve">Приложение к аттестату о среднем общем образовании </t>
  </si>
  <si>
    <t>Свидетельство об обучении с твердой обложкой</t>
  </si>
  <si>
    <t>Похвальные листы</t>
  </si>
  <si>
    <t xml:space="preserve">Аттестата о среднем общем образовании с отличием сине-голубого цвета, 
c твердой обложкой </t>
  </si>
  <si>
    <t>2.5.1300.0000</t>
  </si>
  <si>
    <t>2.5.2200.5301</t>
  </si>
  <si>
    <t>2.5.2300.7217</t>
  </si>
  <si>
    <t>2.5.2100.0000</t>
  </si>
  <si>
    <t>2.5.2400.5302</t>
  </si>
  <si>
    <t>2.5.0313.0000</t>
  </si>
  <si>
    <t>Муниципальная программа «Развитие образования города Сургуте»</t>
  </si>
  <si>
    <t xml:space="preserve">Структурный элемент муниципальной программы муниципальный проект "Педагоги и наставники" </t>
  </si>
  <si>
    <t>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общего образования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</si>
  <si>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</si>
  <si>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Расходы на оплату услуг по модернизации, восстановлению работоспособности имеющейся системы пожарной сигнализации и оповещения людей о пожаре (обследование объекта, составление локального сметного расчета, приобретение оборудования, комплектующих, демонтаж, монтаж, выполнение пусконаладочных работ)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</si>
  <si>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</si>
  <si>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 xml:space="preserve">Структурный элемент муниципальной программы Комплекс процессных мероприятий "Организация предоставления общедоступного и бесплатного общего образования, дополнительного образования, воспитания" </t>
  </si>
  <si>
    <t>Расходы на оплату работ по проектированию, монтажу, приобретение, выполнение пусконаладочных работ системы оповещения и управления эвакуацией людей при совершении или угрозе совершения террористического акта, а так же его проявлений</t>
  </si>
  <si>
    <t>Расходы на приобретение оборудования для ремонта бассейна</t>
  </si>
  <si>
    <t>Реализация наказов избирателей депутатам Думы муниципального образования городской округ Сургут</t>
  </si>
  <si>
    <t>Расходы на приобретение и монтаж средств снижения скорости автотранспорта (искусственных дорожных неровностей)</t>
  </si>
  <si>
    <t>Проведение организационно-штатных, ликвидационных и реарганизационных мероприятий</t>
  </si>
  <si>
    <t>Ежемесячная выплата социальной поддержки педагогическим работникам муниципальных учреждений в виде возмещения расходов на оплату стоимости найма жилых помещений</t>
  </si>
  <si>
    <t>Муниципальная программа "Укрепление межнационального и межконфессионального согласия, профилактика экстремизма и терроризма"</t>
  </si>
  <si>
    <t>Структурный элемент муниципальной программы Комплекс процессных мероприятий "Укрепление единства российской нации, формирование общероссийской гражданской идентичности, этнокультурное развитие народов России, профилактика экстремизма и терроризма на территории муниципального образования"</t>
  </si>
  <si>
    <t>Реализация мероприятий муниципальной программы «Укрепление межнационального и межконфессионального согласия, профилактика экстремизма и терроризмаа»</t>
  </si>
  <si>
    <t xml:space="preserve">КВР: </t>
  </si>
  <si>
    <t xml:space="preserve">КОСГУ: </t>
  </si>
  <si>
    <t>2.03.1.Ю6.53030.000000</t>
  </si>
  <si>
    <t>Обоснования (расчеты) расходов на 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общего образования</t>
  </si>
  <si>
    <t>2.03.1.Ю6.51790.000000</t>
  </si>
  <si>
    <t>Обоснования (расчеты) расходов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</si>
  <si>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2.03.1.Ю6.50500.000000</t>
  </si>
  <si>
    <t>Обоснования (расчеты) расходов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</si>
  <si>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 xml:space="preserve">Фонд заработной платы в год </t>
  </si>
  <si>
    <t>Обоснования (расчеты)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(строка 2140):</t>
  </si>
  <si>
    <t>Обоснования (расчеты) страховых взносов, начисленных на выплаты по заработной плате:</t>
  </si>
  <si>
    <t>Размер базы для начисления стра-ховых взносов, руб.</t>
  </si>
  <si>
    <t>Обоснования (расчеты) расходов на оплату стоимости возмещение расходов на оплату стоимости найма жилых помещений:</t>
  </si>
  <si>
    <t>Количество работников, чел</t>
  </si>
  <si>
    <t xml:space="preserve">Норма на 1 чел. </t>
  </si>
  <si>
    <t xml:space="preserve">Количество выплат, мес. </t>
  </si>
  <si>
    <t>Работники, имеющие право на компенсацию стоимости возмещение расходов на оплату стоимости найма жилых помещений</t>
  </si>
  <si>
    <t>Наименование выплаты/ Должность работника подлежащего увольнению в связи с сокращением штата</t>
  </si>
  <si>
    <t>Численность работников, подлежащих увольнению в связи с сокращением штата, чел.</t>
  </si>
  <si>
    <t>Расходы на вып-лату среднего месячного зара-ботка на период трудоустрой-ства в месяц, руб.</t>
  </si>
  <si>
    <t>Период выплаты, мес.</t>
  </si>
  <si>
    <t>Выплата выходного пособия по сокращению сотрудника</t>
  </si>
  <si>
    <t>Вахтер</t>
  </si>
  <si>
    <t>Обоснования (расчеты) расходов на обследование объекта, составление локального сметного расчета</t>
  </si>
  <si>
    <t>Проектирование системы оповещения и управления эвакуацией людей на объекте по адресу улица 30 лет Победы, 39/1</t>
  </si>
  <si>
    <t>Проектирование системы оповещения и управления эвакуацией людей на объекте по адресу улица 30 лет Победы, 39/2</t>
  </si>
  <si>
    <t>Обоснования (расчеты) расходов на приобретение оборудования и обьектов</t>
  </si>
  <si>
    <t>Приобретение, монтаж, пусконаладочные работы системы оповещения и управления эвакуацией людей на объекте по адресу улица 30 лет Победы, 39/1</t>
  </si>
  <si>
    <t>Приобретение, монтаж, пусконаладочные работы системы оповещения и управления эвакуацией людей на объекте по адресу улица 30 лет Победы, 39/2</t>
  </si>
  <si>
    <t xml:space="preserve">Плантограф </t>
  </si>
  <si>
    <t>Термоконтейнер для транспортировки медицинских иммунобиологических препаратов</t>
  </si>
  <si>
    <t xml:space="preserve">Термометр </t>
  </si>
  <si>
    <t>2.37.4.02.00590.000000</t>
  </si>
  <si>
    <t xml:space="preserve">Перчатки медицинские </t>
  </si>
  <si>
    <t>Пресс волл (джокерная конструкция2*2м)</t>
  </si>
  <si>
    <t>Обоснования (расчеты) плановых показателей поступлений и выплат на 2025 год</t>
  </si>
  <si>
    <t>2.03.4.02.20700.000000</t>
  </si>
  <si>
    <t>Всероссийской военно-патриотической игры "Зарница 2.0"</t>
  </si>
  <si>
    <t>Награждение: диплом</t>
  </si>
  <si>
    <t>Награждение: кубок 1 место</t>
  </si>
  <si>
    <t>Питание во время нахождения в командировке</t>
  </si>
  <si>
    <t>Проезд по служебным разьездам в командировку</t>
  </si>
  <si>
    <t>Проживание во время нахождение в служебной командировки</t>
  </si>
  <si>
    <t>Средств, полученных в результате оказания доп.образовательных и спортивно – оздоровительных услуг ОК 2.22.0.10.00000.000000</t>
  </si>
  <si>
    <t>Средства, полученных от оказание прочих услуг ОК 2.29.0.90.00000.000000</t>
  </si>
  <si>
    <t xml:space="preserve">Лабораторные исследования бассейна </t>
  </si>
  <si>
    <t>Текущее обслуживание зданий</t>
  </si>
  <si>
    <t>Санитарно-эпидемиологические исследования (микроклимат помещений, исследования воды)</t>
  </si>
  <si>
    <t>Составление локально-сметного расчета</t>
  </si>
  <si>
    <t>Инвалидные коляски</t>
  </si>
  <si>
    <t>Средства за счет возмещения расходов по содержанию и эксплуатации арендованного имущества ОК 2.29.1.00.00000.000000</t>
  </si>
  <si>
    <t>0.00.0.00.00000.000000 130 - Прочие доходы от оказания прочих услуг</t>
  </si>
  <si>
    <t>Остаток средств на 01.01.2025 года</t>
  </si>
  <si>
    <t>Кондиционеры</t>
  </si>
  <si>
    <t xml:space="preserve">Обоснования (расчеты) плановых показателей поступлений и выплат на 2026 год </t>
  </si>
  <si>
    <t>Соглашения 2026</t>
  </si>
  <si>
    <t>Соглашения 2025</t>
  </si>
  <si>
    <t>Соглашения 2027</t>
  </si>
  <si>
    <t xml:space="preserve">Обоснования (расчеты) плановых показателей поступлений и выплат на 2027 год </t>
  </si>
  <si>
    <t>Соглашение,26</t>
  </si>
  <si>
    <t>на 2026 год (на текущий финансовый год)</t>
  </si>
  <si>
    <t>Соглашение,25</t>
  </si>
  <si>
    <t>на 2027 год (на текущий финансовый год)</t>
  </si>
  <si>
    <t>на 2027 год  (на текущий финансовый год)</t>
  </si>
  <si>
    <t>на 2026 год  (на текущий финансовый год)</t>
  </si>
  <si>
    <t>Соглашение,27</t>
  </si>
  <si>
    <t>Уплата налога на имущество за IV квартал 2025 года</t>
  </si>
  <si>
    <t>Уплата налога на имущество за I-III квартал 2026 года</t>
  </si>
  <si>
    <t>с 01.12.2025
по 31.12.2025</t>
  </si>
  <si>
    <t>с 01.01.2026
по 30.06.2026</t>
  </si>
  <si>
    <t xml:space="preserve">период с 19-00 ч 01.12.2025 года по 19-00 ч  30.11.2026 года (24 часа в сутки) </t>
  </si>
  <si>
    <t>период с 19-00 ч 01.01.2026 года по 19-00 ч  30.11.2026 года (12 часов в сутки)</t>
  </si>
  <si>
    <t>Охрана объекта путем оперативного реагирования наряда полиции на сигнал тревожного оповещения с 30.12.2025 по 31.12.2025</t>
  </si>
  <si>
    <t>Охрана объекта путем оперативного реагирования наряда полиции на сигнал тревожного оповещения с 01.01.2026 по 30.11.2026</t>
  </si>
  <si>
    <t>Уплата налога на имущество за IV квартал 2026 года</t>
  </si>
  <si>
    <t>Уплата налога на имущество за I-III квартал 2027 года</t>
  </si>
  <si>
    <t>с 01.12.2026
по 31.12.2026</t>
  </si>
  <si>
    <t>с 01.01.2027
по 30.06.2027</t>
  </si>
  <si>
    <t>Охрана объекта путем оперативного реагирования наряда полиции на сигнал тревожного оповещения с 01.01.2027 по 30.11.2027</t>
  </si>
  <si>
    <t>Охрана объекта путем оперативного реагирования наряда полиции на сигнал тревожного оповещения с 30.12.2026 по 31.12.2026</t>
  </si>
  <si>
    <t>период с 19-00 ч 01.01.2027 года по 19-00 ч  30.11.2027 года (12 часов в сутки)</t>
  </si>
  <si>
    <t xml:space="preserve">период с 19-00 ч 01.12.2026 года по 19-00 ч  30.11.2027 года (24 часа в сутки) </t>
  </si>
  <si>
    <t>2.03.4.02.00590.070001</t>
  </si>
  <si>
    <t xml:space="preserve">ПО </t>
  </si>
  <si>
    <t>на 2027 г</t>
  </si>
  <si>
    <t>1111</t>
  </si>
  <si>
    <t>1311</t>
  </si>
  <si>
    <t>1510</t>
  </si>
  <si>
    <t xml:space="preserve">      Увеличение стоимости основных средств</t>
  </si>
  <si>
    <t xml:space="preserve">         Увеличение остатков денежных средств за счет поступлений от участников закупки в качестве обеспечения заявок на участие в закупке, а также обеспечения исполнения контрактов (договоров)</t>
  </si>
  <si>
    <t xml:space="preserve">   На выплаты персоналу, всего</t>
  </si>
  <si>
    <t xml:space="preserve">      в том числе: оплата труда</t>
  </si>
  <si>
    <t xml:space="preserve">   Взносы по обязательному социальному страхованию на выплаты по оплате труда работников и иные выплаты работникам учреждений, всего</t>
  </si>
  <si>
    <t xml:space="preserve">      На выплаты по оплате труда</t>
  </si>
  <si>
    <t xml:space="preserve">      На иные выплаты работникам</t>
  </si>
  <si>
    <t xml:space="preserve">   Безвозмездные перечисления организациям и физическим лицам, всего</t>
  </si>
  <si>
    <t xml:space="preserve">   Прочие выплаты (кроме выплат на закупку товаров, работ и услуг)</t>
  </si>
  <si>
    <t xml:space="preserve">      Закупку научно-исследовательских, опытно-конструкторских и технологических работ</t>
  </si>
  <si>
    <t xml:space="preserve">      Закупку товаров, работ, услуг в целях капитального ремонта муниципального имущества</t>
  </si>
  <si>
    <t xml:space="preserve">      Прочую закупку товаров, работ и услуг</t>
  </si>
  <si>
    <t>347</t>
  </si>
  <si>
    <t xml:space="preserve">   Капитальные вложения в объекты муниципальной собственности, всего</t>
  </si>
  <si>
    <t xml:space="preserve">      Приобретение объектов недвижимого имущества муниципальными учреждениями</t>
  </si>
  <si>
    <t xml:space="preserve">      Строительство (реконструкция) объектов недвижимого имущества муниципальными учреждениями</t>
  </si>
  <si>
    <t xml:space="preserve">   Специальные расходы</t>
  </si>
  <si>
    <t xml:space="preserve">   Уменьшение остатков денежных средств за счет возврата обеспечения заявок на участие в закупке, а также возврата обеспечения исполнения контрактов (договоров)</t>
  </si>
  <si>
    <t xml:space="preserve"> по контрактам (договорам), заключенным до начала текущего финансового года без применения норм Федерального закона от 05.04.2013 N 44-ФЗ "О контрактной системе в сфере закупок товаров, работ, услуг для обеспечения государственных и муниципальных нужд" и Федерального закона от 18.07.2011 г. N 223-ФЗ "О закупках товаров, работ, услуг отдельными видами юридических лиц</t>
  </si>
  <si>
    <t>1.3.1</t>
  </si>
  <si>
    <t xml:space="preserve">  В соответствии с Федеральным законом № 44-ФЗ</t>
  </si>
  <si>
    <t>26310</t>
  </si>
  <si>
    <t>1.3.1.1</t>
  </si>
  <si>
    <t xml:space="preserve">   из них:</t>
  </si>
  <si>
    <t>26310.1</t>
  </si>
  <si>
    <t>0000000000</t>
  </si>
  <si>
    <t>1.3.1.2</t>
  </si>
  <si>
    <t>26310.2</t>
  </si>
  <si>
    <t>1.3.2</t>
  </si>
  <si>
    <t xml:space="preserve">  В соответствии с Федеральным законом № 223-ФЗ</t>
  </si>
  <si>
    <t>26320</t>
  </si>
  <si>
    <t>1.4.1</t>
  </si>
  <si>
    <t xml:space="preserve">  за счет субсидий, предоставляемых на финансовое обеспечение выполнения муниципального задания</t>
  </si>
  <si>
    <t>1.4.1.1</t>
  </si>
  <si>
    <t>1.4.1.2</t>
  </si>
  <si>
    <t>1.4.2</t>
  </si>
  <si>
    <t>1.4.2.1</t>
  </si>
  <si>
    <t>1.4.2.1.1</t>
  </si>
  <si>
    <t xml:space="preserve">    из них:</t>
  </si>
  <si>
    <t>26421.1</t>
  </si>
  <si>
    <t>1.4.2.2</t>
  </si>
  <si>
    <t>1.4.3</t>
  </si>
  <si>
    <t>1.4.3.1</t>
  </si>
  <si>
    <t>26430.1</t>
  </si>
  <si>
    <t>1.4.3.2</t>
  </si>
  <si>
    <t>26430.2</t>
  </si>
  <si>
    <t>1.4.4</t>
  </si>
  <si>
    <t>1.4.4.1</t>
  </si>
  <si>
    <t>26441</t>
  </si>
  <si>
    <t>1.4.4.2</t>
  </si>
  <si>
    <t>26442</t>
  </si>
  <si>
    <t>1.4.5</t>
  </si>
  <si>
    <t>1.4.5.1</t>
  </si>
  <si>
    <t>1.4.5.1.1</t>
  </si>
  <si>
    <t>26451.1</t>
  </si>
  <si>
    <t>1.4.5.1.2</t>
  </si>
  <si>
    <t>26451.2</t>
  </si>
  <si>
    <t>1.4.5.2</t>
  </si>
  <si>
    <t>2026</t>
  </si>
  <si>
    <t>2027</t>
  </si>
  <si>
    <t>Муниципальная программа "Развитие образования города Сургута"</t>
  </si>
  <si>
    <t>Субсидия на финансовое обеспечение выполнения муниципального задания на оказание муниципальных услуг (выполнения работ) - Местный бюджет</t>
  </si>
  <si>
    <t>Субсидия на финансовое обеспечение выполнения муниципального задания на оказание муниципальных услуг (выполнения работ) - Субсидия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</si>
  <si>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Субсидия на финансовое обеспечение выполнения муниципального задания на оказание муниципальных услуг (выполнения работ) -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Ханты-Мансийского автономного округа – Югры отдельных государственных полномочий в области образования</t>
  </si>
  <si>
    <t>согл</t>
  </si>
  <si>
    <t xml:space="preserve">Охрана в общеобразовательных учреждениях сотрудниками ЧОП </t>
  </si>
  <si>
    <t>Субсидия на финансовое обеспечение выполнения муниципального задания на оказание муниципальных услуг  КС 2.4.0001.0000 
ОК 2.03.4.02.00590.000000</t>
  </si>
  <si>
    <t>Субсидия на финансовое обеспечение выполнения муниципального задания на оказание муниципальных услуг  КС 2.4.0001.0010 
ОК 2.03.4.02.00590.000000</t>
  </si>
  <si>
    <t>Муниципальное бюджетное общеобразовательное учреждение 
школа "Перспектива"</t>
  </si>
  <si>
    <t>Субвенция на реализацию основных общеобразовательных программ в рамках подпрограммы «Общее и дополнительное образование в общеобразовательных учреждениях» 
муниципальной программы «Развитие образования города Сургута» - остаток средств</t>
  </si>
  <si>
    <t>Аналитическая информация от 17.01.2025г.</t>
  </si>
  <si>
    <t>Уменьшение средства на оплату услуг охраны в общеобразовательных учреждениях в связи с оплатой с других источников средств</t>
  </si>
  <si>
    <t>Субсидия на финансовое обеспечение выполнения муниципального задания на оказание муниципальных услуг (выполнения работ) - остаток средств местного бюджета</t>
  </si>
  <si>
    <t xml:space="preserve">Средства на оплату услуг охраны в общеобразовательных учреждениях </t>
  </si>
  <si>
    <t>Увеличение средств в связи с увеличением ожидаемых расходов</t>
  </si>
  <si>
    <t xml:space="preserve">Увеличение доходов от оказания дополнительных образовательных и познавательно-развлекательных услуг в связи с переносом остатков прошлых лет; </t>
  </si>
  <si>
    <t>0.00.0.00.00000.000000 140 - Суммы принудительного изъятия (штрафы, пени и другие поступления от контрагенты за нарушения договорных обязательств)</t>
  </si>
  <si>
    <t>223,225</t>
  </si>
  <si>
    <t>Выполнение работ по установке системы контроля доступа на калитки</t>
  </si>
  <si>
    <t>Информационные стенды</t>
  </si>
  <si>
    <t>Увеличение средств в связи с необходимостью выполнение работ по установке системы контроля доступа на калитки</t>
  </si>
  <si>
    <t xml:space="preserve">Расходы за счет прочих доходов </t>
  </si>
  <si>
    <t>Суммы принудительного изъятия</t>
  </si>
  <si>
    <t>Итого по ОК 2.22.0.70.00000.000000</t>
  </si>
  <si>
    <t>Расходы за счет грантов в форме субсидий</t>
  </si>
  <si>
    <t>Гранты в форме субсидий</t>
  </si>
  <si>
    <t>2.12.2.07.00000.000000</t>
  </si>
  <si>
    <t xml:space="preserve">Штрафы, пени и другие поступления от контрагентов за нарушения договорных обязательств поставщиками в связи с переносом остатков прошлых лет; </t>
  </si>
  <si>
    <t xml:space="preserve">Поступление грантов в форме субсидий в связи с переносом остатков прошлых лет; </t>
  </si>
  <si>
    <t>Средства на приобретение информационных стендов</t>
  </si>
  <si>
    <t>Увеличение средства на оплату услуги теплоснабжения в связи с увеличением ожидаемых расходов</t>
  </si>
  <si>
    <t>Организация горячего питания детей, посещающих лагерь с дневным пребыванием на базе образовательного учреждения (весна) экономия</t>
  </si>
  <si>
    <t>Брус</t>
  </si>
  <si>
    <t>Доска</t>
  </si>
  <si>
    <t>Фигурные резцы Gigant 12шт GBS-12</t>
  </si>
  <si>
    <t>Набор комбинированных трещоточных ключей с подвижной головкой JTC 8-17 мм 9 предметов 1/15-3448</t>
  </si>
  <si>
    <t>Ножовка по дереву 500 мм (3D-заточка, каленая, мелкий зуб)</t>
  </si>
  <si>
    <t>Ножовка с обушком</t>
  </si>
  <si>
    <t>Набор линеек металлических</t>
  </si>
  <si>
    <t>Набор угольников поверочных слесарных</t>
  </si>
  <si>
    <t>Набор отверток c 3-х компонентной ручкой 10 предметов Дело Техники 728100</t>
  </si>
  <si>
    <t>Вертикальная фрезерная машина Bosch POF 1200 AE 0.603.26A.100</t>
  </si>
  <si>
    <t>Набор надфилей с алмазным напылением 5 предметов ЗУБР 33386-140-H5</t>
  </si>
  <si>
    <t>Набор стамесок-долот STAYER Hercules 4 шт.</t>
  </si>
  <si>
    <t>Коврик диэлектрический 75х75 см Gigant G-762</t>
  </si>
  <si>
    <t>Подставка для ног Стамм рельефная поверхность</t>
  </si>
  <si>
    <t>Набор твердосплавных фрез по дереву 12 шт</t>
  </si>
  <si>
    <t>Разводной ключ Mundial Cr-V, с пластиковой рукояткой, 250 мм</t>
  </si>
  <si>
    <t>Фрезерный учебный станок с ЧПУ DiSyS RDS-F. 2.2 кВт</t>
  </si>
  <si>
    <t>Токарный ЧПУ станок DISYS «RDS-T»</t>
  </si>
  <si>
    <t>Набор сверл по металлу HSS (10 шт; 1-10 мм; шаг 1 мм) Gigant G-11123</t>
  </si>
  <si>
    <t>Набор сверл спиральных по дереву M-type Profesional</t>
  </si>
  <si>
    <t>3D принтер Original Prusa i3 MK3S</t>
  </si>
  <si>
    <t xml:space="preserve">Системный блок  </t>
  </si>
  <si>
    <t>Общевойсковой защитный комплект ОЗК</t>
  </si>
  <si>
    <t>Легкий защитный костюм Л-1</t>
  </si>
  <si>
    <t>Макет ручной противопехотной оборонительной ударно-дистанционной гранаты РГО (индекс ГРАУ-7Г22)</t>
  </si>
  <si>
    <t>Макет наступательной противопехотной осколочной ручной гранаты ударно-дистанционного действия РГН (индекс ГРАУ-7Г21)</t>
  </si>
  <si>
    <t>Салфетки марлевые медицинские стерильные, упаковка</t>
  </si>
  <si>
    <t>Бинт марлевый медицинский нестерильный</t>
  </si>
  <si>
    <t>Аптечка (комплект индивидуальный медицинский гражданской защиты для оказания первой помощи)</t>
  </si>
  <si>
    <t>Котелок солдатский.</t>
  </si>
  <si>
    <t>Круг спасательный эластичный.</t>
  </si>
  <si>
    <t>Кушетка медицинская.</t>
  </si>
  <si>
    <t>Макет массогабаритный (ММГ) 5,45-мм пулемета Калашникова (РПК 74) и (или) (РПК 16).</t>
  </si>
  <si>
    <t>Лямка медицинская носилочная</t>
  </si>
  <si>
    <t>Палатка</t>
  </si>
  <si>
    <t>Устройство для проведения искусственного дыхания пленочного типа для отработки навыков искусственного дыхания на манекене-тренажере при проведении сердечно-легочной реанимации. 100 шт</t>
  </si>
  <si>
    <t>Табурет рабочий (винтовой механизм регулировки высоты сиденья)</t>
  </si>
  <si>
    <t>Стол обеденный с гигиеническим покрытием</t>
  </si>
  <si>
    <t>Электроплита с духовкой</t>
  </si>
  <si>
    <t>Вытяжка</t>
  </si>
  <si>
    <t>Доска гладильная</t>
  </si>
  <si>
    <t>Ножницы универсальные (швейные)</t>
  </si>
  <si>
    <t>Диэлектрический коврик</t>
  </si>
  <si>
    <t>Ножницы Зигзаг</t>
  </si>
  <si>
    <t>Ножницы закройные</t>
  </si>
  <si>
    <t>Утюг с пароувлажнителем</t>
  </si>
  <si>
    <t>Чайник электрический</t>
  </si>
  <si>
    <t>Весы настольные электронные кухонные</t>
  </si>
  <si>
    <t>Обоснования (расчеты) расходов на приобретение учебного оборудования для кабинетов технологии:</t>
  </si>
  <si>
    <t>Обоснования (расчеты) расходов на приобретение учебного оборудования для кабинетов труда:</t>
  </si>
  <si>
    <t>Обоснования (расчеты) расходов на приобретение расходных материалов для кабинета труда и технологии:</t>
  </si>
  <si>
    <t>Лист алюминия</t>
  </si>
  <si>
    <t>Пруток алюминевый</t>
  </si>
  <si>
    <t>Полотна для ручного лобзика</t>
  </si>
  <si>
    <t>Пластик PLA</t>
  </si>
  <si>
    <t>Расходные материалы для кабинета технологии и труда:</t>
  </si>
  <si>
    <t>Обоснования (расчеты) расходов на приобретение расходных материалов для кабинета ОБиЗР:</t>
  </si>
  <si>
    <t>Расходные материалы для кабинета ОБиЗР:</t>
  </si>
  <si>
    <t>Жгут-турникет кровоостанавливающий</t>
  </si>
  <si>
    <t>Расходный материал для манекенов-тренажеров для проведения сердечно-легочной реанимации</t>
  </si>
  <si>
    <t>Учебное оборудование для кабинетов технологии:</t>
  </si>
  <si>
    <t>Учебное оборудование для кабинетов труда:</t>
  </si>
  <si>
    <t>Обоснования (расчеты) расходов оплату программного обеспечения</t>
  </si>
  <si>
    <t>Программное обеспечение для уроков ОБиЗР "Компас-3" v22</t>
  </si>
  <si>
    <t>Учебное оборудование для кабинетов ОБиЗР:</t>
  </si>
  <si>
    <t>Радиостанции</t>
  </si>
  <si>
    <t>Спасательный жилет</t>
  </si>
  <si>
    <t>Саперные лопатки</t>
  </si>
  <si>
    <t>Газоанализатор кислорода и токсичных газов с цифровой индикацией показателей</t>
  </si>
  <si>
    <t>Круг спасательный эластичный</t>
  </si>
  <si>
    <t>Кушетка медицинская</t>
  </si>
  <si>
    <t>Мини-экспресс-лаборатории радиационно-химической разведки</t>
  </si>
  <si>
    <t>Тент от дождя</t>
  </si>
  <si>
    <t>Трос для спасения утопающего</t>
  </si>
  <si>
    <t>Фляжка солдатская</t>
  </si>
  <si>
    <t>Сейф оружейный</t>
  </si>
  <si>
    <t>Расходные материалы для кабинета ОБиЗР</t>
  </si>
  <si>
    <t>Картириджы для робототехники</t>
  </si>
  <si>
    <t>Обоснования (расчеты) расходов на приобретение учебного оборудования для робототехники:</t>
  </si>
  <si>
    <t>Комплект дрон-конструктор, учебно-методических материалы по беспилотным летательным аппаратам для ученика, учебно-методических материалов по беспилотным летательным аппаратам для педагога</t>
  </si>
  <si>
    <t>Учебное оборудование для уроков робототехники:</t>
  </si>
  <si>
    <t>Прописи</t>
  </si>
  <si>
    <t>Контурные карты</t>
  </si>
  <si>
    <t>Субвенция на реализацию основных общеобразовательных программ в рамках подпрограммы «Общее и дополнительное образование в общеобразовательных учреждениях» 
муниципальной программы «Развитие образования города Сургута"</t>
  </si>
  <si>
    <t xml:space="preserve">Уменьшение средств на приобретение учебного оборудования, современных средств информатизация и мебели в связи с уменьшением потребности </t>
  </si>
  <si>
    <t>Остаток средств субсидии на ежемесячное денежное вознаграждение советников директора по воспитанию и взаимодействию с детскими общественными объединениями в общеобразовательных организациях</t>
  </si>
  <si>
    <t>Возврат дебиторской задолженности субсидии на иные цели в доход бюджета средств субсидии на ежемесячное денежное вознаграждение советников директора по воспитанию и взаимодействию с детскими общественными объединениями в общеобразовательных организациях</t>
  </si>
  <si>
    <t>Доходны средств субсидии на иные цели</t>
  </si>
  <si>
    <t>0.0.0</t>
  </si>
  <si>
    <t>5.1.0</t>
  </si>
  <si>
    <t>Остаток средств субсидии на иные цели</t>
  </si>
  <si>
    <t>6.1.0</t>
  </si>
  <si>
    <t>Возврат дебиторской задолженности субсидии на иные цели в доход бюджета</t>
  </si>
  <si>
    <t>Всего доходны средств на иные цели</t>
  </si>
  <si>
    <t xml:space="preserve">Комплекс процессных мероприятий "Организация предоставления общедоступного и бесплатного общего образования, дополнительного образования, воспитания" </t>
  </si>
  <si>
    <t xml:space="preserve">Комплекс процессных мероприятий "Организация и обеспечение отдыха и ооздоровления детей" </t>
  </si>
  <si>
    <t xml:space="preserve">Муниципальный проект "Педагоги и наставники" </t>
  </si>
  <si>
    <t>Комплекс процессных мероприятий "Укрепление единства российской нации, формирование общероссийской гражданской идентичности, этнокультурное развитие народов России, профилактика экстремизма и терроризма на территории муниципального образования"</t>
  </si>
  <si>
    <t>Аналитическая информация от 05.02.2025г.</t>
  </si>
  <si>
    <t>Курсы повышения квалификации педагогических работников</t>
  </si>
  <si>
    <t>Увеличение средств на приобретение программного обеспечения на учебные программы для установки на современные средства информатизации и курсы повышения квалификации пед.работников</t>
  </si>
  <si>
    <t>Отраслевой код: 0.00.0.00.00000.000000 150</t>
  </si>
  <si>
    <t>ЭП № 1</t>
  </si>
  <si>
    <t>Группа полей: План ФХД</t>
  </si>
  <si>
    <t>Подписано в: 07.02.2025 15:22</t>
  </si>
  <si>
    <t>Пользователь: kudasheva_la</t>
  </si>
  <si>
    <t>ФИО пользователя: Кудашева Лариса Александровна</t>
  </si>
  <si>
    <t>ЭЦП-роль: ЭП - Исполнитель Учреждения/ЦБ</t>
  </si>
  <si>
    <t>Организация: МКУ "УУиООУ"</t>
  </si>
  <si>
    <t xml:space="preserve">Проверено в: </t>
  </si>
  <si>
    <t>Результат проверки: подпись верна</t>
  </si>
  <si>
    <t>МЧД:</t>
  </si>
  <si>
    <t>Сертификат:</t>
  </si>
  <si>
    <t>Серийный номер сертификата: 008274CCDCB1AE29FDA0A2B478A4466D98</t>
  </si>
  <si>
    <t>Поставщик сертификата: Федеральное казначейство</t>
  </si>
  <si>
    <t>Субъект сертификата: Кудашева Лариса Александровна</t>
  </si>
  <si>
    <t>ФИО владельца сертификата: Кудашева Лариса Александровна</t>
  </si>
  <si>
    <t>Действителен с: 07.11.2024 03:51</t>
  </si>
  <si>
    <t>Действителен по: 31.01.2026 03:51</t>
  </si>
  <si>
    <t>ЭП № 2</t>
  </si>
  <si>
    <t>Подписано в: 11.02.2025 17:06</t>
  </si>
  <si>
    <t>Пользователь: zamyatina_ip</t>
  </si>
  <si>
    <t>ФИО пользователя: Замятина Ирина Павловна</t>
  </si>
  <si>
    <t>ЭЦП-роль: ЭП - Уполномоченное лицо/Куратор</t>
  </si>
  <si>
    <t>Организация: департамент образования Администрации города</t>
  </si>
  <si>
    <t>Серийный номер сертификата: 0CAB47B1E6F57A314FF57F8C81E0DCFB</t>
  </si>
  <si>
    <t>Субъект сертификата: Замятина Ирина Павловна</t>
  </si>
  <si>
    <t>ФИО владельца сертификата: Замятина Ирина Павловна</t>
  </si>
  <si>
    <t>Действителен с: 16.12.2024 03:51</t>
  </si>
  <si>
    <t>Действителен по: 11.03.2026 03:51</t>
  </si>
  <si>
    <t>ЭП № 3</t>
  </si>
  <si>
    <t>Подписано в: 12.02.2025 09:36</t>
  </si>
  <si>
    <t>Пользователь: zapolskaya_el</t>
  </si>
  <si>
    <t>ФИО пользователя: Запольская Елена Леонидовна</t>
  </si>
  <si>
    <t>ЭЦП-роль: ЭП - Первая подпись (Руководитель учреждения)</t>
  </si>
  <si>
    <t>Организация: МБОУ "ПЕРСПЕКТИВА"</t>
  </si>
  <si>
    <t>Серийный номер сертификата: 008D269C97CC28A06EBBFFBF24D9B03B6B</t>
  </si>
  <si>
    <t>Поставщик сертификата: Казначейство России</t>
  </si>
  <si>
    <t>Субъект сертификата: Запольская Елена Леонидовна</t>
  </si>
  <si>
    <t>ФИО владельца сертификата: Запольская Елена Леонидовна</t>
  </si>
  <si>
    <t>Действителен с: 08.12.2023 06:48</t>
  </si>
  <si>
    <t>Действителен по: 02.03.2025 06:48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</si>
</sst>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  <numFmt numFmtId="167" formatCode="#,##0.00_ ;[Red]\-#,##0.00\ "/>
    <numFmt numFmtId="168" formatCode="_(&quot;$&quot;* #,##0.00_);_(&quot;$&quot;* \(#,##0.00\);_(&quot;$&quot;* &quot;-&quot;??_);_(@_)"/>
    <numFmt numFmtId="169" formatCode="#,##0_ ;[Red]\-#,##0\ "/>
    <numFmt numFmtId="170" formatCode="#,##0.00_ ;\-#,##0.00\ "/>
    <numFmt numFmtId="171" formatCode="&quot;$&quot;#,##0.00_);[Red]\(&quot;$&quot;#,##0.00\)"/>
    <numFmt numFmtId="172" formatCode="_(* #,##0.00_);_(* \(#,##0.00\);_(* &quot;-&quot;??_);_(@_)"/>
    <numFmt numFmtId="173" formatCode="000000"/>
    <numFmt numFmtId="174" formatCode="&quot;$&quot;#,##0_);\(&quot;$&quot;#,##0\)"/>
    <numFmt numFmtId="175" formatCode="#,##0.0000"/>
    <numFmt numFmtId="176" formatCode="#,##0.0"/>
    <numFmt numFmtId="177" formatCode="#,##0.00000"/>
    <numFmt numFmtId="178" formatCode="[$-419]General"/>
    <numFmt numFmtId="179" formatCode="?"/>
    <numFmt numFmtId="180" formatCode="#,##0.000000"/>
    <numFmt numFmtId="181" formatCode="0.000"/>
    <numFmt numFmtId="182" formatCode="0.0000"/>
    <numFmt numFmtId="183" formatCode="#,##0.0000000"/>
    <numFmt numFmtId="184" formatCode="0.00000"/>
    <numFmt numFmtId="185" formatCode="0.0%"/>
    <numFmt numFmtId="186" formatCode="0.00000000"/>
    <numFmt numFmtId="187" formatCode="#,##0.00000000"/>
  </numFmts>
  <fonts count="13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</font>
    <font>
      <sz val="10"/>
      <name val="Times New Roman CYR"/>
      <charset val="204"/>
    </font>
    <font>
      <sz val="10"/>
      <name val="Helv"/>
      <family val="2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rgb="FF0070C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FFFF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1"/>
      <color rgb="FFFFFF00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sz val="11"/>
      <color indexed="55"/>
      <name val="Calibri"/>
      <family val="2"/>
      <charset val="204"/>
      <scheme val="minor"/>
    </font>
    <font>
      <sz val="11"/>
      <color indexed="55"/>
      <name val="Calibri"/>
      <family val="2"/>
      <scheme val="minor"/>
    </font>
    <font>
      <sz val="10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11"/>
      <color indexed="55"/>
      <name val="Calibri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FFFF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1"/>
      <color rgb="FFFFFF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8.5"/>
      <name val="MS Sans Serif"/>
      <family val="2"/>
      <charset val="204"/>
    </font>
    <font>
      <sz val="11"/>
      <color rgb="FF00B0F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0"/>
      <color indexed="8"/>
      <name val="Arial Cyr"/>
    </font>
    <font>
      <sz val="10"/>
      <color indexed="0"/>
      <name val="Arial Cyr"/>
    </font>
  </fonts>
  <fills count="4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50">
    <xf numFmtId="0" fontId="0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2" fillId="0" borderId="0"/>
    <xf numFmtId="0" fontId="33" fillId="0" borderId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4" borderId="0" applyNumberFormat="0" applyBorder="0" applyAlignment="0" applyProtection="0"/>
    <xf numFmtId="0" fontId="34" fillId="12" borderId="15" applyNumberFormat="0" applyAlignment="0" applyProtection="0"/>
    <xf numFmtId="0" fontId="35" fillId="25" borderId="16" applyNumberFormat="0" applyAlignment="0" applyProtection="0"/>
    <xf numFmtId="0" fontId="36" fillId="25" borderId="15" applyNumberFormat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38" fillId="0" borderId="17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2" fillId="26" borderId="21" applyNumberFormat="0" applyAlignment="0" applyProtection="0"/>
    <xf numFmtId="0" fontId="43" fillId="0" borderId="0" applyNumberFormat="0" applyFill="0" applyBorder="0" applyAlignment="0" applyProtection="0"/>
    <xf numFmtId="0" fontId="44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45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4" fillId="0" borderId="0"/>
    <xf numFmtId="0" fontId="8" fillId="0" borderId="0"/>
    <xf numFmtId="0" fontId="9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46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30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17" fillId="0" borderId="0"/>
    <xf numFmtId="0" fontId="14" fillId="0" borderId="0"/>
    <xf numFmtId="0" fontId="47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32" fillId="0" borderId="0"/>
    <xf numFmtId="0" fontId="17" fillId="0" borderId="0"/>
    <xf numFmtId="0" fontId="49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50" fillId="8" borderId="0" applyNumberFormat="0" applyBorder="0" applyAlignment="0" applyProtection="0"/>
    <xf numFmtId="0" fontId="51" fillId="0" borderId="0" applyNumberFormat="0" applyFill="0" applyBorder="0" applyAlignment="0" applyProtection="0"/>
    <xf numFmtId="0" fontId="8" fillId="28" borderId="22" applyNumberFormat="0" applyFont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23" applyNumberFormat="0" applyFill="0" applyAlignment="0" applyProtection="0"/>
    <xf numFmtId="0" fontId="29" fillId="0" borderId="0"/>
    <xf numFmtId="0" fontId="53" fillId="0" borderId="0" applyNumberForma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54" fillId="9" borderId="0" applyNumberFormat="0" applyBorder="0" applyAlignment="0" applyProtection="0"/>
    <xf numFmtId="0" fontId="17" fillId="0" borderId="0"/>
    <xf numFmtId="168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8" fillId="0" borderId="0"/>
    <xf numFmtId="0" fontId="17" fillId="0" borderId="0"/>
    <xf numFmtId="0" fontId="8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98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0" borderId="0"/>
    <xf numFmtId="0" fontId="9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4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0" fillId="0" borderId="0"/>
    <xf numFmtId="0" fontId="8" fillId="0" borderId="0"/>
    <xf numFmtId="0" fontId="8" fillId="0" borderId="0"/>
    <xf numFmtId="0" fontId="48" fillId="0" borderId="0"/>
    <xf numFmtId="0" fontId="9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0" fillId="0" borderId="0"/>
    <xf numFmtId="0" fontId="100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178" fontId="104" fillId="0" borderId="0" applyBorder="0" applyProtection="0"/>
    <xf numFmtId="0" fontId="30" fillId="0" borderId="0"/>
    <xf numFmtId="0" fontId="8" fillId="0" borderId="0"/>
    <xf numFmtId="0" fontId="32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165" fontId="14" fillId="0" borderId="0" applyFont="0" applyFill="0" applyBorder="0" applyAlignment="0" applyProtection="0"/>
    <xf numFmtId="0" fontId="30" fillId="0" borderId="0"/>
    <xf numFmtId="0" fontId="34" fillId="12" borderId="47" applyNumberFormat="0" applyAlignment="0" applyProtection="0"/>
    <xf numFmtId="0" fontId="35" fillId="25" borderId="48" applyNumberFormat="0" applyAlignment="0" applyProtection="0"/>
    <xf numFmtId="0" fontId="36" fillId="25" borderId="47" applyNumberFormat="0" applyAlignment="0" applyProtection="0"/>
    <xf numFmtId="0" fontId="41" fillId="0" borderId="49" applyNumberFormat="0" applyFill="0" applyAlignment="0" applyProtection="0"/>
    <xf numFmtId="0" fontId="8" fillId="0" borderId="0"/>
    <xf numFmtId="0" fontId="8" fillId="0" borderId="0"/>
    <xf numFmtId="0" fontId="46" fillId="0" borderId="0"/>
    <xf numFmtId="0" fontId="8" fillId="0" borderId="0"/>
    <xf numFmtId="0" fontId="17" fillId="0" borderId="0"/>
    <xf numFmtId="0" fontId="8" fillId="0" borderId="0"/>
    <xf numFmtId="0" fontId="100" fillId="0" borderId="0"/>
    <xf numFmtId="0" fontId="8" fillId="0" borderId="0"/>
    <xf numFmtId="0" fontId="17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28" borderId="50" applyNumberFormat="0" applyFont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12" fillId="0" borderId="0"/>
    <xf numFmtId="0" fontId="8" fillId="0" borderId="0"/>
    <xf numFmtId="0" fontId="30" fillId="0" borderId="0"/>
    <xf numFmtId="9" fontId="17" fillId="0" borderId="0" applyFont="0" applyFill="0" applyBorder="0" applyAlignment="0" applyProtection="0"/>
    <xf numFmtId="0" fontId="9" fillId="0" borderId="0"/>
  </cellStyleXfs>
  <cellXfs count="2752">
    <xf numFmtId="0" fontId="0" fillId="0" borderId="0" xfId="0"/>
    <xf numFmtId="0" fontId="15" fillId="0" borderId="0" xfId="0" applyFont="1" applyFill="1" applyProtection="1">
      <protection locked="0"/>
    </xf>
    <xf numFmtId="0" fontId="15" fillId="0" borderId="0" xfId="0" applyFont="1" applyFill="1"/>
    <xf numFmtId="0" fontId="7" fillId="0" borderId="0" xfId="0" applyFont="1" applyFill="1"/>
    <xf numFmtId="0" fontId="15" fillId="0" borderId="0" xfId="0" applyFont="1" applyFill="1" applyAlignment="1" applyProtection="1">
      <alignment horizontal="center"/>
      <protection locked="0"/>
    </xf>
    <xf numFmtId="49" fontId="18" fillId="3" borderId="0" xfId="9" applyNumberFormat="1" applyFont="1" applyFill="1" applyBorder="1" applyAlignment="1">
      <alignment horizontal="center" vertical="center" wrapText="1"/>
    </xf>
    <xf numFmtId="4" fontId="19" fillId="3" borderId="5" xfId="9" applyNumberFormat="1" applyFont="1" applyFill="1" applyBorder="1"/>
    <xf numFmtId="167" fontId="21" fillId="3" borderId="5" xfId="9" applyNumberFormat="1" applyFont="1" applyFill="1" applyBorder="1" applyAlignment="1">
      <alignment horizontal="center" vertical="center"/>
    </xf>
    <xf numFmtId="4" fontId="19" fillId="2" borderId="5" xfId="9" applyNumberFormat="1" applyFont="1" applyFill="1" applyBorder="1" applyAlignment="1">
      <alignment horizontal="center" vertical="center"/>
    </xf>
    <xf numFmtId="4" fontId="19" fillId="3" borderId="5" xfId="9" applyNumberFormat="1" applyFont="1" applyFill="1" applyBorder="1" applyAlignment="1">
      <alignment horizontal="center" vertical="center"/>
    </xf>
    <xf numFmtId="49" fontId="19" fillId="3" borderId="5" xfId="9" applyNumberFormat="1" applyFont="1" applyFill="1" applyBorder="1" applyAlignment="1">
      <alignment horizontal="center" vertical="center" wrapText="1"/>
    </xf>
    <xf numFmtId="0" fontId="21" fillId="3" borderId="5" xfId="9" applyFont="1" applyFill="1" applyBorder="1" applyAlignment="1">
      <alignment horizontal="center" vertical="center" wrapText="1"/>
    </xf>
    <xf numFmtId="0" fontId="19" fillId="3" borderId="5" xfId="9" applyFont="1" applyFill="1" applyBorder="1" applyAlignment="1">
      <alignment vertical="center" wrapText="1"/>
    </xf>
    <xf numFmtId="0" fontId="24" fillId="4" borderId="2" xfId="9" applyFont="1" applyFill="1" applyBorder="1" applyAlignment="1">
      <alignment horizontal="center" vertical="center" wrapText="1"/>
    </xf>
    <xf numFmtId="0" fontId="24" fillId="0" borderId="2" xfId="9" applyFont="1" applyFill="1" applyBorder="1" applyAlignment="1">
      <alignment horizontal="center" vertical="center" wrapText="1"/>
    </xf>
    <xf numFmtId="0" fontId="18" fillId="0" borderId="2" xfId="9" applyFont="1" applyFill="1" applyBorder="1" applyAlignment="1">
      <alignment vertical="center" wrapText="1"/>
    </xf>
    <xf numFmtId="167" fontId="18" fillId="0" borderId="1" xfId="9" applyNumberFormat="1" applyFont="1" applyFill="1" applyBorder="1" applyAlignment="1">
      <alignment horizontal="center" vertical="center"/>
    </xf>
    <xf numFmtId="167" fontId="24" fillId="0" borderId="1" xfId="9" applyNumberFormat="1" applyFont="1" applyFill="1" applyBorder="1" applyAlignment="1">
      <alignment horizontal="center" vertical="center"/>
    </xf>
    <xf numFmtId="4" fontId="24" fillId="0" borderId="1" xfId="9" applyNumberFormat="1" applyFont="1" applyFill="1" applyBorder="1" applyAlignment="1">
      <alignment horizontal="center" vertical="center"/>
    </xf>
    <xf numFmtId="2" fontId="18" fillId="0" borderId="1" xfId="9" applyNumberFormat="1" applyFont="1" applyFill="1" applyBorder="1" applyAlignment="1">
      <alignment horizontal="center" vertical="center" wrapText="1"/>
    </xf>
    <xf numFmtId="49" fontId="18" fillId="0" borderId="1" xfId="9" applyNumberFormat="1" applyFont="1" applyFill="1" applyBorder="1" applyAlignment="1">
      <alignment horizontal="center" vertical="center" wrapText="1"/>
    </xf>
    <xf numFmtId="0" fontId="24" fillId="0" borderId="1" xfId="9" applyFont="1" applyFill="1" applyBorder="1" applyAlignment="1">
      <alignment horizontal="center" vertical="center" wrapText="1"/>
    </xf>
    <xf numFmtId="0" fontId="18" fillId="0" borderId="1" xfId="9" applyFont="1" applyFill="1" applyBorder="1" applyAlignment="1">
      <alignment vertical="center" wrapText="1"/>
    </xf>
    <xf numFmtId="4" fontId="24" fillId="4" borderId="2" xfId="9" applyNumberFormat="1" applyFont="1" applyFill="1" applyBorder="1" applyAlignment="1">
      <alignment horizontal="center" vertical="center"/>
    </xf>
    <xf numFmtId="49" fontId="18" fillId="4" borderId="2" xfId="9" applyNumberFormat="1" applyFont="1" applyFill="1" applyBorder="1" applyAlignment="1">
      <alignment horizontal="center" vertical="center" wrapText="1"/>
    </xf>
    <xf numFmtId="0" fontId="25" fillId="4" borderId="2" xfId="9" applyFont="1" applyFill="1" applyBorder="1" applyAlignment="1">
      <alignment vertical="center" wrapText="1"/>
    </xf>
    <xf numFmtId="0" fontId="25" fillId="4" borderId="1" xfId="9" applyFont="1" applyFill="1" applyBorder="1" applyAlignment="1">
      <alignment vertical="center" wrapText="1"/>
    </xf>
    <xf numFmtId="4" fontId="24" fillId="2" borderId="1" xfId="9" applyNumberFormat="1" applyFont="1" applyFill="1" applyBorder="1" applyAlignment="1">
      <alignment horizontal="center" vertical="center"/>
    </xf>
    <xf numFmtId="4" fontId="25" fillId="5" borderId="1" xfId="9" applyNumberFormat="1" applyFont="1" applyFill="1" applyBorder="1" applyAlignment="1">
      <alignment horizontal="center" vertical="center"/>
    </xf>
    <xf numFmtId="49" fontId="25" fillId="5" borderId="1" xfId="9" applyNumberFormat="1" applyFont="1" applyFill="1" applyBorder="1" applyAlignment="1">
      <alignment horizontal="center" vertical="center" wrapText="1"/>
    </xf>
    <xf numFmtId="0" fontId="25" fillId="5" borderId="1" xfId="9" applyFont="1" applyFill="1" applyBorder="1" applyAlignment="1">
      <alignment horizontal="center" vertical="center" wrapText="1"/>
    </xf>
    <xf numFmtId="0" fontId="25" fillId="5" borderId="1" xfId="9" applyFont="1" applyFill="1" applyBorder="1" applyAlignment="1">
      <alignment vertical="center" wrapText="1"/>
    </xf>
    <xf numFmtId="2" fontId="18" fillId="3" borderId="1" xfId="9" applyNumberFormat="1" applyFont="1" applyFill="1" applyBorder="1" applyAlignment="1">
      <alignment horizontal="center" vertical="center" wrapText="1"/>
    </xf>
    <xf numFmtId="49" fontId="18" fillId="3" borderId="1" xfId="9" applyNumberFormat="1" applyFont="1" applyFill="1" applyBorder="1" applyAlignment="1">
      <alignment horizontal="center" vertical="center" wrapText="1"/>
    </xf>
    <xf numFmtId="0" fontId="24" fillId="3" borderId="1" xfId="9" applyFont="1" applyFill="1" applyBorder="1" applyAlignment="1">
      <alignment horizontal="center" vertical="center" wrapText="1"/>
    </xf>
    <xf numFmtId="0" fontId="18" fillId="3" borderId="1" xfId="9" applyFont="1" applyFill="1" applyBorder="1" applyAlignment="1">
      <alignment vertical="center" wrapText="1"/>
    </xf>
    <xf numFmtId="167" fontId="18" fillId="3" borderId="1" xfId="9" applyNumberFormat="1" applyFont="1" applyFill="1" applyBorder="1" applyAlignment="1">
      <alignment horizontal="center" vertical="center"/>
    </xf>
    <xf numFmtId="167" fontId="24" fillId="3" borderId="1" xfId="9" applyNumberFormat="1" applyFont="1" applyFill="1" applyBorder="1" applyAlignment="1">
      <alignment horizontal="center" vertical="center"/>
    </xf>
    <xf numFmtId="4" fontId="24" fillId="6" borderId="1" xfId="9" applyNumberFormat="1" applyFont="1" applyFill="1" applyBorder="1" applyAlignment="1">
      <alignment horizontal="center" vertical="center"/>
    </xf>
    <xf numFmtId="4" fontId="24" fillId="3" borderId="1" xfId="9" applyNumberFormat="1" applyFont="1" applyFill="1" applyBorder="1" applyAlignment="1">
      <alignment horizontal="center" vertical="center"/>
    </xf>
    <xf numFmtId="4" fontId="25" fillId="2" borderId="1" xfId="9" applyNumberFormat="1" applyFont="1" applyFill="1" applyBorder="1" applyAlignment="1">
      <alignment horizontal="center" vertical="center"/>
    </xf>
    <xf numFmtId="49" fontId="23" fillId="5" borderId="1" xfId="9" applyNumberFormat="1" applyFont="1" applyFill="1" applyBorder="1" applyAlignment="1">
      <alignment horizontal="center" vertical="center" wrapText="1"/>
    </xf>
    <xf numFmtId="4" fontId="18" fillId="0" borderId="1" xfId="9" applyNumberFormat="1" applyFont="1" applyFill="1" applyBorder="1" applyAlignment="1">
      <alignment horizontal="center" vertical="center"/>
    </xf>
    <xf numFmtId="0" fontId="24" fillId="0" borderId="1" xfId="9" applyFont="1" applyFill="1" applyBorder="1" applyAlignment="1">
      <alignment vertical="center" wrapText="1"/>
    </xf>
    <xf numFmtId="49" fontId="24" fillId="0" borderId="1" xfId="9" applyNumberFormat="1" applyFont="1" applyFill="1" applyBorder="1" applyAlignment="1">
      <alignment horizontal="center" vertical="center" wrapText="1"/>
    </xf>
    <xf numFmtId="0" fontId="26" fillId="3" borderId="1" xfId="9" applyFont="1" applyFill="1" applyBorder="1" applyAlignment="1">
      <alignment horizontal="center" vertical="center" wrapText="1"/>
    </xf>
    <xf numFmtId="0" fontId="27" fillId="3" borderId="1" xfId="9" applyFont="1" applyFill="1" applyBorder="1" applyAlignment="1">
      <alignment vertical="center" wrapText="1"/>
    </xf>
    <xf numFmtId="4" fontId="25" fillId="0" borderId="1" xfId="9" applyNumberFormat="1" applyFont="1" applyFill="1" applyBorder="1" applyAlignment="1">
      <alignment horizontal="center" vertical="center"/>
    </xf>
    <xf numFmtId="0" fontId="25" fillId="0" borderId="1" xfId="9" applyFont="1" applyFill="1" applyBorder="1" applyAlignment="1">
      <alignment vertical="center" wrapText="1"/>
    </xf>
    <xf numFmtId="4" fontId="18" fillId="2" borderId="1" xfId="9" applyNumberFormat="1" applyFont="1" applyFill="1" applyBorder="1" applyAlignment="1">
      <alignment horizontal="center" vertical="center"/>
    </xf>
    <xf numFmtId="4" fontId="19" fillId="0" borderId="0" xfId="9" applyNumberFormat="1" applyFont="1" applyFill="1"/>
    <xf numFmtId="167" fontId="19" fillId="0" borderId="0" xfId="9" applyNumberFormat="1" applyFont="1" applyFill="1" applyBorder="1" applyAlignment="1">
      <alignment horizontal="center" vertical="center" wrapText="1"/>
    </xf>
    <xf numFmtId="0" fontId="20" fillId="2" borderId="0" xfId="9" applyFont="1" applyFill="1"/>
    <xf numFmtId="0" fontId="20" fillId="0" borderId="0" xfId="9" applyFont="1" applyFill="1"/>
    <xf numFmtId="49" fontId="19" fillId="0" borderId="0" xfId="9" applyNumberFormat="1" applyFont="1" applyFill="1" applyBorder="1" applyAlignment="1">
      <alignment horizontal="center" vertical="center" wrapText="1"/>
    </xf>
    <xf numFmtId="0" fontId="21" fillId="0" borderId="0" xfId="9" applyFont="1" applyFill="1" applyBorder="1" applyAlignment="1">
      <alignment horizontal="center" vertical="center" wrapText="1"/>
    </xf>
    <xf numFmtId="0" fontId="19" fillId="0" borderId="0" xfId="9" applyFont="1" applyFill="1" applyBorder="1" applyAlignment="1">
      <alignment horizontal="center" vertical="center" wrapText="1"/>
    </xf>
    <xf numFmtId="0" fontId="19" fillId="0" borderId="0" xfId="9" applyFont="1" applyFill="1" applyBorder="1" applyAlignment="1">
      <alignment vertical="center" wrapText="1"/>
    </xf>
    <xf numFmtId="0" fontId="55" fillId="0" borderId="0" xfId="0" applyFont="1" applyFill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Fill="1" applyBorder="1" applyAlignment="1" applyProtection="1">
      <alignment horizontal="center" vertical="center"/>
      <protection locked="0"/>
    </xf>
    <xf numFmtId="4" fontId="55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7" xfId="2" applyNumberFormat="1" applyFont="1" applyFill="1" applyBorder="1" applyAlignment="1">
      <alignment horizontal="center" vertical="center"/>
    </xf>
    <xf numFmtId="4" fontId="15" fillId="0" borderId="1" xfId="2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Alignment="1" applyProtection="1">
      <alignment horizontal="center" vertical="center"/>
      <protection locked="0"/>
    </xf>
    <xf numFmtId="4" fontId="15" fillId="0" borderId="0" xfId="0" applyNumberFormat="1" applyFont="1" applyFill="1" applyAlignment="1">
      <alignment vertical="center"/>
    </xf>
    <xf numFmtId="0" fontId="55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49" fontId="15" fillId="0" borderId="0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vertical="center"/>
    </xf>
    <xf numFmtId="4" fontId="10" fillId="0" borderId="0" xfId="0" applyNumberFormat="1" applyFont="1" applyFill="1" applyAlignment="1" applyProtection="1">
      <alignment horizontal="center" vertical="center" wrapText="1"/>
      <protection locked="0"/>
    </xf>
    <xf numFmtId="4" fontId="55" fillId="0" borderId="0" xfId="0" applyNumberFormat="1" applyFont="1" applyFill="1" applyAlignment="1" applyProtection="1">
      <alignment horizontal="center" vertical="center" wrapText="1"/>
      <protection locked="0"/>
    </xf>
    <xf numFmtId="4" fontId="15" fillId="0" borderId="0" xfId="0" applyNumberFormat="1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Fill="1" applyBorder="1" applyAlignment="1">
      <alignment vertical="center"/>
    </xf>
    <xf numFmtId="4" fontId="55" fillId="0" borderId="1" xfId="6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Alignment="1">
      <alignment horizontal="left" vertical="center"/>
    </xf>
    <xf numFmtId="4" fontId="15" fillId="0" borderId="0" xfId="0" applyNumberFormat="1" applyFont="1" applyFill="1" applyAlignment="1" applyProtection="1">
      <alignment horizontal="left" vertical="center"/>
      <protection locked="0"/>
    </xf>
    <xf numFmtId="4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4" fontId="55" fillId="0" borderId="0" xfId="0" applyNumberFormat="1" applyFont="1" applyFill="1" applyAlignment="1" applyProtection="1">
      <alignment horizontal="center" vertical="center"/>
      <protection locked="0"/>
    </xf>
    <xf numFmtId="49" fontId="55" fillId="0" borderId="0" xfId="0" applyNumberFormat="1" applyFont="1" applyFill="1" applyBorder="1" applyAlignment="1" applyProtection="1">
      <alignment horizontal="left" vertical="center"/>
      <protection locked="0"/>
    </xf>
    <xf numFmtId="0" fontId="5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5" fillId="0" borderId="0" xfId="0" applyNumberFormat="1" applyFont="1" applyFill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left" vertical="center"/>
    </xf>
    <xf numFmtId="4" fontId="55" fillId="0" borderId="0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Fill="1" applyBorder="1" applyAlignment="1" applyProtection="1">
      <alignment horizontal="center" vertical="center"/>
      <protection locked="0"/>
    </xf>
    <xf numFmtId="49" fontId="55" fillId="0" borderId="0" xfId="0" applyNumberFormat="1" applyFont="1" applyFill="1" applyBorder="1" applyAlignment="1" applyProtection="1">
      <alignment vertical="center"/>
      <protection locked="0"/>
    </xf>
    <xf numFmtId="0" fontId="55" fillId="0" borderId="0" xfId="0" applyFont="1" applyFill="1" applyAlignment="1" applyProtection="1">
      <alignment horizontal="center" vertical="center"/>
      <protection locked="0"/>
    </xf>
    <xf numFmtId="1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0" xfId="0" applyNumberFormat="1" applyFont="1" applyFill="1" applyAlignment="1">
      <alignment horizontal="center" vertical="center"/>
    </xf>
    <xf numFmtId="1" fontId="5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1" xfId="0" applyNumberFormat="1" applyFont="1" applyFill="1" applyBorder="1" applyAlignment="1" applyProtection="1">
      <alignment horizontal="center" vertical="center"/>
      <protection locked="0"/>
    </xf>
    <xf numFmtId="4" fontId="55" fillId="0" borderId="0" xfId="0" applyNumberFormat="1" applyFont="1" applyFill="1"/>
    <xf numFmtId="175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4" fontId="9" fillId="0" borderId="0" xfId="0" applyNumberFormat="1" applyFont="1" applyFill="1" applyAlignment="1" applyProtection="1">
      <alignment horizontal="center" vertical="center"/>
      <protection locked="0"/>
    </xf>
    <xf numFmtId="4" fontId="56" fillId="0" borderId="0" xfId="0" applyNumberFormat="1" applyFont="1" applyFill="1" applyAlignment="1" applyProtection="1">
      <alignment horizontal="center" vertical="center"/>
      <protection locked="0"/>
    </xf>
    <xf numFmtId="4" fontId="15" fillId="0" borderId="0" xfId="0" applyNumberFormat="1" applyFont="1" applyFill="1" applyAlignment="1">
      <alignment horizontal="center" vertical="center"/>
    </xf>
    <xf numFmtId="4" fontId="55" fillId="0" borderId="0" xfId="6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62" fillId="0" borderId="0" xfId="0" applyFont="1" applyAlignment="1">
      <alignment vertical="center"/>
    </xf>
    <xf numFmtId="0" fontId="64" fillId="0" borderId="0" xfId="0" applyFont="1" applyFill="1"/>
    <xf numFmtId="0" fontId="15" fillId="29" borderId="0" xfId="0" applyFont="1" applyFill="1"/>
    <xf numFmtId="17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>
      <alignment horizontal="center" vertical="center"/>
    </xf>
    <xf numFmtId="0" fontId="57" fillId="0" borderId="3" xfId="9" applyFont="1" applyFill="1" applyBorder="1" applyAlignment="1">
      <alignment horizontal="center" vertical="center" wrapText="1"/>
    </xf>
    <xf numFmtId="49" fontId="57" fillId="0" borderId="3" xfId="9" applyNumberFormat="1" applyFont="1" applyFill="1" applyBorder="1" applyAlignment="1">
      <alignment horizontal="center" vertical="center" wrapText="1"/>
    </xf>
    <xf numFmtId="0" fontId="57" fillId="2" borderId="3" xfId="9" applyFont="1" applyFill="1" applyBorder="1" applyAlignment="1">
      <alignment horizontal="center" vertical="center" wrapText="1"/>
    </xf>
    <xf numFmtId="4" fontId="18" fillId="0" borderId="0" xfId="8" applyNumberFormat="1" applyFont="1"/>
    <xf numFmtId="0" fontId="18" fillId="0" borderId="0" xfId="8" applyFont="1"/>
    <xf numFmtId="4" fontId="70" fillId="3" borderId="0" xfId="9" applyNumberFormat="1" applyFont="1" applyFill="1" applyBorder="1" applyAlignment="1">
      <alignment horizontal="right" vertical="center"/>
    </xf>
    <xf numFmtId="4" fontId="13" fillId="2" borderId="0" xfId="9" applyNumberFormat="1" applyFont="1" applyFill="1" applyBorder="1" applyAlignment="1">
      <alignment horizontal="right" vertical="center"/>
    </xf>
    <xf numFmtId="167" fontId="71" fillId="3" borderId="0" xfId="9" applyNumberFormat="1" applyFont="1" applyFill="1" applyBorder="1" applyAlignment="1">
      <alignment horizontal="center" vertical="center"/>
    </xf>
    <xf numFmtId="167" fontId="13" fillId="3" borderId="0" xfId="9" applyNumberFormat="1" applyFont="1" applyFill="1" applyBorder="1" applyAlignment="1">
      <alignment horizontal="center" vertical="center"/>
    </xf>
    <xf numFmtId="0" fontId="71" fillId="3" borderId="0" xfId="9" applyFont="1" applyFill="1" applyBorder="1" applyAlignment="1">
      <alignment horizontal="center" vertical="center" wrapText="1"/>
    </xf>
    <xf numFmtId="0" fontId="71" fillId="3" borderId="0" xfId="9" applyFont="1" applyFill="1" applyBorder="1"/>
    <xf numFmtId="49" fontId="13" fillId="3" borderId="0" xfId="9" applyNumberFormat="1" applyFont="1" applyFill="1" applyBorder="1" applyAlignment="1">
      <alignment horizontal="center"/>
    </xf>
    <xf numFmtId="165" fontId="13" fillId="3" borderId="0" xfId="9" applyNumberFormat="1" applyFont="1" applyFill="1" applyBorder="1" applyAlignment="1">
      <alignment horizontal="right"/>
    </xf>
    <xf numFmtId="165" fontId="13" fillId="2" borderId="0" xfId="9" applyNumberFormat="1" applyFont="1" applyFill="1" applyBorder="1" applyAlignment="1">
      <alignment horizontal="right"/>
    </xf>
    <xf numFmtId="49" fontId="13" fillId="3" borderId="0" xfId="9" applyNumberFormat="1" applyFont="1" applyFill="1" applyBorder="1" applyAlignment="1">
      <alignment horizontal="center" vertical="center" wrapText="1"/>
    </xf>
    <xf numFmtId="4" fontId="13" fillId="3" borderId="0" xfId="9" applyNumberFormat="1" applyFont="1" applyFill="1" applyBorder="1"/>
    <xf numFmtId="0" fontId="13" fillId="3" borderId="0" xfId="9" applyFont="1" applyFill="1" applyBorder="1" applyAlignment="1">
      <alignment vertical="center" wrapText="1"/>
    </xf>
    <xf numFmtId="0" fontId="13" fillId="3" borderId="0" xfId="9" applyFont="1" applyFill="1" applyBorder="1"/>
    <xf numFmtId="0" fontId="2" fillId="0" borderId="0" xfId="8" applyFont="1"/>
    <xf numFmtId="167" fontId="13" fillId="3" borderId="6" xfId="9" applyNumberFormat="1" applyFont="1" applyFill="1" applyBorder="1" applyAlignment="1">
      <alignment horizontal="center" vertical="center"/>
    </xf>
    <xf numFmtId="0" fontId="4" fillId="0" borderId="0" xfId="8" applyFont="1"/>
    <xf numFmtId="0" fontId="67" fillId="0" borderId="0" xfId="8" applyFont="1"/>
    <xf numFmtId="4" fontId="18" fillId="0" borderId="0" xfId="8" applyNumberFormat="1" applyFont="1" applyFill="1"/>
    <xf numFmtId="0" fontId="18" fillId="0" borderId="0" xfId="8" applyFont="1" applyFill="1"/>
    <xf numFmtId="4" fontId="18" fillId="4" borderId="0" xfId="8" applyNumberFormat="1" applyFont="1" applyFill="1"/>
    <xf numFmtId="0" fontId="18" fillId="4" borderId="0" xfId="8" applyFont="1" applyFill="1"/>
    <xf numFmtId="167" fontId="18" fillId="0" borderId="0" xfId="8" applyNumberFormat="1" applyFont="1" applyFill="1"/>
    <xf numFmtId="0" fontId="4" fillId="0" borderId="0" xfId="8" applyFont="1" applyFill="1"/>
    <xf numFmtId="0" fontId="2" fillId="2" borderId="0" xfId="8" applyFont="1" applyFill="1"/>
    <xf numFmtId="4" fontId="2" fillId="0" borderId="0" xfId="8" applyNumberFormat="1" applyFont="1"/>
    <xf numFmtId="4" fontId="2" fillId="0" borderId="6" xfId="8" applyNumberFormat="1" applyFont="1" applyBorder="1"/>
    <xf numFmtId="4" fontId="4" fillId="0" borderId="0" xfId="8" applyNumberFormat="1" applyFont="1"/>
    <xf numFmtId="0" fontId="4" fillId="2" borderId="0" xfId="8" applyFont="1" applyFill="1"/>
    <xf numFmtId="167" fontId="4" fillId="0" borderId="0" xfId="8" applyNumberFormat="1" applyFont="1"/>
    <xf numFmtId="0" fontId="18" fillId="0" borderId="24" xfId="9" applyFont="1" applyFill="1" applyBorder="1" applyAlignment="1">
      <alignment vertical="center" wrapText="1"/>
    </xf>
    <xf numFmtId="0" fontId="24" fillId="0" borderId="24" xfId="9" applyFont="1" applyFill="1" applyBorder="1" applyAlignment="1">
      <alignment horizontal="center" vertical="center" wrapText="1"/>
    </xf>
    <xf numFmtId="49" fontId="18" fillId="0" borderId="24" xfId="9" applyNumberFormat="1" applyFont="1" applyFill="1" applyBorder="1" applyAlignment="1">
      <alignment horizontal="center" vertical="center" wrapText="1"/>
    </xf>
    <xf numFmtId="2" fontId="18" fillId="0" borderId="24" xfId="9" applyNumberFormat="1" applyFont="1" applyFill="1" applyBorder="1" applyAlignment="1">
      <alignment horizontal="center" vertical="center" wrapText="1"/>
    </xf>
    <xf numFmtId="4" fontId="25" fillId="0" borderId="24" xfId="9" applyNumberFormat="1" applyFont="1" applyFill="1" applyBorder="1" applyAlignment="1">
      <alignment horizontal="center" vertical="center"/>
    </xf>
    <xf numFmtId="167" fontId="24" fillId="0" borderId="24" xfId="9" applyNumberFormat="1" applyFont="1" applyFill="1" applyBorder="1" applyAlignment="1">
      <alignment horizontal="center" vertical="center"/>
    </xf>
    <xf numFmtId="167" fontId="18" fillId="0" borderId="24" xfId="9" applyNumberFormat="1" applyFont="1" applyFill="1" applyBorder="1" applyAlignment="1">
      <alignment horizontal="center" vertical="center"/>
    </xf>
    <xf numFmtId="0" fontId="18" fillId="3" borderId="24" xfId="9" applyFont="1" applyFill="1" applyBorder="1" applyAlignment="1">
      <alignment vertical="center" wrapText="1"/>
    </xf>
    <xf numFmtId="0" fontId="24" fillId="3" borderId="24" xfId="9" applyFont="1" applyFill="1" applyBorder="1" applyAlignment="1">
      <alignment horizontal="center" vertical="center" wrapText="1"/>
    </xf>
    <xf numFmtId="49" fontId="18" fillId="3" borderId="24" xfId="9" applyNumberFormat="1" applyFont="1" applyFill="1" applyBorder="1" applyAlignment="1">
      <alignment horizontal="center" vertical="center" wrapText="1"/>
    </xf>
    <xf numFmtId="2" fontId="18" fillId="3" borderId="24" xfId="9" applyNumberFormat="1" applyFont="1" applyFill="1" applyBorder="1" applyAlignment="1">
      <alignment horizontal="center" vertical="center" wrapText="1"/>
    </xf>
    <xf numFmtId="4" fontId="24" fillId="2" borderId="24" xfId="9" applyNumberFormat="1" applyFont="1" applyFill="1" applyBorder="1" applyAlignment="1">
      <alignment horizontal="center" vertical="center"/>
    </xf>
    <xf numFmtId="167" fontId="24" fillId="3" borderId="24" xfId="9" applyNumberFormat="1" applyFont="1" applyFill="1" applyBorder="1" applyAlignment="1">
      <alignment horizontal="center" vertical="center"/>
    </xf>
    <xf numFmtId="167" fontId="18" fillId="3" borderId="24" xfId="9" applyNumberFormat="1" applyFont="1" applyFill="1" applyBorder="1" applyAlignment="1">
      <alignment horizontal="center" vertical="center"/>
    </xf>
    <xf numFmtId="4" fontId="26" fillId="2" borderId="24" xfId="9" applyNumberFormat="1" applyFont="1" applyFill="1" applyBorder="1" applyAlignment="1">
      <alignment horizontal="center" vertical="center"/>
    </xf>
    <xf numFmtId="4" fontId="55" fillId="0" borderId="0" xfId="0" applyNumberFormat="1" applyFont="1" applyFill="1" applyAlignment="1">
      <alignment horizontal="left" vertical="center"/>
    </xf>
    <xf numFmtId="0" fontId="7" fillId="0" borderId="0" xfId="0" applyFont="1"/>
    <xf numFmtId="0" fontId="16" fillId="0" borderId="0" xfId="0" applyFont="1" applyBorder="1" applyAlignment="1" applyProtection="1">
      <alignment horizontal="center" vertical="center" wrapText="1"/>
    </xf>
    <xf numFmtId="0" fontId="74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/>
    <xf numFmtId="0" fontId="16" fillId="0" borderId="0" xfId="0" applyFont="1" applyFill="1" applyBorder="1" applyAlignment="1" applyProtection="1"/>
    <xf numFmtId="0" fontId="16" fillId="31" borderId="0" xfId="0" applyFont="1" applyFill="1" applyBorder="1" applyAlignment="1" applyProtection="1">
      <alignment horizontal="center" vertical="center" wrapText="1"/>
    </xf>
    <xf numFmtId="0" fontId="16" fillId="31" borderId="0" xfId="0" applyFont="1" applyFill="1" applyBorder="1" applyAlignment="1" applyProtection="1"/>
    <xf numFmtId="0" fontId="16" fillId="32" borderId="0" xfId="0" applyFont="1" applyFill="1" applyBorder="1" applyAlignment="1" applyProtection="1">
      <alignment horizontal="center" vertical="center" wrapText="1"/>
    </xf>
    <xf numFmtId="0" fontId="16" fillId="32" borderId="0" xfId="0" applyFont="1" applyFill="1" applyBorder="1" applyAlignment="1" applyProtection="1"/>
    <xf numFmtId="0" fontId="7" fillId="0" borderId="24" xfId="0" applyFont="1" applyFill="1" applyBorder="1" applyAlignment="1" applyProtection="1">
      <alignment horizontal="center" vertical="center"/>
    </xf>
    <xf numFmtId="0" fontId="7" fillId="31" borderId="24" xfId="0" applyFont="1" applyFill="1" applyBorder="1" applyAlignment="1" applyProtection="1">
      <alignment horizontal="center" vertical="center"/>
    </xf>
    <xf numFmtId="0" fontId="7" fillId="32" borderId="24" xfId="0" applyFont="1" applyFill="1" applyBorder="1" applyAlignment="1" applyProtection="1">
      <alignment horizontal="center" vertical="center"/>
    </xf>
    <xf numFmtId="0" fontId="64" fillId="0" borderId="24" xfId="0" applyFont="1" applyBorder="1" applyAlignment="1" applyProtection="1">
      <alignment horizontal="center"/>
    </xf>
    <xf numFmtId="0" fontId="64" fillId="0" borderId="24" xfId="0" applyFont="1" applyBorder="1" applyAlignment="1" applyProtection="1">
      <alignment horizontal="center" vertical="center" wrapText="1"/>
    </xf>
    <xf numFmtId="0" fontId="64" fillId="0" borderId="24" xfId="0" applyFont="1" applyFill="1" applyBorder="1" applyAlignment="1" applyProtection="1">
      <alignment horizontal="center" vertical="center" wrapText="1"/>
    </xf>
    <xf numFmtId="0" fontId="74" fillId="0" borderId="24" xfId="0" applyFont="1" applyFill="1" applyBorder="1" applyAlignment="1" applyProtection="1">
      <alignment horizontal="center" vertical="center" wrapText="1"/>
    </xf>
    <xf numFmtId="0" fontId="64" fillId="31" borderId="24" xfId="0" applyFont="1" applyFill="1" applyBorder="1" applyAlignment="1" applyProtection="1">
      <alignment horizontal="center" vertical="center" wrapText="1"/>
    </xf>
    <xf numFmtId="0" fontId="74" fillId="31" borderId="24" xfId="0" applyFont="1" applyFill="1" applyBorder="1" applyAlignment="1" applyProtection="1">
      <alignment horizontal="center" vertical="center" wrapText="1"/>
    </xf>
    <xf numFmtId="0" fontId="64" fillId="32" borderId="24" xfId="0" applyFont="1" applyFill="1" applyBorder="1" applyAlignment="1" applyProtection="1">
      <alignment horizontal="center" vertical="center" wrapText="1"/>
    </xf>
    <xf numFmtId="0" fontId="74" fillId="32" borderId="24" xfId="0" applyFont="1" applyFill="1" applyBorder="1" applyAlignment="1" applyProtection="1">
      <alignment horizontal="center" vertical="center" wrapText="1"/>
    </xf>
    <xf numFmtId="0" fontId="64" fillId="0" borderId="0" xfId="0" applyFont="1"/>
    <xf numFmtId="0" fontId="16" fillId="0" borderId="12" xfId="0" applyFont="1" applyBorder="1" applyAlignment="1" applyProtection="1">
      <alignment vertical="top" wrapText="1"/>
    </xf>
    <xf numFmtId="0" fontId="7" fillId="0" borderId="13" xfId="0" applyFont="1" applyBorder="1" applyAlignment="1" applyProtection="1">
      <alignment horizontal="center" vertical="center" wrapText="1"/>
    </xf>
    <xf numFmtId="49" fontId="7" fillId="0" borderId="24" xfId="0" applyNumberFormat="1" applyFont="1" applyBorder="1" applyAlignment="1" applyProtection="1">
      <alignment horizontal="center" vertical="center" wrapText="1"/>
    </xf>
    <xf numFmtId="4" fontId="16" fillId="0" borderId="24" xfId="0" applyNumberFormat="1" applyFont="1" applyBorder="1" applyAlignment="1" applyProtection="1">
      <alignment horizontal="center" vertical="center"/>
    </xf>
    <xf numFmtId="4" fontId="74" fillId="0" borderId="24" xfId="0" applyNumberFormat="1" applyFont="1" applyBorder="1" applyAlignment="1" applyProtection="1">
      <alignment horizontal="center" vertical="center"/>
    </xf>
    <xf numFmtId="4" fontId="16" fillId="0" borderId="24" xfId="0" applyNumberFormat="1" applyFont="1" applyFill="1" applyBorder="1" applyAlignment="1" applyProtection="1">
      <alignment horizontal="center" vertical="center"/>
    </xf>
    <xf numFmtId="4" fontId="16" fillId="31" borderId="24" xfId="0" applyNumberFormat="1" applyFont="1" applyFill="1" applyBorder="1" applyAlignment="1" applyProtection="1">
      <alignment horizontal="center" vertical="center"/>
    </xf>
    <xf numFmtId="4" fontId="16" fillId="32" borderId="24" xfId="0" applyNumberFormat="1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vertical="top" wrapText="1"/>
    </xf>
    <xf numFmtId="0" fontId="7" fillId="0" borderId="27" xfId="0" applyFont="1" applyBorder="1" applyAlignment="1" applyProtection="1">
      <alignment horizontal="center" vertical="center" wrapText="1"/>
    </xf>
    <xf numFmtId="2" fontId="7" fillId="0" borderId="24" xfId="0" applyNumberFormat="1" applyFont="1" applyBorder="1" applyAlignment="1" applyProtection="1">
      <alignment horizontal="center" vertical="center"/>
    </xf>
    <xf numFmtId="2" fontId="64" fillId="0" borderId="24" xfId="0" applyNumberFormat="1" applyFont="1" applyBorder="1" applyAlignment="1" applyProtection="1">
      <alignment horizontal="center" vertical="center"/>
    </xf>
    <xf numFmtId="2" fontId="7" fillId="0" borderId="24" xfId="0" applyNumberFormat="1" applyFont="1" applyFill="1" applyBorder="1" applyAlignment="1" applyProtection="1">
      <alignment horizontal="center" vertical="center"/>
    </xf>
    <xf numFmtId="2" fontId="16" fillId="0" borderId="24" xfId="0" applyNumberFormat="1" applyFont="1" applyFill="1" applyBorder="1" applyAlignment="1" applyProtection="1">
      <alignment horizontal="center" vertical="center"/>
    </xf>
    <xf numFmtId="2" fontId="7" fillId="31" borderId="24" xfId="0" applyNumberFormat="1" applyFont="1" applyFill="1" applyBorder="1" applyAlignment="1" applyProtection="1">
      <alignment horizontal="center" vertical="center"/>
    </xf>
    <xf numFmtId="2" fontId="16" fillId="31" borderId="24" xfId="0" applyNumberFormat="1" applyFont="1" applyFill="1" applyBorder="1" applyAlignment="1" applyProtection="1">
      <alignment horizontal="center" vertical="center"/>
    </xf>
    <xf numFmtId="2" fontId="7" fillId="32" borderId="24" xfId="0" applyNumberFormat="1" applyFont="1" applyFill="1" applyBorder="1" applyAlignment="1" applyProtection="1">
      <alignment horizontal="center" vertical="center"/>
    </xf>
    <xf numFmtId="2" fontId="16" fillId="32" borderId="24" xfId="0" applyNumberFormat="1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wrapText="1"/>
    </xf>
    <xf numFmtId="0" fontId="7" fillId="0" borderId="26" xfId="0" applyFont="1" applyBorder="1" applyAlignment="1" applyProtection="1">
      <alignment vertical="top" wrapText="1"/>
    </xf>
    <xf numFmtId="49" fontId="77" fillId="0" borderId="24" xfId="0" applyNumberFormat="1" applyFont="1" applyBorder="1" applyAlignment="1" applyProtection="1">
      <alignment horizontal="center" vertical="center" wrapText="1"/>
    </xf>
    <xf numFmtId="4" fontId="7" fillId="0" borderId="24" xfId="0" applyNumberFormat="1" applyFont="1" applyBorder="1" applyAlignment="1" applyProtection="1">
      <alignment horizontal="center" vertical="center"/>
    </xf>
    <xf numFmtId="4" fontId="64" fillId="0" borderId="24" xfId="0" applyNumberFormat="1" applyFont="1" applyBorder="1" applyAlignment="1" applyProtection="1">
      <alignment horizontal="center" vertical="center"/>
    </xf>
    <xf numFmtId="4" fontId="7" fillId="33" borderId="24" xfId="0" applyNumberFormat="1" applyFont="1" applyFill="1" applyBorder="1" applyAlignment="1" applyProtection="1">
      <alignment horizontal="center" vertical="center"/>
    </xf>
    <xf numFmtId="4" fontId="7" fillId="31" borderId="24" xfId="0" applyNumberFormat="1" applyFont="1" applyFill="1" applyBorder="1" applyAlignment="1" applyProtection="1">
      <alignment horizontal="center" vertical="center"/>
    </xf>
    <xf numFmtId="4" fontId="7" fillId="34" borderId="24" xfId="0" applyNumberFormat="1" applyFont="1" applyFill="1" applyBorder="1" applyAlignment="1" applyProtection="1">
      <alignment horizontal="center" vertical="center"/>
    </xf>
    <xf numFmtId="4" fontId="16" fillId="34" borderId="24" xfId="0" applyNumberFormat="1" applyFont="1" applyFill="1" applyBorder="1" applyAlignment="1" applyProtection="1">
      <alignment horizontal="center" vertical="center"/>
    </xf>
    <xf numFmtId="4" fontId="7" fillId="32" borderId="24" xfId="0" applyNumberFormat="1" applyFont="1" applyFill="1" applyBorder="1" applyAlignment="1" applyProtection="1">
      <alignment horizontal="center" vertical="center"/>
    </xf>
    <xf numFmtId="4" fontId="7" fillId="0" borderId="24" xfId="0" applyNumberFormat="1" applyFont="1" applyFill="1" applyBorder="1" applyAlignment="1" applyProtection="1">
      <alignment horizontal="center" vertical="center"/>
    </xf>
    <xf numFmtId="4" fontId="7" fillId="0" borderId="0" xfId="0" applyNumberFormat="1" applyFont="1" applyFill="1" applyAlignment="1">
      <alignment horizontal="left"/>
    </xf>
    <xf numFmtId="49" fontId="78" fillId="0" borderId="24" xfId="0" applyNumberFormat="1" applyFont="1" applyBorder="1" applyAlignment="1" applyProtection="1">
      <alignment horizontal="center" vertical="center" wrapText="1"/>
    </xf>
    <xf numFmtId="4" fontId="16" fillId="33" borderId="24" xfId="0" applyNumberFormat="1" applyFont="1" applyFill="1" applyBorder="1" applyAlignment="1" applyProtection="1">
      <alignment horizontal="center" vertical="center"/>
    </xf>
    <xf numFmtId="4" fontId="7" fillId="30" borderId="24" xfId="0" applyNumberFormat="1" applyFont="1" applyFill="1" applyBorder="1" applyAlignment="1" applyProtection="1">
      <alignment horizontal="center" vertical="center"/>
    </xf>
    <xf numFmtId="4" fontId="6" fillId="31" borderId="24" xfId="0" applyNumberFormat="1" applyFont="1" applyFill="1" applyBorder="1" applyAlignment="1" applyProtection="1">
      <alignment horizontal="center" vertical="center"/>
    </xf>
    <xf numFmtId="4" fontId="6" fillId="34" borderId="24" xfId="0" applyNumberFormat="1" applyFont="1" applyFill="1" applyBorder="1" applyAlignment="1" applyProtection="1">
      <alignment horizontal="center" vertical="center"/>
    </xf>
    <xf numFmtId="4" fontId="6" fillId="32" borderId="24" xfId="0" applyNumberFormat="1" applyFont="1" applyFill="1" applyBorder="1" applyAlignment="1" applyProtection="1">
      <alignment horizontal="center" vertical="center"/>
    </xf>
    <xf numFmtId="4" fontId="6" fillId="0" borderId="24" xfId="0" applyNumberFormat="1" applyFont="1" applyFill="1" applyBorder="1" applyAlignment="1" applyProtection="1">
      <alignment horizontal="center" vertical="center"/>
    </xf>
    <xf numFmtId="4" fontId="6" fillId="33" borderId="24" xfId="0" applyNumberFormat="1" applyFont="1" applyFill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 wrapText="1"/>
    </xf>
    <xf numFmtId="49" fontId="7" fillId="0" borderId="35" xfId="0" applyNumberFormat="1" applyFont="1" applyBorder="1" applyAlignment="1" applyProtection="1">
      <alignment horizontal="center" vertical="center" wrapText="1"/>
    </xf>
    <xf numFmtId="49" fontId="78" fillId="0" borderId="35" xfId="0" applyNumberFormat="1" applyFont="1" applyBorder="1" applyAlignment="1" applyProtection="1">
      <alignment horizontal="center" vertical="center" wrapText="1"/>
    </xf>
    <xf numFmtId="4" fontId="7" fillId="0" borderId="35" xfId="0" applyNumberFormat="1" applyFont="1" applyBorder="1" applyAlignment="1" applyProtection="1">
      <alignment horizontal="center" vertical="center"/>
    </xf>
    <xf numFmtId="4" fontId="64" fillId="0" borderId="35" xfId="0" applyNumberFormat="1" applyFont="1" applyBorder="1" applyAlignment="1" applyProtection="1">
      <alignment horizontal="center" vertical="center"/>
    </xf>
    <xf numFmtId="4" fontId="7" fillId="33" borderId="35" xfId="0" applyNumberFormat="1" applyFont="1" applyFill="1" applyBorder="1" applyAlignment="1" applyProtection="1">
      <alignment horizontal="center" vertical="center"/>
    </xf>
    <xf numFmtId="4" fontId="7" fillId="31" borderId="35" xfId="0" applyNumberFormat="1" applyFont="1" applyFill="1" applyBorder="1" applyAlignment="1" applyProtection="1">
      <alignment horizontal="center" vertical="center"/>
    </xf>
    <xf numFmtId="4" fontId="16" fillId="31" borderId="35" xfId="0" applyNumberFormat="1" applyFont="1" applyFill="1" applyBorder="1" applyAlignment="1" applyProtection="1">
      <alignment horizontal="center" vertical="center"/>
    </xf>
    <xf numFmtId="4" fontId="7" fillId="34" borderId="35" xfId="0" applyNumberFormat="1" applyFont="1" applyFill="1" applyBorder="1" applyAlignment="1" applyProtection="1">
      <alignment horizontal="center" vertical="center"/>
    </xf>
    <xf numFmtId="4" fontId="16" fillId="34" borderId="35" xfId="0" applyNumberFormat="1" applyFont="1" applyFill="1" applyBorder="1" applyAlignment="1" applyProtection="1">
      <alignment horizontal="center" vertical="center"/>
    </xf>
    <xf numFmtId="4" fontId="7" fillId="32" borderId="35" xfId="0" applyNumberFormat="1" applyFont="1" applyFill="1" applyBorder="1" applyAlignment="1" applyProtection="1">
      <alignment horizontal="center" vertical="center"/>
    </xf>
    <xf numFmtId="4" fontId="16" fillId="32" borderId="35" xfId="0" applyNumberFormat="1" applyFont="1" applyFill="1" applyBorder="1" applyAlignment="1" applyProtection="1">
      <alignment horizontal="center" vertical="center"/>
    </xf>
    <xf numFmtId="4" fontId="7" fillId="0" borderId="35" xfId="0" applyNumberFormat="1" applyFont="1" applyFill="1" applyBorder="1" applyAlignment="1" applyProtection="1">
      <alignment horizontal="center" vertical="center"/>
    </xf>
    <xf numFmtId="4" fontId="16" fillId="0" borderId="35" xfId="0" applyNumberFormat="1" applyFont="1" applyFill="1" applyBorder="1" applyAlignment="1" applyProtection="1">
      <alignment horizontal="center" vertical="center"/>
    </xf>
    <xf numFmtId="0" fontId="7" fillId="0" borderId="0" xfId="0" applyFont="1" applyBorder="1"/>
    <xf numFmtId="49" fontId="7" fillId="0" borderId="3" xfId="0" applyNumberFormat="1" applyFont="1" applyBorder="1" applyAlignment="1" applyProtection="1">
      <alignment horizontal="center" vertical="center" wrapText="1"/>
    </xf>
    <xf numFmtId="4" fontId="7" fillId="0" borderId="3" xfId="0" applyNumberFormat="1" applyFont="1" applyBorder="1" applyAlignment="1" applyProtection="1">
      <alignment horizontal="center" vertical="center"/>
    </xf>
    <xf numFmtId="4" fontId="64" fillId="0" borderId="3" xfId="0" applyNumberFormat="1" applyFont="1" applyBorder="1" applyAlignment="1" applyProtection="1">
      <alignment horizontal="center" vertical="center"/>
    </xf>
    <xf numFmtId="4" fontId="7" fillId="33" borderId="3" xfId="0" applyNumberFormat="1" applyFont="1" applyFill="1" applyBorder="1" applyAlignment="1" applyProtection="1">
      <alignment horizontal="center" vertical="center"/>
    </xf>
    <xf numFmtId="4" fontId="6" fillId="33" borderId="3" xfId="0" applyNumberFormat="1" applyFont="1" applyFill="1" applyBorder="1" applyAlignment="1" applyProtection="1">
      <alignment horizontal="center" vertical="center"/>
    </xf>
    <xf numFmtId="4" fontId="7" fillId="31" borderId="3" xfId="0" applyNumberFormat="1" applyFont="1" applyFill="1" applyBorder="1" applyAlignment="1" applyProtection="1">
      <alignment horizontal="center" vertical="center"/>
    </xf>
    <xf numFmtId="4" fontId="6" fillId="31" borderId="3" xfId="0" applyNumberFormat="1" applyFont="1" applyFill="1" applyBorder="1" applyAlignment="1" applyProtection="1">
      <alignment horizontal="center" vertical="center"/>
    </xf>
    <xf numFmtId="4" fontId="16" fillId="31" borderId="3" xfId="0" applyNumberFormat="1" applyFont="1" applyFill="1" applyBorder="1" applyAlignment="1" applyProtection="1">
      <alignment horizontal="center" vertical="center"/>
    </xf>
    <xf numFmtId="4" fontId="7" fillId="34" borderId="3" xfId="0" applyNumberFormat="1" applyFont="1" applyFill="1" applyBorder="1" applyAlignment="1" applyProtection="1">
      <alignment horizontal="center" vertical="center"/>
    </xf>
    <xf numFmtId="4" fontId="6" fillId="34" borderId="3" xfId="0" applyNumberFormat="1" applyFont="1" applyFill="1" applyBorder="1" applyAlignment="1" applyProtection="1">
      <alignment horizontal="center" vertical="center"/>
    </xf>
    <xf numFmtId="4" fontId="16" fillId="34" borderId="3" xfId="0" applyNumberFormat="1" applyFont="1" applyFill="1" applyBorder="1" applyAlignment="1" applyProtection="1">
      <alignment horizontal="center" vertical="center"/>
    </xf>
    <xf numFmtId="4" fontId="7" fillId="32" borderId="3" xfId="0" applyNumberFormat="1" applyFont="1" applyFill="1" applyBorder="1" applyAlignment="1" applyProtection="1">
      <alignment horizontal="center" vertical="center"/>
    </xf>
    <xf numFmtId="4" fontId="6" fillId="32" borderId="3" xfId="0" applyNumberFormat="1" applyFont="1" applyFill="1" applyBorder="1" applyAlignment="1" applyProtection="1">
      <alignment horizontal="center" vertical="center"/>
    </xf>
    <xf numFmtId="4" fontId="16" fillId="32" borderId="3" xfId="0" applyNumberFormat="1" applyFont="1" applyFill="1" applyBorder="1" applyAlignment="1" applyProtection="1">
      <alignment horizontal="center" vertical="center"/>
    </xf>
    <xf numFmtId="4" fontId="7" fillId="0" borderId="3" xfId="0" applyNumberFormat="1" applyFont="1" applyFill="1" applyBorder="1" applyAlignment="1" applyProtection="1">
      <alignment horizontal="center" vertical="center"/>
    </xf>
    <xf numFmtId="4" fontId="6" fillId="0" borderId="3" xfId="0" applyNumberFormat="1" applyFont="1" applyFill="1" applyBorder="1" applyAlignment="1" applyProtection="1">
      <alignment horizontal="center" vertical="center"/>
    </xf>
    <xf numFmtId="4" fontId="16" fillId="0" borderId="3" xfId="0" applyNumberFormat="1" applyFont="1" applyFill="1" applyBorder="1" applyAlignment="1" applyProtection="1">
      <alignment horizontal="center" vertical="center"/>
    </xf>
    <xf numFmtId="49" fontId="78" fillId="0" borderId="1" xfId="0" applyNumberFormat="1" applyFont="1" applyBorder="1" applyAlignment="1" applyProtection="1">
      <alignment horizontal="center" vertical="center" wrapText="1"/>
    </xf>
    <xf numFmtId="49" fontId="77" fillId="0" borderId="1" xfId="0" applyNumberFormat="1" applyFont="1" applyBorder="1" applyAlignment="1" applyProtection="1">
      <alignment horizontal="center" vertical="center" wrapText="1"/>
    </xf>
    <xf numFmtId="49" fontId="78" fillId="0" borderId="3" xfId="0" applyNumberFormat="1" applyFont="1" applyBorder="1" applyAlignment="1" applyProtection="1">
      <alignment horizontal="center" vertical="center" wrapText="1"/>
    </xf>
    <xf numFmtId="4" fontId="6" fillId="33" borderId="35" xfId="0" applyNumberFormat="1" applyFont="1" applyFill="1" applyBorder="1" applyAlignment="1" applyProtection="1">
      <alignment horizontal="center" vertical="center"/>
    </xf>
    <xf numFmtId="4" fontId="6" fillId="31" borderId="35" xfId="0" applyNumberFormat="1" applyFont="1" applyFill="1" applyBorder="1" applyAlignment="1" applyProtection="1">
      <alignment horizontal="center" vertical="center"/>
    </xf>
    <xf numFmtId="4" fontId="6" fillId="34" borderId="35" xfId="0" applyNumberFormat="1" applyFont="1" applyFill="1" applyBorder="1" applyAlignment="1" applyProtection="1">
      <alignment horizontal="center" vertical="center"/>
    </xf>
    <xf numFmtId="4" fontId="7" fillId="32" borderId="1" xfId="0" applyNumberFormat="1" applyFont="1" applyFill="1" applyBorder="1" applyAlignment="1" applyProtection="1">
      <alignment horizontal="center" vertical="center"/>
    </xf>
    <xf numFmtId="4" fontId="6" fillId="32" borderId="35" xfId="0" applyNumberFormat="1" applyFont="1" applyFill="1" applyBorder="1" applyAlignment="1" applyProtection="1">
      <alignment horizontal="center" vertical="center"/>
    </xf>
    <xf numFmtId="4" fontId="6" fillId="0" borderId="35" xfId="0" applyNumberFormat="1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center" vertical="center"/>
    </xf>
    <xf numFmtId="4" fontId="64" fillId="0" borderId="1" xfId="0" applyNumberFormat="1" applyFont="1" applyBorder="1" applyAlignment="1" applyProtection="1">
      <alignment horizontal="center" vertical="center"/>
    </xf>
    <xf numFmtId="4" fontId="7" fillId="33" borderId="1" xfId="0" applyNumberFormat="1" applyFont="1" applyFill="1" applyBorder="1" applyAlignment="1" applyProtection="1">
      <alignment horizontal="center" vertical="center"/>
    </xf>
    <xf numFmtId="4" fontId="7" fillId="31" borderId="1" xfId="0" applyNumberFormat="1" applyFont="1" applyFill="1" applyBorder="1" applyAlignment="1" applyProtection="1">
      <alignment horizontal="center" vertical="center"/>
    </xf>
    <xf numFmtId="4" fontId="16" fillId="31" borderId="1" xfId="0" applyNumberFormat="1" applyFont="1" applyFill="1" applyBorder="1" applyAlignment="1" applyProtection="1">
      <alignment horizontal="center" vertical="center"/>
    </xf>
    <xf numFmtId="4" fontId="7" fillId="34" borderId="1" xfId="0" applyNumberFormat="1" applyFont="1" applyFill="1" applyBorder="1" applyAlignment="1" applyProtection="1">
      <alignment horizontal="center" vertical="center"/>
    </xf>
    <xf numFmtId="4" fontId="16" fillId="34" borderId="1" xfId="0" applyNumberFormat="1" applyFont="1" applyFill="1" applyBorder="1" applyAlignment="1" applyProtection="1">
      <alignment horizontal="center" vertical="center"/>
    </xf>
    <xf numFmtId="4" fontId="16" fillId="32" borderId="1" xfId="0" applyNumberFormat="1" applyFont="1" applyFill="1" applyBorder="1" applyAlignment="1" applyProtection="1">
      <alignment horizontal="center" vertical="center"/>
    </xf>
    <xf numFmtId="4" fontId="7" fillId="0" borderId="1" xfId="0" applyNumberFormat="1" applyFont="1" applyFill="1" applyBorder="1" applyAlignment="1" applyProtection="1">
      <alignment horizontal="center" vertical="center"/>
    </xf>
    <xf numFmtId="4" fontId="16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" fontId="6" fillId="33" borderId="1" xfId="0" applyNumberFormat="1" applyFont="1" applyFill="1" applyBorder="1" applyAlignment="1" applyProtection="1">
      <alignment horizontal="center" vertical="center"/>
    </xf>
    <xf numFmtId="4" fontId="6" fillId="31" borderId="1" xfId="0" applyNumberFormat="1" applyFont="1" applyFill="1" applyBorder="1" applyAlignment="1" applyProtection="1">
      <alignment horizontal="center" vertical="center"/>
    </xf>
    <xf numFmtId="4" fontId="6" fillId="34" borderId="1" xfId="0" applyNumberFormat="1" applyFont="1" applyFill="1" applyBorder="1" applyAlignment="1" applyProtection="1">
      <alignment horizontal="center" vertical="center"/>
    </xf>
    <xf numFmtId="4" fontId="6" fillId="32" borderId="1" xfId="0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/>
    </xf>
    <xf numFmtId="4" fontId="16" fillId="33" borderId="1" xfId="0" applyNumberFormat="1" applyFont="1" applyFill="1" applyBorder="1" applyAlignment="1" applyProtection="1">
      <alignment horizontal="center" vertical="center"/>
    </xf>
    <xf numFmtId="49" fontId="77" fillId="0" borderId="35" xfId="0" applyNumberFormat="1" applyFont="1" applyBorder="1" applyAlignment="1" applyProtection="1">
      <alignment horizontal="center" vertical="center" wrapText="1"/>
    </xf>
    <xf numFmtId="4" fontId="16" fillId="33" borderId="3" xfId="0" applyNumberFormat="1" applyFont="1" applyFill="1" applyBorder="1" applyAlignment="1" applyProtection="1">
      <alignment horizontal="center" vertical="center"/>
    </xf>
    <xf numFmtId="4" fontId="7" fillId="0" borderId="0" xfId="0" applyNumberFormat="1" applyFont="1"/>
    <xf numFmtId="4" fontId="7" fillId="3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vertical="top" wrapText="1"/>
    </xf>
    <xf numFmtId="0" fontId="7" fillId="0" borderId="26" xfId="0" applyFont="1" applyBorder="1" applyAlignment="1" applyProtection="1">
      <alignment horizontal="center" vertical="center" wrapText="1"/>
    </xf>
    <xf numFmtId="0" fontId="16" fillId="0" borderId="0" xfId="0" applyFont="1"/>
    <xf numFmtId="4" fontId="16" fillId="0" borderId="1" xfId="0" applyNumberFormat="1" applyFont="1" applyBorder="1" applyAlignment="1">
      <alignment horizontal="center" wrapText="1"/>
    </xf>
    <xf numFmtId="4" fontId="74" fillId="0" borderId="1" xfId="0" applyNumberFormat="1" applyFont="1" applyBorder="1" applyAlignment="1">
      <alignment horizontal="center" wrapText="1"/>
    </xf>
    <xf numFmtId="4" fontId="16" fillId="33" borderId="1" xfId="0" applyNumberFormat="1" applyFont="1" applyFill="1" applyBorder="1" applyAlignment="1" applyProtection="1">
      <alignment horizontal="center" vertical="center" wrapText="1"/>
    </xf>
    <xf numFmtId="4" fontId="16" fillId="31" borderId="1" xfId="0" applyNumberFormat="1" applyFont="1" applyFill="1" applyBorder="1" applyAlignment="1" applyProtection="1">
      <alignment horizontal="center" vertical="center" wrapText="1"/>
    </xf>
    <xf numFmtId="4" fontId="16" fillId="34" borderId="1" xfId="0" applyNumberFormat="1" applyFont="1" applyFill="1" applyBorder="1" applyAlignment="1" applyProtection="1">
      <alignment horizontal="center" vertical="center" wrapText="1"/>
    </xf>
    <xf numFmtId="4" fontId="16" fillId="32" borderId="1" xfId="0" applyNumberFormat="1" applyFont="1" applyFill="1" applyBorder="1" applyAlignment="1" applyProtection="1">
      <alignment horizontal="center" vertical="center" wrapText="1"/>
    </xf>
    <xf numFmtId="4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/>
    <xf numFmtId="4" fontId="74" fillId="0" borderId="25" xfId="0" applyNumberFormat="1" applyFont="1" applyBorder="1" applyAlignment="1" applyProtection="1">
      <alignment horizontal="center" vertical="center" wrapText="1"/>
    </xf>
    <xf numFmtId="4" fontId="16" fillId="33" borderId="25" xfId="0" applyNumberFormat="1" applyFont="1" applyFill="1" applyBorder="1" applyAlignment="1" applyProtection="1">
      <alignment horizontal="center" vertical="center" wrapText="1"/>
    </xf>
    <xf numFmtId="4" fontId="16" fillId="31" borderId="25" xfId="0" applyNumberFormat="1" applyFont="1" applyFill="1" applyBorder="1" applyAlignment="1" applyProtection="1">
      <alignment horizontal="center" vertical="center" wrapText="1"/>
    </xf>
    <xf numFmtId="4" fontId="16" fillId="31" borderId="27" xfId="0" applyNumberFormat="1" applyFont="1" applyFill="1" applyBorder="1" applyAlignment="1" applyProtection="1">
      <alignment horizontal="center" vertical="center" wrapText="1"/>
    </xf>
    <xf numFmtId="4" fontId="16" fillId="34" borderId="25" xfId="0" applyNumberFormat="1" applyFont="1" applyFill="1" applyBorder="1" applyAlignment="1" applyProtection="1">
      <alignment horizontal="center" vertical="center" wrapText="1"/>
    </xf>
    <xf numFmtId="4" fontId="16" fillId="34" borderId="27" xfId="0" applyNumberFormat="1" applyFont="1" applyFill="1" applyBorder="1" applyAlignment="1" applyProtection="1">
      <alignment horizontal="center" vertical="center" wrapText="1"/>
    </xf>
    <xf numFmtId="4" fontId="16" fillId="32" borderId="25" xfId="0" applyNumberFormat="1" applyFont="1" applyFill="1" applyBorder="1" applyAlignment="1" applyProtection="1">
      <alignment horizontal="center" vertical="center" wrapText="1"/>
    </xf>
    <xf numFmtId="4" fontId="16" fillId="32" borderId="27" xfId="0" applyNumberFormat="1" applyFont="1" applyFill="1" applyBorder="1" applyAlignment="1" applyProtection="1">
      <alignment horizontal="center" vertical="center" wrapText="1"/>
    </xf>
    <xf numFmtId="4" fontId="16" fillId="0" borderId="25" xfId="0" applyNumberFormat="1" applyFont="1" applyFill="1" applyBorder="1" applyAlignment="1" applyProtection="1">
      <alignment horizontal="center" vertical="center" wrapText="1"/>
    </xf>
    <xf numFmtId="4" fontId="16" fillId="0" borderId="27" xfId="0" applyNumberFormat="1" applyFont="1" applyFill="1" applyBorder="1" applyAlignment="1" applyProtection="1">
      <alignment horizontal="center" vertical="center" wrapText="1"/>
    </xf>
    <xf numFmtId="0" fontId="7" fillId="31" borderId="0" xfId="0" applyFont="1" applyFill="1"/>
    <xf numFmtId="0" fontId="16" fillId="31" borderId="0" xfId="0" applyFont="1" applyFill="1"/>
    <xf numFmtId="0" fontId="7" fillId="32" borderId="0" xfId="0" applyFont="1" applyFill="1"/>
    <xf numFmtId="0" fontId="16" fillId="32" borderId="0" xfId="0" applyFont="1" applyFill="1"/>
    <xf numFmtId="4" fontId="7" fillId="0" borderId="0" xfId="0" applyNumberFormat="1" applyFont="1" applyAlignment="1">
      <alignment horizontal="center"/>
    </xf>
    <xf numFmtId="4" fontId="6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" fontId="7" fillId="31" borderId="0" xfId="0" applyNumberFormat="1" applyFont="1" applyFill="1" applyAlignment="1">
      <alignment horizontal="center"/>
    </xf>
    <xf numFmtId="0" fontId="7" fillId="31" borderId="0" xfId="0" applyFont="1" applyFill="1" applyAlignment="1">
      <alignment horizontal="center"/>
    </xf>
    <xf numFmtId="4" fontId="7" fillId="32" borderId="0" xfId="0" applyNumberFormat="1" applyFont="1" applyFill="1" applyAlignment="1">
      <alignment horizontal="center"/>
    </xf>
    <xf numFmtId="0" fontId="7" fillId="32" borderId="0" xfId="0" applyFont="1" applyFill="1" applyAlignment="1">
      <alignment horizontal="center"/>
    </xf>
    <xf numFmtId="4" fontId="64" fillId="0" borderId="0" xfId="0" applyNumberFormat="1" applyFont="1"/>
    <xf numFmtId="4" fontId="7" fillId="31" borderId="0" xfId="0" applyNumberFormat="1" applyFont="1" applyFill="1"/>
    <xf numFmtId="4" fontId="7" fillId="32" borderId="0" xfId="0" applyNumberFormat="1" applyFont="1" applyFill="1"/>
    <xf numFmtId="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31" borderId="0" xfId="0" applyNumberFormat="1" applyFont="1" applyFill="1" applyAlignment="1">
      <alignment horizontal="center" wrapText="1"/>
    </xf>
    <xf numFmtId="0" fontId="7" fillId="31" borderId="0" xfId="0" applyFont="1" applyFill="1" applyAlignment="1">
      <alignment horizontal="center" wrapText="1"/>
    </xf>
    <xf numFmtId="4" fontId="7" fillId="32" borderId="0" xfId="0" applyNumberFormat="1" applyFont="1" applyFill="1" applyAlignment="1">
      <alignment horizontal="center" wrapText="1"/>
    </xf>
    <xf numFmtId="0" fontId="7" fillId="32" borderId="0" xfId="0" applyFont="1" applyFill="1" applyAlignment="1">
      <alignment horizontal="center" wrapText="1"/>
    </xf>
    <xf numFmtId="175" fontId="15" fillId="0" borderId="0" xfId="0" applyNumberFormat="1" applyFont="1" applyFill="1" applyAlignment="1">
      <alignment vertical="center"/>
    </xf>
    <xf numFmtId="4" fontId="15" fillId="0" borderId="0" xfId="0" applyNumberFormat="1" applyFont="1" applyFill="1" applyAlignment="1">
      <alignment horizontal="left"/>
    </xf>
    <xf numFmtId="0" fontId="7" fillId="0" borderId="13" xfId="0" applyFont="1" applyBorder="1" applyAlignment="1" applyProtection="1">
      <alignment horizontal="center" vertical="center" wrapText="1"/>
    </xf>
    <xf numFmtId="2" fontId="15" fillId="0" borderId="0" xfId="0" applyNumberFormat="1" applyFont="1" applyFill="1" applyAlignment="1">
      <alignment vertical="center"/>
    </xf>
    <xf numFmtId="4" fontId="59" fillId="0" borderId="0" xfId="0" applyNumberFormat="1" applyFont="1" applyFill="1" applyAlignment="1">
      <alignment horizontal="left" vertical="center"/>
    </xf>
    <xf numFmtId="49" fontId="77" fillId="0" borderId="38" xfId="0" applyNumberFormat="1" applyFont="1" applyBorder="1" applyAlignment="1" applyProtection="1">
      <alignment horizontal="center" vertical="center" wrapText="1"/>
    </xf>
    <xf numFmtId="4" fontId="16" fillId="0" borderId="27" xfId="0" applyNumberFormat="1" applyFont="1" applyBorder="1" applyAlignment="1" applyProtection="1">
      <alignment horizontal="center" vertical="center" wrapText="1"/>
    </xf>
    <xf numFmtId="4" fontId="59" fillId="0" borderId="0" xfId="0" applyNumberFormat="1" applyFont="1" applyFill="1" applyBorder="1" applyAlignment="1">
      <alignment horizontal="left" vertical="center" wrapText="1"/>
    </xf>
    <xf numFmtId="0" fontId="82" fillId="0" borderId="0" xfId="0" applyFont="1" applyAlignment="1">
      <alignment horizontal="center" vertical="center"/>
    </xf>
    <xf numFmtId="0" fontId="68" fillId="0" borderId="0" xfId="0" applyFont="1"/>
    <xf numFmtId="4" fontId="68" fillId="0" borderId="0" xfId="0" applyNumberFormat="1" applyFont="1"/>
    <xf numFmtId="4" fontId="59" fillId="0" borderId="0" xfId="0" applyNumberFormat="1" applyFont="1" applyFill="1" applyBorder="1" applyAlignment="1">
      <alignment horizontal="left" vertical="center"/>
    </xf>
    <xf numFmtId="0" fontId="7" fillId="0" borderId="13" xfId="0" applyFont="1" applyBorder="1" applyAlignment="1" applyProtection="1">
      <alignment horizontal="center" vertical="center" wrapText="1"/>
    </xf>
    <xf numFmtId="49" fontId="77" fillId="0" borderId="3" xfId="0" applyNumberFormat="1" applyFont="1" applyBorder="1" applyAlignment="1" applyProtection="1">
      <alignment horizontal="center" vertical="center" wrapText="1"/>
    </xf>
    <xf numFmtId="4" fontId="55" fillId="0" borderId="0" xfId="0" applyNumberFormat="1" applyFont="1" applyFill="1" applyAlignment="1">
      <alignment vertical="center"/>
    </xf>
    <xf numFmtId="3" fontId="15" fillId="0" borderId="0" xfId="0" applyNumberFormat="1" applyFont="1" applyFill="1" applyAlignment="1">
      <alignment horizontal="left" vertical="center"/>
    </xf>
    <xf numFmtId="0" fontId="7" fillId="0" borderId="7" xfId="0" applyFont="1" applyBorder="1" applyAlignment="1" applyProtection="1">
      <alignment horizontal="center" wrapText="1"/>
    </xf>
    <xf numFmtId="0" fontId="7" fillId="0" borderId="8" xfId="0" applyFont="1" applyBorder="1" applyAlignment="1" applyProtection="1">
      <alignment vertical="top" wrapText="1"/>
    </xf>
    <xf numFmtId="0" fontId="7" fillId="0" borderId="8" xfId="0" applyFont="1" applyBorder="1" applyAlignment="1" applyProtection="1">
      <alignment horizontal="left" vertical="top" wrapText="1"/>
    </xf>
    <xf numFmtId="0" fontId="7" fillId="0" borderId="4" xfId="0" applyFont="1" applyBorder="1" applyAlignment="1" applyProtection="1">
      <alignment horizontal="center" vertical="center" wrapText="1"/>
    </xf>
    <xf numFmtId="4" fontId="15" fillId="0" borderId="1" xfId="6" applyNumberFormat="1" applyFont="1" applyFill="1" applyBorder="1" applyAlignment="1">
      <alignment horizontal="center" vertical="center" wrapText="1"/>
    </xf>
    <xf numFmtId="4" fontId="15" fillId="0" borderId="7" xfId="0" applyNumberFormat="1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left" vertical="top" wrapText="1"/>
    </xf>
    <xf numFmtId="4" fontId="55" fillId="0" borderId="0" xfId="0" applyNumberFormat="1" applyFont="1" applyFill="1" applyBorder="1" applyAlignment="1">
      <alignment vertical="center"/>
    </xf>
    <xf numFmtId="4" fontId="6" fillId="0" borderId="0" xfId="0" applyNumberFormat="1" applyFont="1"/>
    <xf numFmtId="4" fontId="15" fillId="0" borderId="0" xfId="0" applyNumberFormat="1" applyFont="1" applyFill="1" applyAlignment="1">
      <alignment horizontal="right" vertical="center"/>
    </xf>
    <xf numFmtId="0" fontId="7" fillId="0" borderId="13" xfId="0" applyFont="1" applyBorder="1" applyAlignment="1" applyProtection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vertical="center"/>
    </xf>
    <xf numFmtId="0" fontId="7" fillId="0" borderId="26" xfId="0" applyFont="1" applyBorder="1" applyAlignment="1" applyProtection="1">
      <alignment horizontal="left" vertical="top" wrapText="1"/>
    </xf>
    <xf numFmtId="0" fontId="7" fillId="0" borderId="45" xfId="0" applyFont="1" applyBorder="1" applyAlignment="1" applyProtection="1">
      <alignment horizontal="center" vertical="center" wrapText="1"/>
    </xf>
    <xf numFmtId="49" fontId="7" fillId="0" borderId="46" xfId="0" applyNumberFormat="1" applyFont="1" applyBorder="1" applyAlignment="1" applyProtection="1">
      <alignment horizontal="center" vertical="center" wrapText="1"/>
    </xf>
    <xf numFmtId="49" fontId="78" fillId="0" borderId="46" xfId="0" applyNumberFormat="1" applyFont="1" applyBorder="1" applyAlignment="1" applyProtection="1">
      <alignment horizontal="center" vertical="center" wrapText="1"/>
    </xf>
    <xf numFmtId="4" fontId="7" fillId="0" borderId="46" xfId="0" applyNumberFormat="1" applyFont="1" applyBorder="1" applyAlignment="1" applyProtection="1">
      <alignment horizontal="center" vertical="center"/>
    </xf>
    <xf numFmtId="4" fontId="64" fillId="0" borderId="46" xfId="0" applyNumberFormat="1" applyFont="1" applyBorder="1" applyAlignment="1" applyProtection="1">
      <alignment horizontal="center" vertical="center"/>
    </xf>
    <xf numFmtId="4" fontId="7" fillId="33" borderId="46" xfId="0" applyNumberFormat="1" applyFont="1" applyFill="1" applyBorder="1" applyAlignment="1" applyProtection="1">
      <alignment horizontal="center" vertical="center"/>
    </xf>
    <xf numFmtId="4" fontId="7" fillId="31" borderId="46" xfId="0" applyNumberFormat="1" applyFont="1" applyFill="1" applyBorder="1" applyAlignment="1" applyProtection="1">
      <alignment horizontal="center" vertical="center"/>
    </xf>
    <xf numFmtId="4" fontId="16" fillId="31" borderId="46" xfId="0" applyNumberFormat="1" applyFont="1" applyFill="1" applyBorder="1" applyAlignment="1" applyProtection="1">
      <alignment horizontal="center" vertical="center"/>
    </xf>
    <xf numFmtId="4" fontId="7" fillId="34" borderId="46" xfId="0" applyNumberFormat="1" applyFont="1" applyFill="1" applyBorder="1" applyAlignment="1" applyProtection="1">
      <alignment horizontal="center" vertical="center"/>
    </xf>
    <xf numFmtId="4" fontId="16" fillId="34" borderId="46" xfId="0" applyNumberFormat="1" applyFont="1" applyFill="1" applyBorder="1" applyAlignment="1" applyProtection="1">
      <alignment horizontal="center" vertical="center"/>
    </xf>
    <xf numFmtId="4" fontId="7" fillId="32" borderId="46" xfId="0" applyNumberFormat="1" applyFont="1" applyFill="1" applyBorder="1" applyAlignment="1" applyProtection="1">
      <alignment horizontal="center" vertical="center"/>
    </xf>
    <xf numFmtId="4" fontId="16" fillId="32" borderId="46" xfId="0" applyNumberFormat="1" applyFont="1" applyFill="1" applyBorder="1" applyAlignment="1" applyProtection="1">
      <alignment horizontal="center" vertical="center"/>
    </xf>
    <xf numFmtId="4" fontId="7" fillId="0" borderId="46" xfId="0" applyNumberFormat="1" applyFont="1" applyFill="1" applyBorder="1" applyAlignment="1" applyProtection="1">
      <alignment horizontal="center" vertical="center"/>
    </xf>
    <xf numFmtId="4" fontId="16" fillId="0" borderId="46" xfId="0" applyNumberFormat="1" applyFont="1" applyFill="1" applyBorder="1" applyAlignment="1" applyProtection="1">
      <alignment horizontal="center" vertical="center"/>
    </xf>
    <xf numFmtId="4" fontId="7" fillId="30" borderId="35" xfId="0" applyNumberFormat="1" applyFont="1" applyFill="1" applyBorder="1" applyAlignment="1" applyProtection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 applyProtection="1">
      <alignment horizontal="center" vertical="center" wrapText="1"/>
    </xf>
    <xf numFmtId="49" fontId="7" fillId="0" borderId="24" xfId="0" applyNumberFormat="1" applyFont="1" applyFill="1" applyBorder="1" applyAlignment="1" applyProtection="1">
      <alignment horizontal="center" vertical="center" wrapText="1"/>
    </xf>
    <xf numFmtId="49" fontId="78" fillId="0" borderId="24" xfId="0" applyNumberFormat="1" applyFont="1" applyFill="1" applyBorder="1" applyAlignment="1" applyProtection="1">
      <alignment horizontal="center" vertical="center" wrapText="1"/>
    </xf>
    <xf numFmtId="4" fontId="64" fillId="0" borderId="24" xfId="0" applyNumberFormat="1" applyFont="1" applyFill="1" applyBorder="1" applyAlignment="1" applyProtection="1">
      <alignment horizontal="center" vertical="center"/>
    </xf>
    <xf numFmtId="2" fontId="7" fillId="0" borderId="0" xfId="0" applyNumberFormat="1" applyFont="1"/>
    <xf numFmtId="4" fontId="15" fillId="0" borderId="0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55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Alignment="1"/>
    <xf numFmtId="0" fontId="23" fillId="36" borderId="1" xfId="9" applyFont="1" applyFill="1" applyBorder="1" applyAlignment="1">
      <alignment vertical="center" wrapText="1"/>
    </xf>
    <xf numFmtId="0" fontId="24" fillId="36" borderId="1" xfId="9" applyFont="1" applyFill="1" applyBorder="1" applyAlignment="1">
      <alignment horizontal="center" vertical="center" wrapText="1"/>
    </xf>
    <xf numFmtId="49" fontId="23" fillId="36" borderId="1" xfId="9" applyNumberFormat="1" applyFont="1" applyFill="1" applyBorder="1" applyAlignment="1">
      <alignment horizontal="center" vertical="center" wrapText="1"/>
    </xf>
    <xf numFmtId="4" fontId="23" fillId="36" borderId="1" xfId="9" applyNumberFormat="1" applyFont="1" applyFill="1" applyBorder="1" applyAlignment="1">
      <alignment horizontal="center" vertical="center"/>
    </xf>
    <xf numFmtId="4" fontId="23" fillId="36" borderId="1" xfId="9" applyNumberFormat="1" applyFont="1" applyFill="1" applyBorder="1" applyAlignment="1">
      <alignment vertical="center"/>
    </xf>
    <xf numFmtId="4" fontId="69" fillId="36" borderId="0" xfId="8" applyNumberFormat="1" applyFont="1" applyFill="1"/>
    <xf numFmtId="0" fontId="18" fillId="36" borderId="0" xfId="8" applyFont="1" applyFill="1"/>
    <xf numFmtId="4" fontId="18" fillId="36" borderId="0" xfId="8" applyNumberFormat="1" applyFont="1" applyFill="1"/>
    <xf numFmtId="0" fontId="25" fillId="37" borderId="1" xfId="9" applyFont="1" applyFill="1" applyBorder="1" applyAlignment="1">
      <alignment vertical="center" wrapText="1"/>
    </xf>
    <xf numFmtId="0" fontId="25" fillId="37" borderId="1" xfId="9" applyFont="1" applyFill="1" applyBorder="1" applyAlignment="1">
      <alignment horizontal="center" vertical="center" wrapText="1"/>
    </xf>
    <xf numFmtId="49" fontId="25" fillId="37" borderId="1" xfId="9" applyNumberFormat="1" applyFont="1" applyFill="1" applyBorder="1" applyAlignment="1">
      <alignment horizontal="center" vertical="center" wrapText="1"/>
    </xf>
    <xf numFmtId="4" fontId="25" fillId="37" borderId="1" xfId="9" applyNumberFormat="1" applyFont="1" applyFill="1" applyBorder="1" applyAlignment="1">
      <alignment horizontal="center" vertical="center"/>
    </xf>
    <xf numFmtId="4" fontId="18" fillId="37" borderId="0" xfId="8" applyNumberFormat="1" applyFont="1" applyFill="1"/>
    <xf numFmtId="0" fontId="18" fillId="37" borderId="0" xfId="8" applyFont="1" applyFill="1"/>
    <xf numFmtId="0" fontId="18" fillId="37" borderId="1" xfId="9" applyFont="1" applyFill="1" applyBorder="1" applyAlignment="1">
      <alignment vertical="center" wrapText="1"/>
    </xf>
    <xf numFmtId="0" fontId="24" fillId="37" borderId="1" xfId="9" applyFont="1" applyFill="1" applyBorder="1" applyAlignment="1">
      <alignment horizontal="center" vertical="center" wrapText="1"/>
    </xf>
    <xf numFmtId="49" fontId="18" fillId="37" borderId="1" xfId="9" applyNumberFormat="1" applyFont="1" applyFill="1" applyBorder="1" applyAlignment="1">
      <alignment horizontal="center" vertical="center" wrapText="1"/>
    </xf>
    <xf numFmtId="2" fontId="18" fillId="37" borderId="1" xfId="9" applyNumberFormat="1" applyFont="1" applyFill="1" applyBorder="1" applyAlignment="1">
      <alignment horizontal="center" vertical="center" wrapText="1"/>
    </xf>
    <xf numFmtId="2" fontId="25" fillId="37" borderId="1" xfId="9" applyNumberFormat="1" applyFont="1" applyFill="1" applyBorder="1" applyAlignment="1">
      <alignment horizontal="center" vertical="center" wrapText="1"/>
    </xf>
    <xf numFmtId="4" fontId="25" fillId="37" borderId="0" xfId="8" applyNumberFormat="1" applyFont="1" applyFill="1"/>
    <xf numFmtId="0" fontId="25" fillId="37" borderId="0" xfId="8" applyFont="1" applyFill="1"/>
    <xf numFmtId="4" fontId="18" fillId="37" borderId="0" xfId="8" applyNumberFormat="1" applyFont="1" applyFill="1" applyAlignment="1">
      <alignment horizontal="left"/>
    </xf>
    <xf numFmtId="4" fontId="18" fillId="0" borderId="0" xfId="8" applyNumberFormat="1" applyFont="1" applyAlignment="1">
      <alignment horizontal="left"/>
    </xf>
    <xf numFmtId="4" fontId="18" fillId="0" borderId="0" xfId="8" applyNumberFormat="1" applyFont="1" applyFill="1" applyAlignment="1">
      <alignment horizontal="left"/>
    </xf>
    <xf numFmtId="4" fontId="23" fillId="37" borderId="1" xfId="9" applyNumberFormat="1" applyFont="1" applyFill="1" applyBorder="1" applyAlignment="1">
      <alignment vertical="center"/>
    </xf>
    <xf numFmtId="4" fontId="73" fillId="37" borderId="1" xfId="9" applyNumberFormat="1" applyFont="1" applyFill="1" applyBorder="1" applyAlignment="1">
      <alignment horizontal="center" vertical="center"/>
    </xf>
    <xf numFmtId="0" fontId="91" fillId="37" borderId="1" xfId="9" applyFont="1" applyFill="1" applyBorder="1" applyAlignment="1">
      <alignment vertical="center" wrapText="1"/>
    </xf>
    <xf numFmtId="0" fontId="91" fillId="37" borderId="1" xfId="9" applyFont="1" applyFill="1" applyBorder="1" applyAlignment="1">
      <alignment horizontal="center" vertical="center" wrapText="1"/>
    </xf>
    <xf numFmtId="49" fontId="91" fillId="37" borderId="1" xfId="9" applyNumberFormat="1" applyFont="1" applyFill="1" applyBorder="1" applyAlignment="1">
      <alignment horizontal="center" vertical="center" wrapText="1"/>
    </xf>
    <xf numFmtId="4" fontId="91" fillId="37" borderId="1" xfId="9" applyNumberFormat="1" applyFont="1" applyFill="1" applyBorder="1" applyAlignment="1">
      <alignment horizontal="center" vertical="center"/>
    </xf>
    <xf numFmtId="4" fontId="92" fillId="37" borderId="1" xfId="9" applyNumberFormat="1" applyFont="1" applyFill="1" applyBorder="1" applyAlignment="1">
      <alignment vertical="center"/>
    </xf>
    <xf numFmtId="4" fontId="88" fillId="37" borderId="0" xfId="8" applyNumberFormat="1" applyFont="1" applyFill="1"/>
    <xf numFmtId="0" fontId="88" fillId="37" borderId="0" xfId="8" applyFont="1" applyFill="1"/>
    <xf numFmtId="0" fontId="25" fillId="37" borderId="2" xfId="9" applyFont="1" applyFill="1" applyBorder="1" applyAlignment="1">
      <alignment vertical="center" wrapText="1"/>
    </xf>
    <xf numFmtId="49" fontId="18" fillId="37" borderId="2" xfId="9" applyNumberFormat="1" applyFont="1" applyFill="1" applyBorder="1" applyAlignment="1">
      <alignment horizontal="center" vertical="center" wrapText="1"/>
    </xf>
    <xf numFmtId="0" fontId="23" fillId="36" borderId="2" xfId="9" applyFont="1" applyFill="1" applyBorder="1" applyAlignment="1">
      <alignment vertical="center" wrapText="1"/>
    </xf>
    <xf numFmtId="0" fontId="24" fillId="36" borderId="2" xfId="9" applyFont="1" applyFill="1" applyBorder="1" applyAlignment="1">
      <alignment horizontal="center" vertical="center" wrapText="1"/>
    </xf>
    <xf numFmtId="49" fontId="23" fillId="36" borderId="2" xfId="9" applyNumberFormat="1" applyFont="1" applyFill="1" applyBorder="1" applyAlignment="1">
      <alignment horizontal="center" vertical="center" wrapText="1"/>
    </xf>
    <xf numFmtId="4" fontId="23" fillId="36" borderId="2" xfId="9" applyNumberFormat="1" applyFont="1" applyFill="1" applyBorder="1" applyAlignment="1">
      <alignment horizontal="center" vertical="center"/>
    </xf>
    <xf numFmtId="0" fontId="19" fillId="0" borderId="7" xfId="9" applyFont="1" applyFill="1" applyBorder="1" applyAlignment="1">
      <alignment horizontal="center" vertical="center" wrapText="1"/>
    </xf>
    <xf numFmtId="0" fontId="18" fillId="32" borderId="1" xfId="9" applyFont="1" applyFill="1" applyBorder="1" applyAlignment="1">
      <alignment vertical="center" wrapText="1"/>
    </xf>
    <xf numFmtId="0" fontId="24" fillId="32" borderId="1" xfId="9" applyFont="1" applyFill="1" applyBorder="1" applyAlignment="1">
      <alignment horizontal="center" vertical="center" wrapText="1"/>
    </xf>
    <xf numFmtId="49" fontId="18" fillId="32" borderId="1" xfId="9" applyNumberFormat="1" applyFont="1" applyFill="1" applyBorder="1" applyAlignment="1">
      <alignment horizontal="center" vertical="center" wrapText="1"/>
    </xf>
    <xf numFmtId="2" fontId="18" fillId="32" borderId="1" xfId="9" applyNumberFormat="1" applyFont="1" applyFill="1" applyBorder="1" applyAlignment="1">
      <alignment horizontal="center" vertical="center" wrapText="1"/>
    </xf>
    <xf numFmtId="4" fontId="24" fillId="32" borderId="1" xfId="9" applyNumberFormat="1" applyFont="1" applyFill="1" applyBorder="1" applyAlignment="1">
      <alignment horizontal="center" vertical="center"/>
    </xf>
    <xf numFmtId="167" fontId="18" fillId="32" borderId="1" xfId="9" applyNumberFormat="1" applyFont="1" applyFill="1" applyBorder="1" applyAlignment="1">
      <alignment horizontal="center" vertical="center"/>
    </xf>
    <xf numFmtId="167" fontId="24" fillId="32" borderId="1" xfId="9" applyNumberFormat="1" applyFont="1" applyFill="1" applyBorder="1" applyAlignment="1">
      <alignment horizontal="center" vertical="center"/>
    </xf>
    <xf numFmtId="0" fontId="25" fillId="37" borderId="2" xfId="9" applyFont="1" applyFill="1" applyBorder="1" applyAlignment="1">
      <alignment horizontal="center" vertical="center" wrapText="1"/>
    </xf>
    <xf numFmtId="4" fontId="25" fillId="37" borderId="2" xfId="9" applyNumberFormat="1" applyFont="1" applyFill="1" applyBorder="1" applyAlignment="1">
      <alignment horizontal="center" vertical="center"/>
    </xf>
    <xf numFmtId="0" fontId="18" fillId="32" borderId="2" xfId="9" applyFont="1" applyFill="1" applyBorder="1" applyAlignment="1">
      <alignment vertical="center" wrapText="1"/>
    </xf>
    <xf numFmtId="0" fontId="24" fillId="32" borderId="2" xfId="9" applyFont="1" applyFill="1" applyBorder="1" applyAlignment="1">
      <alignment horizontal="center" vertical="center" wrapText="1"/>
    </xf>
    <xf numFmtId="0" fontId="23" fillId="32" borderId="2" xfId="9" applyFont="1" applyFill="1" applyBorder="1" applyAlignment="1">
      <alignment vertical="center" wrapText="1"/>
    </xf>
    <xf numFmtId="49" fontId="18" fillId="32" borderId="2" xfId="9" applyNumberFormat="1" applyFont="1" applyFill="1" applyBorder="1" applyAlignment="1">
      <alignment horizontal="center" vertical="center" wrapText="1"/>
    </xf>
    <xf numFmtId="4" fontId="24" fillId="32" borderId="2" xfId="9" applyNumberFormat="1" applyFont="1" applyFill="1" applyBorder="1" applyAlignment="1">
      <alignment horizontal="center" vertical="center"/>
    </xf>
    <xf numFmtId="4" fontId="25" fillId="32" borderId="1" xfId="9" applyNumberFormat="1" applyFont="1" applyFill="1" applyBorder="1" applyAlignment="1">
      <alignment horizontal="center" vertical="center"/>
    </xf>
    <xf numFmtId="0" fontId="0" fillId="32" borderId="0" xfId="0" applyFill="1"/>
    <xf numFmtId="0" fontId="93" fillId="32" borderId="0" xfId="0" applyFont="1" applyFill="1"/>
    <xf numFmtId="0" fontId="93" fillId="32" borderId="0" xfId="0" applyFont="1" applyFill="1" applyAlignment="1">
      <alignment horizontal="left"/>
    </xf>
    <xf numFmtId="0" fontId="95" fillId="0" borderId="0" xfId="0" applyFont="1" applyAlignment="1">
      <alignment horizontal="left"/>
    </xf>
    <xf numFmtId="0" fontId="93" fillId="0" borderId="0" xfId="0" applyFont="1" applyAlignment="1">
      <alignment horizontal="left"/>
    </xf>
    <xf numFmtId="4" fontId="16" fillId="35" borderId="1" xfId="3" applyNumberFormat="1" applyFont="1" applyFill="1" applyBorder="1" applyAlignment="1" applyProtection="1">
      <alignment horizontal="center" vertical="center" wrapText="1"/>
    </xf>
    <xf numFmtId="4" fontId="16" fillId="0" borderId="1" xfId="3" applyNumberFormat="1" applyFont="1" applyFill="1" applyBorder="1" applyAlignment="1" applyProtection="1">
      <alignment horizontal="center" vertical="center" wrapText="1"/>
    </xf>
    <xf numFmtId="0" fontId="15" fillId="0" borderId="1" xfId="3" applyFont="1" applyFill="1" applyBorder="1" applyAlignment="1">
      <alignment horizontal="left" vertical="center" wrapText="1"/>
    </xf>
    <xf numFmtId="4" fontId="64" fillId="0" borderId="1" xfId="3" applyNumberFormat="1" applyFont="1" applyFill="1" applyBorder="1" applyAlignment="1">
      <alignment horizontal="center" vertical="center" wrapText="1"/>
    </xf>
    <xf numFmtId="4" fontId="27" fillId="0" borderId="1" xfId="3" applyNumberFormat="1" applyFont="1" applyFill="1" applyBorder="1" applyAlignment="1">
      <alignment vertical="center" wrapText="1"/>
    </xf>
    <xf numFmtId="4" fontId="64" fillId="0" borderId="1" xfId="3" applyNumberFormat="1" applyFont="1" applyFill="1" applyBorder="1" applyAlignment="1">
      <alignment horizontal="right" vertical="center" wrapText="1"/>
    </xf>
    <xf numFmtId="4" fontId="64" fillId="35" borderId="1" xfId="3" applyNumberFormat="1" applyFont="1" applyFill="1" applyBorder="1" applyAlignment="1">
      <alignment horizontal="center" vertical="center" wrapText="1"/>
    </xf>
    <xf numFmtId="4" fontId="64" fillId="38" borderId="1" xfId="3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2" fontId="0" fillId="0" borderId="0" xfId="0" applyNumberFormat="1"/>
    <xf numFmtId="0" fontId="15" fillId="0" borderId="1" xfId="3" applyFont="1" applyFill="1" applyBorder="1" applyAlignment="1">
      <alignment horizontal="right" vertical="center" wrapText="1"/>
    </xf>
    <xf numFmtId="4" fontId="64" fillId="0" borderId="1" xfId="3" applyNumberFormat="1" applyFont="1" applyFill="1" applyBorder="1" applyAlignment="1">
      <alignment vertical="center" wrapText="1"/>
    </xf>
    <xf numFmtId="9" fontId="87" fillId="0" borderId="1" xfId="177" applyFont="1" applyFill="1" applyBorder="1" applyAlignment="1">
      <alignment horizontal="right" vertical="center" wrapText="1"/>
    </xf>
    <xf numFmtId="4" fontId="87" fillId="0" borderId="1" xfId="3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0" fontId="55" fillId="0" borderId="1" xfId="3" applyFont="1" applyFill="1" applyBorder="1" applyAlignment="1">
      <alignment horizontal="left" vertical="center" wrapText="1"/>
    </xf>
    <xf numFmtId="4" fontId="74" fillId="0" borderId="1" xfId="3" applyNumberFormat="1" applyFont="1" applyFill="1" applyBorder="1" applyAlignment="1">
      <alignment horizontal="center" vertical="center" wrapText="1"/>
    </xf>
    <xf numFmtId="4" fontId="74" fillId="0" borderId="1" xfId="3" applyNumberFormat="1" applyFont="1" applyFill="1" applyBorder="1" applyAlignment="1">
      <alignment horizontal="right" vertical="center" wrapText="1"/>
    </xf>
    <xf numFmtId="4" fontId="74" fillId="35" borderId="1" xfId="3" applyNumberFormat="1" applyFont="1" applyFill="1" applyBorder="1" applyAlignment="1">
      <alignment horizontal="center" vertical="center" wrapText="1"/>
    </xf>
    <xf numFmtId="4" fontId="96" fillId="35" borderId="1" xfId="3" applyNumberFormat="1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vertical="center" wrapText="1"/>
    </xf>
    <xf numFmtId="49" fontId="94" fillId="0" borderId="34" xfId="3" applyNumberFormat="1" applyFont="1" applyFill="1" applyBorder="1" applyAlignment="1">
      <alignment vertical="center" wrapText="1"/>
    </xf>
    <xf numFmtId="0" fontId="15" fillId="0" borderId="0" xfId="3" applyFont="1" applyFill="1" applyBorder="1" applyAlignment="1">
      <alignment horizontal="left" vertical="center" wrapText="1"/>
    </xf>
    <xf numFmtId="4" fontId="64" fillId="0" borderId="0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right" vertical="center" wrapText="1"/>
    </xf>
    <xf numFmtId="0" fontId="55" fillId="0" borderId="0" xfId="3" applyFont="1" applyFill="1" applyBorder="1" applyAlignment="1">
      <alignment horizontal="left" vertical="center" wrapText="1"/>
    </xf>
    <xf numFmtId="4" fontId="74" fillId="0" borderId="0" xfId="3" applyNumberFormat="1" applyFont="1" applyFill="1" applyBorder="1" applyAlignment="1">
      <alignment horizontal="center" vertical="center" wrapText="1"/>
    </xf>
    <xf numFmtId="49" fontId="27" fillId="29" borderId="0" xfId="0" applyNumberFormat="1" applyFont="1" applyFill="1" applyBorder="1" applyAlignment="1" applyProtection="1">
      <alignment horizontal="right" vertical="center" wrapText="1"/>
    </xf>
    <xf numFmtId="4" fontId="74" fillId="29" borderId="0" xfId="3" applyNumberFormat="1" applyFont="1" applyFill="1" applyBorder="1" applyAlignment="1">
      <alignment horizontal="center" vertical="center" wrapText="1"/>
    </xf>
    <xf numFmtId="4" fontId="74" fillId="29" borderId="1" xfId="3" applyNumberFormat="1" applyFont="1" applyFill="1" applyBorder="1" applyAlignment="1">
      <alignment horizontal="center" vertical="center" wrapText="1"/>
    </xf>
    <xf numFmtId="0" fontId="0" fillId="29" borderId="0" xfId="0" applyFill="1"/>
    <xf numFmtId="0" fontId="0" fillId="35" borderId="0" xfId="0" applyFill="1"/>
    <xf numFmtId="4" fontId="23" fillId="0" borderId="1" xfId="9" applyNumberFormat="1" applyFont="1" applyFill="1" applyBorder="1" applyAlignment="1">
      <alignment vertical="center"/>
    </xf>
    <xf numFmtId="0" fontId="18" fillId="0" borderId="33" xfId="9" applyFont="1" applyFill="1" applyBorder="1" applyAlignment="1">
      <alignment vertical="center" wrapText="1"/>
    </xf>
    <xf numFmtId="0" fontId="24" fillId="0" borderId="33" xfId="9" applyFont="1" applyFill="1" applyBorder="1" applyAlignment="1">
      <alignment horizontal="center" vertical="center" wrapText="1"/>
    </xf>
    <xf numFmtId="49" fontId="18" fillId="0" borderId="33" xfId="9" applyNumberFormat="1" applyFont="1" applyFill="1" applyBorder="1" applyAlignment="1">
      <alignment horizontal="center" vertical="center" wrapText="1"/>
    </xf>
    <xf numFmtId="2" fontId="18" fillId="0" borderId="33" xfId="9" applyNumberFormat="1" applyFont="1" applyFill="1" applyBorder="1" applyAlignment="1">
      <alignment horizontal="center" vertical="center" wrapText="1"/>
    </xf>
    <xf numFmtId="4" fontId="24" fillId="0" borderId="33" xfId="9" applyNumberFormat="1" applyFont="1" applyFill="1" applyBorder="1" applyAlignment="1">
      <alignment horizontal="center" vertical="center"/>
    </xf>
    <xf numFmtId="167" fontId="24" fillId="0" borderId="33" xfId="9" applyNumberFormat="1" applyFont="1" applyFill="1" applyBorder="1" applyAlignment="1">
      <alignment horizontal="center" vertical="center"/>
    </xf>
    <xf numFmtId="167" fontId="18" fillId="0" borderId="33" xfId="9" applyNumberFormat="1" applyFont="1" applyFill="1" applyBorder="1" applyAlignment="1">
      <alignment horizontal="center" vertical="center"/>
    </xf>
    <xf numFmtId="4" fontId="96" fillId="35" borderId="7" xfId="3" applyNumberFormat="1" applyFont="1" applyFill="1" applyBorder="1" applyAlignment="1">
      <alignment horizontal="center" vertical="center" wrapText="1"/>
    </xf>
    <xf numFmtId="4" fontId="96" fillId="35" borderId="0" xfId="3" applyNumberFormat="1" applyFont="1" applyFill="1" applyBorder="1" applyAlignment="1">
      <alignment horizontal="center" vertical="center" wrapText="1"/>
    </xf>
    <xf numFmtId="4" fontId="24" fillId="0" borderId="24" xfId="9" applyNumberFormat="1" applyFont="1" applyFill="1" applyBorder="1" applyAlignment="1">
      <alignment horizontal="center" vertical="center"/>
    </xf>
    <xf numFmtId="0" fontId="55" fillId="29" borderId="0" xfId="0" applyFont="1" applyFill="1" applyAlignment="1" applyProtection="1">
      <protection locked="0"/>
    </xf>
    <xf numFmtId="49" fontId="55" fillId="29" borderId="0" xfId="0" applyNumberFormat="1" applyFont="1" applyFill="1" applyBorder="1" applyAlignment="1" applyProtection="1">
      <alignment horizontal="left"/>
      <protection locked="0"/>
    </xf>
    <xf numFmtId="0" fontId="15" fillId="29" borderId="0" xfId="0" applyFont="1" applyFill="1" applyAlignment="1" applyProtection="1">
      <protection locked="0"/>
    </xf>
    <xf numFmtId="0" fontId="15" fillId="29" borderId="0" xfId="0" applyFont="1" applyFill="1" applyAlignment="1" applyProtection="1">
      <alignment horizontal="center"/>
      <protection locked="0"/>
    </xf>
    <xf numFmtId="4" fontId="15" fillId="29" borderId="0" xfId="0" applyNumberFormat="1" applyFont="1" applyFill="1" applyAlignment="1" applyProtection="1">
      <alignment horizontal="center"/>
      <protection locked="0"/>
    </xf>
    <xf numFmtId="0" fontId="15" fillId="29" borderId="0" xfId="0" applyFont="1" applyFill="1" applyBorder="1" applyAlignment="1" applyProtection="1">
      <alignment vertical="center"/>
      <protection locked="0"/>
    </xf>
    <xf numFmtId="0" fontId="15" fillId="29" borderId="0" xfId="0" applyFont="1" applyFill="1" applyAlignment="1" applyProtection="1">
      <alignment horizontal="center" vertical="center"/>
      <protection locked="0"/>
    </xf>
    <xf numFmtId="4" fontId="15" fillId="29" borderId="0" xfId="0" applyNumberFormat="1" applyFont="1" applyFill="1" applyAlignment="1" applyProtection="1">
      <alignment horizontal="center" vertical="center"/>
      <protection locked="0"/>
    </xf>
    <xf numFmtId="0" fontId="55" fillId="29" borderId="0" xfId="0" applyFont="1" applyFill="1" applyAlignment="1" applyProtection="1">
      <alignment vertical="center"/>
      <protection locked="0"/>
    </xf>
    <xf numFmtId="0" fontId="15" fillId="29" borderId="0" xfId="0" applyFont="1" applyFill="1" applyBorder="1" applyAlignment="1">
      <alignment vertical="center"/>
    </xf>
    <xf numFmtId="0" fontId="55" fillId="29" borderId="0" xfId="0" applyFont="1" applyFill="1" applyBorder="1" applyAlignment="1" applyProtection="1">
      <alignment vertical="center"/>
      <protection locked="0"/>
    </xf>
    <xf numFmtId="4" fontId="55" fillId="29" borderId="0" xfId="0" applyNumberFormat="1" applyFont="1" applyFill="1" applyAlignment="1">
      <alignment horizontal="center" vertical="center"/>
    </xf>
    <xf numFmtId="4" fontId="55" fillId="29" borderId="0" xfId="0" applyNumberFormat="1" applyFont="1" applyFill="1" applyAlignment="1" applyProtection="1">
      <alignment horizontal="center" vertical="center"/>
      <protection locked="0"/>
    </xf>
    <xf numFmtId="49" fontId="15" fillId="29" borderId="0" xfId="0" applyNumberFormat="1" applyFont="1" applyFill="1" applyBorder="1" applyAlignment="1" applyProtection="1">
      <alignment vertical="center"/>
      <protection locked="0"/>
    </xf>
    <xf numFmtId="3" fontId="15" fillId="29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29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251"/>
    <xf numFmtId="0" fontId="10" fillId="0" borderId="0" xfId="251" applyFont="1" applyAlignment="1">
      <alignment vertical="center"/>
    </xf>
    <xf numFmtId="0" fontId="102" fillId="0" borderId="0" xfId="251" applyFont="1" applyAlignment="1">
      <alignment vertical="center"/>
    </xf>
    <xf numFmtId="0" fontId="55" fillId="0" borderId="0" xfId="251" applyFont="1" applyAlignment="1">
      <alignment horizontal="center" vertical="center"/>
    </xf>
    <xf numFmtId="0" fontId="66" fillId="0" borderId="0" xfId="251" applyFont="1" applyAlignment="1">
      <alignment vertical="center"/>
    </xf>
    <xf numFmtId="0" fontId="55" fillId="0" borderId="1" xfId="251" applyFont="1" applyBorder="1" applyAlignment="1">
      <alignment horizontal="center" vertical="center" wrapText="1"/>
    </xf>
    <xf numFmtId="0" fontId="89" fillId="0" borderId="0" xfId="251" applyFont="1"/>
    <xf numFmtId="0" fontId="15" fillId="0" borderId="1" xfId="251" applyFont="1" applyBorder="1" applyAlignment="1">
      <alignment horizontal="right" vertical="center" wrapText="1"/>
    </xf>
    <xf numFmtId="14" fontId="15" fillId="0" borderId="1" xfId="251" applyNumberFormat="1" applyFont="1" applyBorder="1" applyAlignment="1">
      <alignment horizontal="center" vertical="center" wrapText="1"/>
    </xf>
    <xf numFmtId="0" fontId="15" fillId="0" borderId="1" xfId="251" applyFont="1" applyBorder="1" applyAlignment="1">
      <alignment horizontal="center" vertical="center" wrapText="1"/>
    </xf>
    <xf numFmtId="0" fontId="103" fillId="0" borderId="0" xfId="251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29" borderId="1" xfId="0" applyFont="1" applyFill="1" applyBorder="1" applyAlignment="1">
      <alignment horizontal="left" vertical="center" wrapText="1"/>
    </xf>
    <xf numFmtId="4" fontId="4" fillId="29" borderId="1" xfId="0" applyNumberFormat="1" applyFont="1" applyFill="1" applyBorder="1" applyAlignment="1">
      <alignment horizontal="center" vertical="center" wrapText="1"/>
    </xf>
    <xf numFmtId="0" fontId="4" fillId="29" borderId="1" xfId="0" applyFont="1" applyFill="1" applyBorder="1" applyAlignment="1">
      <alignment horizontal="center" vertical="center"/>
    </xf>
    <xf numFmtId="0" fontId="4" fillId="29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7" fontId="4" fillId="29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9" fontId="4" fillId="29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" fontId="15" fillId="0" borderId="33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33" xfId="0" applyFont="1" applyFill="1" applyBorder="1" applyAlignment="1">
      <alignment horizontal="center" vertical="center"/>
    </xf>
    <xf numFmtId="4" fontId="4" fillId="0" borderId="3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5" fillId="29" borderId="13" xfId="0" applyFont="1" applyFill="1" applyBorder="1" applyAlignment="1">
      <alignment horizontal="center" vertical="center" wrapText="1"/>
    </xf>
    <xf numFmtId="4" fontId="5" fillId="0" borderId="33" xfId="0" applyNumberFormat="1" applyFont="1" applyFill="1" applyBorder="1" applyAlignment="1">
      <alignment horizontal="center" vertical="center" wrapText="1"/>
    </xf>
    <xf numFmtId="0" fontId="15" fillId="29" borderId="0" xfId="0" applyFont="1" applyFill="1" applyAlignment="1">
      <alignment horizontal="center" vertical="center"/>
    </xf>
    <xf numFmtId="0" fontId="15" fillId="29" borderId="0" xfId="0" applyFont="1" applyFill="1" applyAlignment="1">
      <alignment vertical="center"/>
    </xf>
    <xf numFmtId="4" fontId="15" fillId="29" borderId="0" xfId="0" applyNumberFormat="1" applyFont="1" applyFill="1" applyAlignment="1">
      <alignment horizontal="left" vertical="center"/>
    </xf>
    <xf numFmtId="4" fontId="15" fillId="29" borderId="0" xfId="0" applyNumberFormat="1" applyFont="1" applyFill="1" applyAlignment="1">
      <alignment horizontal="center" vertical="center"/>
    </xf>
    <xf numFmtId="4" fontId="55" fillId="29" borderId="0" xfId="0" applyNumberFormat="1" applyFont="1" applyFill="1" applyBorder="1" applyAlignment="1" applyProtection="1">
      <alignment horizontal="center" vertical="center" wrapText="1"/>
      <protection locked="0"/>
    </xf>
    <xf numFmtId="4" fontId="15" fillId="29" borderId="0" xfId="0" applyNumberFormat="1" applyFont="1" applyFill="1"/>
    <xf numFmtId="0" fontId="55" fillId="29" borderId="0" xfId="0" applyFont="1" applyFill="1" applyAlignment="1">
      <alignment vertical="center"/>
    </xf>
    <xf numFmtId="0" fontId="15" fillId="29" borderId="0" xfId="0" applyFont="1" applyFill="1" applyBorder="1" applyAlignment="1" applyProtection="1">
      <alignment horizontal="center" vertical="center"/>
      <protection locked="0"/>
    </xf>
    <xf numFmtId="0" fontId="15" fillId="29" borderId="2" xfId="0" applyFont="1" applyFill="1" applyBorder="1" applyAlignment="1" applyProtection="1">
      <alignment horizontal="center" vertical="center"/>
      <protection locked="0"/>
    </xf>
    <xf numFmtId="4" fontId="15" fillId="29" borderId="0" xfId="0" applyNumberFormat="1" applyFont="1" applyFill="1" applyBorder="1" applyAlignment="1" applyProtection="1">
      <alignment horizontal="center" vertical="center" wrapText="1"/>
      <protection locked="0"/>
    </xf>
    <xf numFmtId="0" fontId="55" fillId="29" borderId="0" xfId="0" applyFont="1" applyFill="1" applyBorder="1" applyAlignment="1" applyProtection="1">
      <alignment horizontal="center" vertical="center"/>
      <protection locked="0"/>
    </xf>
    <xf numFmtId="0" fontId="15" fillId="29" borderId="0" xfId="0" applyFont="1" applyFill="1" applyAlignment="1">
      <alignment horizontal="left" vertical="center"/>
    </xf>
    <xf numFmtId="0" fontId="55" fillId="29" borderId="0" xfId="0" applyFont="1" applyFill="1" applyAlignment="1" applyProtection="1">
      <alignment horizontal="center" vertical="center"/>
      <protection locked="0"/>
    </xf>
    <xf numFmtId="49" fontId="55" fillId="29" borderId="0" xfId="0" applyNumberFormat="1" applyFont="1" applyFill="1" applyBorder="1" applyAlignment="1" applyProtection="1">
      <alignment vertical="center"/>
      <protection locked="0"/>
    </xf>
    <xf numFmtId="4" fontId="59" fillId="29" borderId="0" xfId="0" applyNumberFormat="1" applyFont="1" applyFill="1" applyAlignment="1">
      <alignment horizontal="left" vertical="center"/>
    </xf>
    <xf numFmtId="4" fontId="15" fillId="29" borderId="0" xfId="0" applyNumberFormat="1" applyFont="1" applyFill="1" applyAlignment="1">
      <alignment vertical="center"/>
    </xf>
    <xf numFmtId="4" fontId="15" fillId="29" borderId="11" xfId="0" applyNumberFormat="1" applyFont="1" applyFill="1" applyBorder="1" applyAlignment="1">
      <alignment horizontal="left" vertical="center"/>
    </xf>
    <xf numFmtId="4" fontId="59" fillId="29" borderId="0" xfId="0" applyNumberFormat="1" applyFont="1" applyFill="1" applyAlignment="1">
      <alignment vertical="center"/>
    </xf>
    <xf numFmtId="4" fontId="59" fillId="29" borderId="0" xfId="0" applyNumberFormat="1" applyFont="1" applyFill="1" applyAlignment="1">
      <alignment horizontal="left"/>
    </xf>
    <xf numFmtId="4" fontId="15" fillId="29" borderId="1" xfId="6" applyNumberFormat="1" applyFont="1" applyFill="1" applyBorder="1" applyAlignment="1">
      <alignment horizontal="center" vertical="center" wrapText="1"/>
    </xf>
    <xf numFmtId="4" fontId="55" fillId="29" borderId="0" xfId="0" applyNumberFormat="1" applyFont="1" applyFill="1"/>
    <xf numFmtId="4" fontId="55" fillId="29" borderId="1" xfId="6" applyNumberFormat="1" applyFont="1" applyFill="1" applyBorder="1" applyAlignment="1">
      <alignment horizontal="center" vertical="center" wrapText="1"/>
    </xf>
    <xf numFmtId="166" fontId="15" fillId="29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29" borderId="0" xfId="0" applyNumberFormat="1" applyFont="1" applyFill="1" applyBorder="1" applyAlignment="1">
      <alignment horizontal="left" vertical="center"/>
    </xf>
    <xf numFmtId="49" fontId="55" fillId="29" borderId="0" xfId="6" applyNumberFormat="1" applyFont="1" applyFill="1" applyBorder="1" applyAlignment="1">
      <alignment vertical="center" wrapText="1"/>
    </xf>
    <xf numFmtId="4" fontId="55" fillId="29" borderId="0" xfId="6" applyNumberFormat="1" applyFont="1" applyFill="1" applyBorder="1" applyAlignment="1">
      <alignment horizontal="center" vertical="center" wrapText="1"/>
    </xf>
    <xf numFmtId="1" fontId="15" fillId="29" borderId="0" xfId="0" applyNumberFormat="1" applyFont="1" applyFill="1" applyAlignment="1" applyProtection="1">
      <alignment horizontal="center" vertical="center"/>
      <protection locked="0"/>
    </xf>
    <xf numFmtId="3" fontId="15" fillId="29" borderId="0" xfId="0" applyNumberFormat="1" applyFont="1" applyFill="1" applyAlignment="1">
      <alignment horizontal="left" vertical="center"/>
    </xf>
    <xf numFmtId="177" fontId="15" fillId="29" borderId="0" xfId="0" applyNumberFormat="1" applyFont="1" applyFill="1" applyAlignment="1">
      <alignment vertical="center"/>
    </xf>
    <xf numFmtId="4" fontId="55" fillId="29" borderId="0" xfId="0" applyNumberFormat="1" applyFont="1" applyFill="1" applyAlignment="1">
      <alignment vertical="center"/>
    </xf>
    <xf numFmtId="1" fontId="15" fillId="29" borderId="1" xfId="0" applyNumberFormat="1" applyFont="1" applyFill="1" applyBorder="1" applyAlignment="1" applyProtection="1">
      <alignment horizontal="center" vertical="center" wrapText="1"/>
      <protection locked="0"/>
    </xf>
    <xf numFmtId="1" fontId="55" fillId="29" borderId="1" xfId="0" applyNumberFormat="1" applyFont="1" applyFill="1" applyBorder="1" applyAlignment="1" applyProtection="1">
      <alignment horizontal="center" vertical="center" wrapText="1"/>
      <protection locked="0"/>
    </xf>
    <xf numFmtId="4" fontId="55" fillId="29" borderId="0" xfId="0" applyNumberFormat="1" applyFont="1" applyFill="1" applyAlignment="1">
      <alignment horizontal="left" vertical="center"/>
    </xf>
    <xf numFmtId="0" fontId="9" fillId="29" borderId="0" xfId="0" applyFont="1" applyFill="1" applyAlignment="1" applyProtection="1">
      <alignment vertical="center"/>
      <protection locked="0"/>
    </xf>
    <xf numFmtId="0" fontId="9" fillId="29" borderId="0" xfId="0" applyFont="1" applyFill="1" applyAlignment="1" applyProtection="1">
      <alignment horizontal="center" vertical="center"/>
      <protection locked="0"/>
    </xf>
    <xf numFmtId="4" fontId="9" fillId="29" borderId="0" xfId="0" applyNumberFormat="1" applyFont="1" applyFill="1" applyAlignment="1" applyProtection="1">
      <alignment horizontal="center" vertical="center"/>
      <protection locked="0"/>
    </xf>
    <xf numFmtId="4" fontId="15" fillId="29" borderId="0" xfId="0" applyNumberFormat="1" applyFont="1" applyFill="1" applyBorder="1" applyAlignment="1" applyProtection="1">
      <alignment horizontal="left" vertical="center"/>
      <protection locked="0"/>
    </xf>
    <xf numFmtId="49" fontId="55" fillId="29" borderId="0" xfId="0" applyNumberFormat="1" applyFont="1" applyFill="1" applyBorder="1" applyAlignment="1" applyProtection="1">
      <alignment horizontal="left" vertical="center"/>
      <protection locked="0"/>
    </xf>
    <xf numFmtId="4" fontId="10" fillId="29" borderId="0" xfId="0" applyNumberFormat="1" applyFont="1" applyFill="1" applyAlignment="1" applyProtection="1">
      <alignment horizontal="center" vertical="center" wrapText="1"/>
      <protection locked="0"/>
    </xf>
    <xf numFmtId="0" fontId="55" fillId="29" borderId="0" xfId="0" applyFont="1" applyFill="1" applyAlignment="1" applyProtection="1">
      <alignment horizontal="center" vertical="center" wrapText="1"/>
      <protection locked="0"/>
    </xf>
    <xf numFmtId="4" fontId="55" fillId="29" borderId="0" xfId="0" applyNumberFormat="1" applyFont="1" applyFill="1" applyAlignment="1" applyProtection="1">
      <alignment horizontal="center" vertical="center" wrapText="1"/>
      <protection locked="0"/>
    </xf>
    <xf numFmtId="4" fontId="56" fillId="29" borderId="0" xfId="0" applyNumberFormat="1" applyFont="1" applyFill="1" applyAlignment="1" applyProtection="1">
      <alignment horizontal="center" vertical="center"/>
      <protection locked="0"/>
    </xf>
    <xf numFmtId="4" fontId="15" fillId="29" borderId="0" xfId="0" applyNumberFormat="1" applyFont="1" applyFill="1" applyAlignment="1" applyProtection="1">
      <alignment horizontal="left" vertical="center"/>
      <protection locked="0"/>
    </xf>
    <xf numFmtId="4" fontId="106" fillId="29" borderId="0" xfId="0" applyNumberFormat="1" applyFont="1" applyFill="1" applyAlignment="1">
      <alignment horizontal="left" vertical="center"/>
    </xf>
    <xf numFmtId="4" fontId="106" fillId="29" borderId="0" xfId="0" applyNumberFormat="1" applyFont="1" applyFill="1" applyAlignment="1">
      <alignment vertical="center"/>
    </xf>
    <xf numFmtId="0" fontId="106" fillId="29" borderId="0" xfId="0" applyFont="1" applyFill="1" applyAlignment="1">
      <alignment vertical="center"/>
    </xf>
    <xf numFmtId="4" fontId="15" fillId="29" borderId="0" xfId="0" applyNumberFormat="1" applyFont="1" applyFill="1" applyBorder="1" applyAlignment="1">
      <alignment horizontal="center" vertical="center" wrapText="1"/>
    </xf>
    <xf numFmtId="4" fontId="59" fillId="29" borderId="0" xfId="0" applyNumberFormat="1" applyFont="1" applyFill="1" applyBorder="1" applyAlignment="1">
      <alignment horizontal="left" vertical="center" wrapText="1"/>
    </xf>
    <xf numFmtId="4" fontId="15" fillId="29" borderId="0" xfId="0" applyNumberFormat="1" applyFont="1" applyFill="1" applyAlignment="1" applyProtection="1">
      <alignment vertical="center"/>
      <protection locked="0"/>
    </xf>
    <xf numFmtId="4" fontId="15" fillId="29" borderId="0" xfId="0" applyNumberFormat="1" applyFont="1" applyFill="1" applyBorder="1" applyAlignment="1" applyProtection="1">
      <alignment horizontal="center" vertical="center"/>
      <protection locked="0"/>
    </xf>
    <xf numFmtId="4" fontId="15" fillId="29" borderId="0" xfId="0" applyNumberFormat="1" applyFont="1" applyFill="1" applyBorder="1" applyAlignment="1">
      <alignment vertical="center"/>
    </xf>
    <xf numFmtId="4" fontId="55" fillId="29" borderId="0" xfId="0" applyNumberFormat="1" applyFont="1" applyFill="1" applyAlignment="1" applyProtection="1">
      <alignment horizontal="center"/>
      <protection locked="0"/>
    </xf>
    <xf numFmtId="4" fontId="15" fillId="29" borderId="0" xfId="0" applyNumberFormat="1" applyFont="1" applyFill="1" applyAlignment="1"/>
    <xf numFmtId="0" fontId="15" fillId="29" borderId="0" xfId="0" applyFont="1" applyFill="1" applyAlignment="1"/>
    <xf numFmtId="4" fontId="15" fillId="29" borderId="0" xfId="0" applyNumberFormat="1" applyFont="1" applyFill="1" applyAlignment="1">
      <alignment horizontal="left"/>
    </xf>
    <xf numFmtId="4" fontId="55" fillId="29" borderId="0" xfId="0" applyNumberFormat="1" applyFont="1" applyFill="1" applyBorder="1" applyAlignment="1">
      <alignment vertical="center"/>
    </xf>
    <xf numFmtId="4" fontId="15" fillId="29" borderId="0" xfId="0" applyNumberFormat="1" applyFont="1" applyFill="1" applyAlignment="1">
      <alignment horizontal="center"/>
    </xf>
    <xf numFmtId="4" fontId="65" fillId="29" borderId="0" xfId="0" applyNumberFormat="1" applyFont="1" applyFill="1" applyAlignment="1">
      <alignment horizontal="left" vertical="center"/>
    </xf>
    <xf numFmtId="3" fontId="15" fillId="29" borderId="1" xfId="152" applyNumberFormat="1" applyFont="1" applyFill="1" applyBorder="1" applyAlignment="1">
      <alignment horizontal="center" vertical="center" wrapText="1"/>
    </xf>
    <xf numFmtId="4" fontId="55" fillId="29" borderId="0" xfId="0" applyNumberFormat="1" applyFont="1" applyFill="1" applyBorder="1" applyAlignment="1">
      <alignment horizontal="left" vertical="center"/>
    </xf>
    <xf numFmtId="2" fontId="15" fillId="29" borderId="0" xfId="0" applyNumberFormat="1" applyFont="1" applyFill="1" applyAlignment="1">
      <alignment vertical="center"/>
    </xf>
    <xf numFmtId="14" fontId="15" fillId="29" borderId="0" xfId="0" applyNumberFormat="1" applyFont="1" applyFill="1" applyAlignment="1">
      <alignment horizontal="left" vertical="center"/>
    </xf>
    <xf numFmtId="4" fontId="15" fillId="29" borderId="0" xfId="0" applyNumberFormat="1" applyFont="1" applyFill="1" applyAlignment="1">
      <alignment horizontal="right" vertical="center"/>
    </xf>
    <xf numFmtId="4" fontId="15" fillId="29" borderId="7" xfId="0" applyNumberFormat="1" applyFont="1" applyFill="1" applyBorder="1" applyAlignment="1">
      <alignment horizontal="center" vertical="center"/>
    </xf>
    <xf numFmtId="3" fontId="15" fillId="29" borderId="7" xfId="2" applyNumberFormat="1" applyFont="1" applyFill="1" applyBorder="1" applyAlignment="1">
      <alignment horizontal="center" vertical="center"/>
    </xf>
    <xf numFmtId="4" fontId="15" fillId="29" borderId="1" xfId="2" applyNumberFormat="1" applyFont="1" applyFill="1" applyBorder="1" applyAlignment="1">
      <alignment horizontal="center" vertical="center" wrapText="1"/>
    </xf>
    <xf numFmtId="2" fontId="15" fillId="29" borderId="0" xfId="0" applyNumberFormat="1" applyFont="1" applyFill="1" applyAlignment="1">
      <alignment horizontal="center" vertical="center"/>
    </xf>
    <xf numFmtId="4" fontId="15" fillId="29" borderId="1" xfId="0" applyNumberFormat="1" applyFont="1" applyFill="1" applyBorder="1" applyAlignment="1">
      <alignment horizontal="center" vertical="center"/>
    </xf>
    <xf numFmtId="0" fontId="55" fillId="29" borderId="0" xfId="0" applyFont="1" applyFill="1" applyBorder="1" applyAlignment="1" applyProtection="1">
      <alignment horizontal="left" vertical="center"/>
      <protection locked="0"/>
    </xf>
    <xf numFmtId="4" fontId="58" fillId="29" borderId="1" xfId="0" applyNumberFormat="1" applyFont="1" applyFill="1" applyBorder="1" applyAlignment="1" applyProtection="1">
      <alignment horizontal="center" vertical="center" wrapText="1"/>
      <protection locked="0"/>
    </xf>
    <xf numFmtId="4" fontId="55" fillId="29" borderId="7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1" xfId="0" applyNumberFormat="1" applyFont="1" applyFill="1" applyBorder="1" applyAlignment="1">
      <alignment horizontal="center" vertical="center" wrapText="1"/>
    </xf>
    <xf numFmtId="0" fontId="4" fillId="29" borderId="0" xfId="0" applyFont="1" applyFill="1" applyProtection="1">
      <protection locked="0"/>
    </xf>
    <xf numFmtId="3" fontId="4" fillId="29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29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9" borderId="0" xfId="0" applyFont="1" applyFill="1" applyAlignment="1" applyProtection="1">
      <alignment vertical="center"/>
      <protection locked="0"/>
    </xf>
    <xf numFmtId="0" fontId="4" fillId="29" borderId="0" xfId="0" applyFont="1" applyFill="1" applyAlignment="1" applyProtection="1">
      <alignment horizontal="center"/>
      <protection locked="0"/>
    </xf>
    <xf numFmtId="4" fontId="5" fillId="29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9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29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9" borderId="3" xfId="0" applyFont="1" applyFill="1" applyBorder="1" applyAlignment="1" applyProtection="1">
      <alignment horizontal="center" vertical="center" wrapText="1"/>
      <protection locked="0"/>
    </xf>
    <xf numFmtId="1" fontId="4" fillId="29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29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29" borderId="12" xfId="0" applyNumberFormat="1" applyFont="1" applyFill="1" applyBorder="1" applyAlignment="1" applyProtection="1">
      <alignment horizontal="center" vertical="center" wrapText="1"/>
      <protection locked="0"/>
    </xf>
    <xf numFmtId="0" fontId="55" fillId="29" borderId="0" xfId="0" applyFont="1" applyFill="1" applyBorder="1" applyAlignment="1" applyProtection="1">
      <alignment horizontal="right" vertical="center" wrapText="1"/>
      <protection locked="0"/>
    </xf>
    <xf numFmtId="0" fontId="85" fillId="29" borderId="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56" fillId="29" borderId="0" xfId="0" applyFont="1" applyFill="1" applyAlignment="1" applyProtection="1">
      <alignment vertical="center"/>
      <protection locked="0"/>
    </xf>
    <xf numFmtId="165" fontId="56" fillId="0" borderId="0" xfId="0" applyNumberFormat="1" applyFont="1" applyFill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vertical="center"/>
      <protection locked="0"/>
    </xf>
    <xf numFmtId="4" fontId="56" fillId="0" borderId="0" xfId="205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" fontId="56" fillId="0" borderId="1" xfId="0" applyNumberFormat="1" applyFont="1" applyFill="1" applyBorder="1" applyAlignment="1">
      <alignment horizontal="center" vertical="center" wrapText="1"/>
    </xf>
    <xf numFmtId="4" fontId="56" fillId="0" borderId="0" xfId="0" applyNumberFormat="1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Alignment="1">
      <alignment horizontal="left"/>
    </xf>
    <xf numFmtId="165" fontId="56" fillId="0" borderId="0" xfId="0" applyNumberFormat="1" applyFont="1" applyFill="1" applyAlignment="1">
      <alignment horizontal="center" vertical="center"/>
    </xf>
    <xf numFmtId="4" fontId="56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/>
    </xf>
    <xf numFmtId="165" fontId="9" fillId="0" borderId="0" xfId="0" applyNumberFormat="1" applyFont="1" applyFill="1" applyAlignment="1">
      <alignment horizontal="center" vertical="center"/>
    </xf>
    <xf numFmtId="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56" fillId="29" borderId="0" xfId="0" applyFont="1" applyFill="1" applyAlignment="1" applyProtection="1">
      <alignment horizontal="center" vertical="center"/>
      <protection locked="0"/>
    </xf>
    <xf numFmtId="0" fontId="106" fillId="29" borderId="0" xfId="0" applyFont="1" applyFill="1" applyAlignment="1" applyProtection="1">
      <alignment vertical="center"/>
      <protection locked="0"/>
    </xf>
    <xf numFmtId="0" fontId="106" fillId="29" borderId="0" xfId="0" applyFont="1" applyFill="1" applyAlignment="1" applyProtection="1">
      <alignment horizontal="center" vertical="center"/>
      <protection locked="0"/>
    </xf>
    <xf numFmtId="4" fontId="106" fillId="29" borderId="0" xfId="0" applyNumberFormat="1" applyFont="1" applyFill="1" applyAlignment="1" applyProtection="1">
      <alignment horizontal="center" vertical="center"/>
      <protection locked="0"/>
    </xf>
    <xf numFmtId="0" fontId="4" fillId="29" borderId="0" xfId="0" applyFont="1" applyFill="1" applyAlignment="1" applyProtection="1">
      <protection locked="0"/>
    </xf>
    <xf numFmtId="0" fontId="15" fillId="29" borderId="0" xfId="0" applyFont="1" applyFill="1" applyBorder="1" applyAlignment="1" applyProtection="1">
      <alignment horizontal="left" vertical="center"/>
      <protection locked="0"/>
    </xf>
    <xf numFmtId="0" fontId="4" fillId="29" borderId="0" xfId="0" applyFont="1" applyFill="1" applyBorder="1" applyAlignment="1">
      <alignment horizontal="left" vertical="center" wrapText="1"/>
    </xf>
    <xf numFmtId="4" fontId="55" fillId="0" borderId="33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1" xfId="0" applyNumberFormat="1" applyFont="1" applyFill="1" applyBorder="1" applyAlignment="1" applyProtection="1">
      <alignment vertical="center" wrapText="1"/>
      <protection locked="0"/>
    </xf>
    <xf numFmtId="4" fontId="15" fillId="0" borderId="51" xfId="0" applyNumberFormat="1" applyFont="1" applyFill="1" applyBorder="1" applyAlignment="1" applyProtection="1">
      <alignment horizontal="left" vertical="center"/>
      <protection locked="0"/>
    </xf>
    <xf numFmtId="4" fontId="15" fillId="0" borderId="52" xfId="0" applyNumberFormat="1" applyFont="1" applyFill="1" applyBorder="1" applyAlignment="1" applyProtection="1">
      <alignment horizontal="left" vertical="center"/>
      <protection locked="0"/>
    </xf>
    <xf numFmtId="4" fontId="15" fillId="0" borderId="33" xfId="0" applyNumberFormat="1" applyFont="1" applyFill="1" applyBorder="1" applyAlignment="1" applyProtection="1">
      <alignment vertical="center" wrapText="1"/>
      <protection locked="0"/>
    </xf>
    <xf numFmtId="2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00" fillId="0" borderId="0" xfId="514" applyAlignment="1"/>
    <xf numFmtId="0" fontId="100" fillId="0" borderId="0" xfId="514"/>
    <xf numFmtId="0" fontId="0" fillId="0" borderId="0" xfId="0" applyBorder="1"/>
    <xf numFmtId="0" fontId="110" fillId="0" borderId="12" xfId="0" applyNumberFormat="1" applyFont="1" applyFill="1" applyBorder="1" applyAlignment="1">
      <alignment horizontal="center" vertical="top" wrapText="1"/>
    </xf>
    <xf numFmtId="49" fontId="110" fillId="0" borderId="26" xfId="0" applyNumberFormat="1" applyFont="1" applyFill="1" applyBorder="1" applyAlignment="1">
      <alignment horizontal="center" vertical="top"/>
    </xf>
    <xf numFmtId="49" fontId="110" fillId="0" borderId="51" xfId="0" applyNumberFormat="1" applyFont="1" applyFill="1" applyBorder="1" applyAlignment="1">
      <alignment horizontal="center" vertical="top"/>
    </xf>
    <xf numFmtId="49" fontId="110" fillId="0" borderId="33" xfId="0" applyNumberFormat="1" applyFont="1" applyFill="1" applyBorder="1" applyAlignment="1">
      <alignment horizontal="center" vertical="top"/>
    </xf>
    <xf numFmtId="49" fontId="57" fillId="0" borderId="0" xfId="0" applyNumberFormat="1" applyFont="1" applyFill="1" applyBorder="1" applyAlignment="1">
      <alignment horizontal="center" vertical="top"/>
    </xf>
    <xf numFmtId="49" fontId="110" fillId="0" borderId="12" xfId="0" applyNumberFormat="1" applyFont="1" applyFill="1" applyBorder="1" applyAlignment="1">
      <alignment horizontal="center" vertical="top" wrapText="1"/>
    </xf>
    <xf numFmtId="49" fontId="110" fillId="0" borderId="56" xfId="0" applyNumberFormat="1" applyFont="1" applyFill="1" applyBorder="1" applyAlignment="1">
      <alignment horizontal="center" vertical="top"/>
    </xf>
    <xf numFmtId="49" fontId="110" fillId="0" borderId="35" xfId="0" applyNumberFormat="1" applyFont="1" applyFill="1" applyBorder="1" applyAlignment="1">
      <alignment horizontal="center" vertical="top"/>
    </xf>
    <xf numFmtId="4" fontId="15" fillId="29" borderId="1" xfId="0" applyNumberFormat="1" applyFont="1" applyFill="1" applyBorder="1" applyAlignment="1" applyProtection="1">
      <alignment horizontal="center" vertical="center"/>
      <protection locked="0"/>
    </xf>
    <xf numFmtId="4" fontId="55" fillId="29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5" fillId="0" borderId="0" xfId="70" applyFont="1" applyFill="1"/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266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4" fontId="20" fillId="0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4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0" xfId="70" applyFont="1" applyFill="1" applyAlignment="1">
      <alignment horizontal="center" vertical="center"/>
    </xf>
    <xf numFmtId="4" fontId="15" fillId="29" borderId="0" xfId="70" applyNumberFormat="1" applyFont="1" applyFill="1" applyAlignment="1">
      <alignment horizontal="right"/>
    </xf>
    <xf numFmtId="0" fontId="15" fillId="29" borderId="0" xfId="70" applyFont="1" applyFill="1" applyAlignment="1">
      <alignment horizontal="right"/>
    </xf>
    <xf numFmtId="0" fontId="15" fillId="29" borderId="0" xfId="70" applyFont="1" applyFill="1"/>
    <xf numFmtId="4" fontId="15" fillId="29" borderId="0" xfId="70" applyNumberFormat="1" applyFont="1" applyFill="1"/>
    <xf numFmtId="0" fontId="19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56" fillId="0" borderId="0" xfId="0" applyFont="1" applyFill="1" applyAlignment="1" applyProtection="1">
      <alignment horizontal="center" vertical="center"/>
      <protection locked="0"/>
    </xf>
    <xf numFmtId="4" fontId="15" fillId="0" borderId="1" xfId="0" applyNumberFormat="1" applyFont="1" applyFill="1" applyBorder="1" applyAlignment="1" applyProtection="1">
      <alignment horizontal="left" vertical="center"/>
      <protection locked="0"/>
    </xf>
    <xf numFmtId="0" fontId="15" fillId="0" borderId="33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>
      <alignment vertical="center" wrapText="1"/>
    </xf>
    <xf numFmtId="0" fontId="20" fillId="0" borderId="3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33" xfId="0" applyFont="1" applyFill="1" applyBorder="1" applyAlignment="1">
      <alignment horizontal="left" vertical="center"/>
    </xf>
    <xf numFmtId="4" fontId="15" fillId="0" borderId="1" xfId="0" applyNumberFormat="1" applyFont="1" applyFill="1" applyBorder="1" applyAlignment="1">
      <alignment horizontal="center" vertical="center"/>
    </xf>
    <xf numFmtId="49" fontId="15" fillId="0" borderId="27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3" fontId="55" fillId="0" borderId="0" xfId="0" applyNumberFormat="1" applyFont="1" applyFill="1" applyAlignment="1">
      <alignment horizontal="left" vertical="center"/>
    </xf>
    <xf numFmtId="0" fontId="15" fillId="0" borderId="0" xfId="3" applyFont="1" applyFill="1" applyAlignment="1">
      <alignment vertical="center"/>
    </xf>
    <xf numFmtId="4" fontId="10" fillId="0" borderId="0" xfId="3" applyNumberFormat="1" applyFont="1" applyFill="1" applyAlignment="1">
      <alignment horizontal="center" vertical="center"/>
    </xf>
    <xf numFmtId="3" fontId="15" fillId="29" borderId="1" xfId="2" applyNumberFormat="1" applyFont="1" applyFill="1" applyBorder="1" applyAlignment="1">
      <alignment horizontal="center" vertical="center"/>
    </xf>
    <xf numFmtId="4" fontId="58" fillId="0" borderId="0" xfId="0" applyNumberFormat="1" applyFont="1" applyFill="1" applyAlignment="1">
      <alignment horizontal="left" vertical="center"/>
    </xf>
    <xf numFmtId="49" fontId="15" fillId="29" borderId="0" xfId="6" applyNumberFormat="1" applyFont="1" applyFill="1" applyBorder="1" applyAlignment="1">
      <alignment horizontal="left" vertical="center" wrapText="1"/>
    </xf>
    <xf numFmtId="4" fontId="15" fillId="29" borderId="0" xfId="6" applyNumberFormat="1" applyFont="1" applyFill="1" applyBorder="1" applyAlignment="1">
      <alignment horizontal="center" vertical="center" wrapText="1"/>
    </xf>
    <xf numFmtId="49" fontId="15" fillId="29" borderId="11" xfId="6" applyNumberFormat="1" applyFont="1" applyFill="1" applyBorder="1" applyAlignment="1">
      <alignment horizontal="left" vertical="center" wrapText="1"/>
    </xf>
    <xf numFmtId="177" fontId="55" fillId="0" borderId="0" xfId="0" applyNumberFormat="1" applyFont="1" applyFill="1" applyAlignment="1">
      <alignment vertical="center"/>
    </xf>
    <xf numFmtId="180" fontId="15" fillId="29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39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29" borderId="1" xfId="0" applyNumberFormat="1" applyFont="1" applyFill="1" applyBorder="1" applyAlignment="1">
      <alignment horizontal="left" vertical="center"/>
    </xf>
    <xf numFmtId="49" fontId="15" fillId="29" borderId="27" xfId="0" applyNumberFormat="1" applyFont="1" applyFill="1" applyBorder="1" applyAlignment="1">
      <alignment horizontal="left" vertical="center"/>
    </xf>
    <xf numFmtId="49" fontId="15" fillId="29" borderId="24" xfId="0" applyNumberFormat="1" applyFont="1" applyFill="1" applyBorder="1" applyAlignment="1">
      <alignment horizontal="left" vertical="center"/>
    </xf>
    <xf numFmtId="4" fontId="15" fillId="29" borderId="24" xfId="0" applyNumberFormat="1" applyFont="1" applyFill="1" applyBorder="1" applyAlignment="1">
      <alignment horizontal="center" vertical="center"/>
    </xf>
    <xf numFmtId="49" fontId="15" fillId="29" borderId="0" xfId="0" applyNumberFormat="1" applyFont="1" applyFill="1" applyBorder="1" applyAlignment="1">
      <alignment horizontal="center" vertical="center"/>
    </xf>
    <xf numFmtId="4" fontId="55" fillId="29" borderId="0" xfId="0" applyNumberFormat="1" applyFont="1" applyFill="1" applyAlignment="1">
      <alignment horizontal="left"/>
    </xf>
    <xf numFmtId="4" fontId="55" fillId="29" borderId="0" xfId="0" applyNumberFormat="1" applyFont="1" applyFill="1" applyAlignment="1"/>
    <xf numFmtId="4" fontId="58" fillId="29" borderId="0" xfId="0" applyNumberFormat="1" applyFont="1" applyFill="1" applyAlignment="1">
      <alignment horizontal="left" vertical="center"/>
    </xf>
    <xf numFmtId="49" fontId="15" fillId="29" borderId="0" xfId="6" applyNumberFormat="1" applyFont="1" applyFill="1" applyBorder="1" applyAlignment="1">
      <alignment vertical="center" wrapText="1"/>
    </xf>
    <xf numFmtId="3" fontId="55" fillId="29" borderId="0" xfId="0" applyNumberFormat="1" applyFont="1" applyFill="1" applyAlignment="1">
      <alignment horizontal="center" vertical="center"/>
    </xf>
    <xf numFmtId="0" fontId="15" fillId="29" borderId="1" xfId="0" applyFont="1" applyFill="1" applyBorder="1" applyAlignment="1">
      <alignment horizontal="center" vertical="center"/>
    </xf>
    <xf numFmtId="166" fontId="15" fillId="29" borderId="1" xfId="3" applyNumberFormat="1" applyFont="1" applyFill="1" applyBorder="1" applyAlignment="1">
      <alignment horizontal="center" vertical="center"/>
    </xf>
    <xf numFmtId="4" fontId="10" fillId="29" borderId="0" xfId="3" applyNumberFormat="1" applyFont="1" applyFill="1" applyAlignment="1">
      <alignment horizontal="center" vertical="center"/>
    </xf>
    <xf numFmtId="0" fontId="15" fillId="29" borderId="0" xfId="3" applyFont="1" applyFill="1" applyAlignment="1">
      <alignment vertical="center"/>
    </xf>
    <xf numFmtId="4" fontId="114" fillId="29" borderId="0" xfId="0" applyNumberFormat="1" applyFont="1" applyFill="1" applyAlignment="1">
      <alignment horizontal="left" vertical="center"/>
    </xf>
    <xf numFmtId="4" fontId="15" fillId="40" borderId="0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0" xfId="0" applyNumberFormat="1" applyFont="1" applyFill="1" applyBorder="1" applyAlignment="1">
      <alignment horizontal="center" vertical="center" wrapText="1"/>
    </xf>
    <xf numFmtId="4" fontId="15" fillId="29" borderId="0" xfId="3" applyNumberFormat="1" applyFont="1" applyFill="1" applyAlignment="1">
      <alignment horizontal="right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>
      <alignment horizontal="center" vertical="center"/>
    </xf>
    <xf numFmtId="0" fontId="15" fillId="0" borderId="0" xfId="0" applyFont="1" applyFill="1" applyAlignment="1" applyProtection="1">
      <alignment horizontal="left" vertical="center"/>
      <protection locked="0"/>
    </xf>
    <xf numFmtId="0" fontId="20" fillId="0" borderId="1" xfId="0" applyFont="1" applyFill="1" applyBorder="1" applyAlignment="1">
      <alignment horizontal="center" vertical="center"/>
    </xf>
    <xf numFmtId="182" fontId="15" fillId="29" borderId="0" xfId="0" applyNumberFormat="1" applyFont="1" applyFill="1" applyAlignment="1">
      <alignment vertical="center"/>
    </xf>
    <xf numFmtId="4" fontId="55" fillId="29" borderId="0" xfId="0" applyNumberFormat="1" applyFont="1" applyFill="1" applyBorder="1" applyAlignment="1" applyProtection="1">
      <alignment horizontal="center" vertical="center"/>
      <protection locked="0"/>
    </xf>
    <xf numFmtId="4" fontId="7" fillId="29" borderId="0" xfId="0" applyNumberFormat="1" applyFont="1" applyFill="1" applyBorder="1" applyAlignment="1">
      <alignment horizontal="center" vertical="center"/>
    </xf>
    <xf numFmtId="4" fontId="16" fillId="29" borderId="0" xfId="0" applyNumberFormat="1" applyFont="1" applyFill="1" applyBorder="1" applyAlignment="1">
      <alignment horizontal="center" vertical="center"/>
    </xf>
    <xf numFmtId="1" fontId="55" fillId="29" borderId="0" xfId="0" applyNumberFormat="1" applyFont="1" applyFill="1" applyAlignment="1" applyProtection="1">
      <alignment horizontal="center" vertical="center" wrapText="1"/>
      <protection locked="0"/>
    </xf>
    <xf numFmtId="0" fontId="55" fillId="29" borderId="0" xfId="0" applyFont="1" applyFill="1" applyBorder="1" applyAlignment="1" applyProtection="1">
      <alignment horizontal="right" vertical="center"/>
      <protection locked="0"/>
    </xf>
    <xf numFmtId="0" fontId="15" fillId="29" borderId="0" xfId="0" applyFont="1" applyFill="1" applyBorder="1" applyAlignment="1">
      <alignment horizontal="right" vertical="center"/>
    </xf>
    <xf numFmtId="0" fontId="15" fillId="29" borderId="0" xfId="0" applyFont="1" applyFill="1" applyBorder="1" applyAlignment="1">
      <alignment vertical="center" wrapText="1"/>
    </xf>
    <xf numFmtId="0" fontId="15" fillId="29" borderId="3" xfId="0" applyFont="1" applyFill="1" applyBorder="1" applyAlignment="1" applyProtection="1">
      <alignment horizontal="center" vertical="center"/>
      <protection locked="0"/>
    </xf>
    <xf numFmtId="4" fontId="15" fillId="29" borderId="3" xfId="0" applyNumberFormat="1" applyFont="1" applyFill="1" applyBorder="1" applyAlignment="1" applyProtection="1">
      <alignment horizontal="center" vertical="center"/>
      <protection locked="0"/>
    </xf>
    <xf numFmtId="3" fontId="15" fillId="29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top"/>
    </xf>
    <xf numFmtId="0" fontId="15" fillId="0" borderId="1" xfId="100" applyFont="1" applyFill="1" applyBorder="1" applyAlignment="1">
      <alignment horizontal="center" vertical="top" wrapText="1"/>
    </xf>
    <xf numFmtId="0" fontId="15" fillId="29" borderId="0" xfId="0" applyFont="1" applyFill="1" applyAlignment="1" applyProtection="1">
      <alignment horizontal="right" vertical="center"/>
      <protection locked="0"/>
    </xf>
    <xf numFmtId="1" fontId="9" fillId="29" borderId="0" xfId="0" applyNumberFormat="1" applyFont="1" applyFill="1" applyAlignment="1" applyProtection="1">
      <alignment horizontal="center" vertical="center"/>
      <protection locked="0"/>
    </xf>
    <xf numFmtId="1" fontId="56" fillId="29" borderId="0" xfId="0" applyNumberFormat="1" applyFont="1" applyFill="1" applyAlignment="1" applyProtection="1">
      <alignment horizontal="center" vertical="center"/>
      <protection locked="0"/>
    </xf>
    <xf numFmtId="165" fontId="55" fillId="0" borderId="0" xfId="0" applyNumberFormat="1" applyFont="1" applyFill="1" applyAlignment="1" applyProtection="1">
      <alignment horizontal="center" vertical="center"/>
      <protection locked="0"/>
    </xf>
    <xf numFmtId="165" fontId="15" fillId="0" borderId="0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4" fontId="55" fillId="0" borderId="1" xfId="205" applyNumberFormat="1" applyFont="1" applyFill="1" applyBorder="1" applyAlignment="1">
      <alignment horizontal="center" vertical="center"/>
    </xf>
    <xf numFmtId="4" fontId="55" fillId="0" borderId="0" xfId="205" applyNumberFormat="1" applyFont="1" applyFill="1" applyBorder="1" applyAlignment="1">
      <alignment horizontal="center" vertical="center"/>
    </xf>
    <xf numFmtId="0" fontId="15" fillId="0" borderId="1" xfId="746" applyFont="1" applyFill="1" applyBorder="1" applyAlignment="1">
      <alignment horizontal="center" vertical="center" wrapText="1"/>
    </xf>
    <xf numFmtId="4" fontId="106" fillId="29" borderId="1" xfId="0" applyNumberFormat="1" applyFont="1" applyFill="1" applyBorder="1" applyAlignment="1" applyProtection="1">
      <alignment horizontal="center" vertical="center"/>
      <protection locked="0"/>
    </xf>
    <xf numFmtId="3" fontId="106" fillId="29" borderId="1" xfId="0" applyNumberFormat="1" applyFont="1" applyFill="1" applyBorder="1" applyAlignment="1" applyProtection="1">
      <alignment horizontal="center" vertical="center"/>
      <protection locked="0"/>
    </xf>
    <xf numFmtId="0" fontId="5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55" fillId="0" borderId="0" xfId="0" applyFont="1" applyFill="1" applyAlignment="1">
      <alignment horizontal="left"/>
    </xf>
    <xf numFmtId="165" fontId="15" fillId="0" borderId="0" xfId="0" applyNumberFormat="1" applyFont="1" applyFill="1" applyAlignment="1">
      <alignment horizontal="center" vertical="center"/>
    </xf>
    <xf numFmtId="2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29" borderId="0" xfId="0" applyFont="1" applyFill="1" applyBorder="1" applyAlignment="1" applyProtection="1">
      <alignment horizontal="left" vertical="center" wrapText="1"/>
      <protection locked="0"/>
    </xf>
    <xf numFmtId="4" fontId="15" fillId="0" borderId="0" xfId="0" applyNumberFormat="1" applyFont="1" applyFill="1" applyBorder="1" applyAlignment="1">
      <alignment vertical="center" wrapText="1"/>
    </xf>
    <xf numFmtId="49" fontId="15" fillId="0" borderId="0" xfId="6" applyNumberFormat="1" applyFont="1" applyFill="1" applyBorder="1" applyAlignment="1">
      <alignment vertical="center" wrapText="1"/>
    </xf>
    <xf numFmtId="4" fontId="15" fillId="0" borderId="0" xfId="6" applyNumberFormat="1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 applyProtection="1">
      <alignment horizontal="center" vertical="center"/>
      <protection locked="0"/>
    </xf>
    <xf numFmtId="4" fontId="114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55" fillId="41" borderId="0" xfId="0" applyFont="1" applyFill="1" applyAlignment="1" applyProtection="1">
      <alignment vertical="center"/>
      <protection locked="0"/>
    </xf>
    <xf numFmtId="0" fontId="15" fillId="41" borderId="0" xfId="0" applyFont="1" applyFill="1" applyAlignment="1" applyProtection="1">
      <alignment vertical="center"/>
      <protection locked="0"/>
    </xf>
    <xf numFmtId="0" fontId="15" fillId="41" borderId="0" xfId="0" applyFont="1" applyFill="1" applyAlignment="1" applyProtection="1">
      <alignment horizontal="center" vertical="center"/>
      <protection locked="0"/>
    </xf>
    <xf numFmtId="4" fontId="55" fillId="41" borderId="0" xfId="0" applyNumberFormat="1" applyFont="1" applyFill="1" applyAlignment="1" applyProtection="1">
      <alignment horizontal="center" vertical="center"/>
      <protection locked="0"/>
    </xf>
    <xf numFmtId="4" fontId="58" fillId="0" borderId="0" xfId="0" applyNumberFormat="1" applyFont="1" applyFill="1" applyBorder="1" applyAlignment="1">
      <alignment horizontal="left" vertical="center"/>
    </xf>
    <xf numFmtId="0" fontId="55" fillId="0" borderId="0" xfId="0" applyFont="1" applyFill="1" applyProtection="1">
      <protection locked="0"/>
    </xf>
    <xf numFmtId="49" fontId="55" fillId="0" borderId="0" xfId="0" applyNumberFormat="1" applyFont="1" applyFill="1" applyBorder="1" applyProtection="1">
      <protection locked="0"/>
    </xf>
    <xf numFmtId="0" fontId="55" fillId="41" borderId="0" xfId="0" applyFont="1" applyFill="1" applyBorder="1" applyAlignment="1" applyProtection="1">
      <alignment vertical="center"/>
      <protection locked="0"/>
    </xf>
    <xf numFmtId="0" fontId="15" fillId="41" borderId="0" xfId="0" applyFont="1" applyFill="1" applyBorder="1" applyAlignment="1" applyProtection="1">
      <alignment vertical="center"/>
      <protection locked="0"/>
    </xf>
    <xf numFmtId="0" fontId="55" fillId="6" borderId="0" xfId="0" applyFont="1" applyFill="1" applyBorder="1" applyAlignment="1" applyProtection="1">
      <alignment vertical="center"/>
      <protection locked="0"/>
    </xf>
    <xf numFmtId="0" fontId="15" fillId="6" borderId="0" xfId="0" applyFont="1" applyFill="1" applyBorder="1" applyAlignment="1" applyProtection="1">
      <alignment vertical="center"/>
      <protection locked="0"/>
    </xf>
    <xf numFmtId="0" fontId="15" fillId="6" borderId="0" xfId="0" applyFont="1" applyFill="1" applyBorder="1" applyAlignment="1" applyProtection="1">
      <alignment horizontal="center" vertical="center"/>
      <protection locked="0"/>
    </xf>
    <xf numFmtId="4" fontId="55" fillId="6" borderId="0" xfId="0" applyNumberFormat="1" applyFont="1" applyFill="1" applyBorder="1" applyAlignment="1" applyProtection="1">
      <alignment horizontal="center" vertical="center"/>
      <protection locked="0"/>
    </xf>
    <xf numFmtId="0" fontId="15" fillId="29" borderId="0" xfId="0" applyFont="1" applyFill="1" applyProtection="1">
      <protection locked="0"/>
    </xf>
    <xf numFmtId="0" fontId="15" fillId="0" borderId="1" xfId="0" applyFont="1" applyFill="1" applyBorder="1" applyAlignment="1" applyProtection="1">
      <alignment vertical="center" wrapText="1"/>
      <protection locked="0"/>
    </xf>
    <xf numFmtId="4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83" applyFont="1" applyFill="1" applyAlignment="1">
      <alignment vertical="center"/>
    </xf>
    <xf numFmtId="166" fontId="15" fillId="0" borderId="0" xfId="0" applyNumberFormat="1" applyFont="1" applyFill="1" applyBorder="1" applyAlignment="1">
      <alignment vertical="center"/>
    </xf>
    <xf numFmtId="181" fontId="55" fillId="0" borderId="0" xfId="0" applyNumberFormat="1" applyFont="1" applyFill="1" applyAlignment="1">
      <alignment vertical="center"/>
    </xf>
    <xf numFmtId="170" fontId="56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82" fillId="0" borderId="0" xfId="0" applyFont="1" applyAlignment="1">
      <alignment horizontal="right"/>
    </xf>
    <xf numFmtId="4" fontId="82" fillId="0" borderId="0" xfId="0" applyNumberFormat="1" applyFont="1"/>
    <xf numFmtId="2" fontId="55" fillId="0" borderId="0" xfId="0" applyNumberFormat="1" applyFont="1" applyFill="1" applyAlignment="1">
      <alignment vertical="center"/>
    </xf>
    <xf numFmtId="4" fontId="114" fillId="32" borderId="0" xfId="0" applyNumberFormat="1" applyFont="1" applyFill="1" applyAlignment="1">
      <alignment horizontal="left" vertical="center"/>
    </xf>
    <xf numFmtId="0" fontId="4" fillId="29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14" fillId="29" borderId="0" xfId="0" applyNumberFormat="1" applyFont="1" applyFill="1" applyAlignment="1">
      <alignment vertical="center"/>
    </xf>
    <xf numFmtId="0" fontId="15" fillId="32" borderId="0" xfId="70" applyFont="1" applyFill="1"/>
    <xf numFmtId="0" fontId="20" fillId="32" borderId="0" xfId="0" applyFont="1" applyFill="1" applyBorder="1" applyAlignment="1">
      <alignment horizontal="left" vertical="center" wrapText="1"/>
    </xf>
    <xf numFmtId="180" fontId="15" fillId="29" borderId="0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0" borderId="0" xfId="0" applyFont="1" applyFill="1" applyBorder="1"/>
    <xf numFmtId="0" fontId="4" fillId="29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" fontId="65" fillId="0" borderId="0" xfId="0" applyNumberFormat="1" applyFont="1" applyFill="1" applyAlignment="1">
      <alignment vertical="center"/>
    </xf>
    <xf numFmtId="0" fontId="15" fillId="0" borderId="7" xfId="745" applyFont="1" applyFill="1" applyBorder="1" applyAlignment="1">
      <alignment horizontal="center" vertical="center" wrapText="1"/>
    </xf>
    <xf numFmtId="4" fontId="15" fillId="0" borderId="8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" fontId="15" fillId="0" borderId="0" xfId="70" applyNumberFormat="1" applyFont="1" applyFill="1"/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4" fontId="114" fillId="0" borderId="0" xfId="0" applyNumberFormat="1" applyFont="1" applyFill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1" fontId="15" fillId="29" borderId="0" xfId="0" applyNumberFormat="1" applyFont="1" applyFill="1" applyAlignment="1">
      <alignment horizontal="left" vertical="center"/>
    </xf>
    <xf numFmtId="4" fontId="65" fillId="0" borderId="0" xfId="0" applyNumberFormat="1" applyFont="1" applyFill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4" fontId="1" fillId="0" borderId="0" xfId="0" applyNumberFormat="1" applyFont="1"/>
    <xf numFmtId="4" fontId="88" fillId="0" borderId="0" xfId="0" applyNumberFormat="1" applyFont="1"/>
    <xf numFmtId="4" fontId="116" fillId="29" borderId="0" xfId="0" applyNumberFormat="1" applyFont="1" applyFill="1" applyAlignment="1">
      <alignment horizontal="left" vertical="center"/>
    </xf>
    <xf numFmtId="0" fontId="4" fillId="29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3" fontId="55" fillId="29" borderId="0" xfId="0" applyNumberFormat="1" applyFont="1" applyFill="1" applyAlignment="1">
      <alignment horizontal="left" vertical="center"/>
    </xf>
    <xf numFmtId="0" fontId="4" fillId="29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117" fillId="0" borderId="0" xfId="0" applyNumberFormat="1" applyFont="1"/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" fontId="27" fillId="0" borderId="0" xfId="0" applyNumberFormat="1" applyFont="1" applyFill="1" applyBorder="1" applyAlignment="1">
      <alignment vertical="center"/>
    </xf>
    <xf numFmtId="18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7" fillId="0" borderId="39" xfId="0" applyNumberFormat="1" applyFont="1" applyFill="1" applyBorder="1" applyAlignment="1">
      <alignment horizontal="center"/>
    </xf>
    <xf numFmtId="49" fontId="57" fillId="0" borderId="40" xfId="0" applyNumberFormat="1" applyFont="1" applyFill="1" applyBorder="1" applyAlignment="1">
      <alignment horizontal="center"/>
    </xf>
    <xf numFmtId="4" fontId="57" fillId="0" borderId="40" xfId="0" applyNumberFormat="1" applyFont="1" applyFill="1" applyBorder="1" applyAlignment="1">
      <alignment horizontal="right"/>
    </xf>
    <xf numFmtId="4" fontId="57" fillId="0" borderId="41" xfId="0" applyNumberFormat="1" applyFont="1" applyFill="1" applyBorder="1" applyAlignment="1">
      <alignment horizontal="right"/>
    </xf>
    <xf numFmtId="4" fontId="57" fillId="0" borderId="43" xfId="0" applyNumberFormat="1" applyFont="1" applyFill="1" applyBorder="1" applyAlignment="1">
      <alignment horizontal="right"/>
    </xf>
    <xf numFmtId="49" fontId="109" fillId="0" borderId="42" xfId="0" applyNumberFormat="1" applyFont="1" applyFill="1" applyBorder="1" applyAlignment="1">
      <alignment horizontal="center"/>
    </xf>
    <xf numFmtId="49" fontId="57" fillId="0" borderId="42" xfId="0" applyNumberFormat="1" applyFont="1" applyFill="1" applyBorder="1" applyAlignment="1">
      <alignment horizontal="center" wrapText="1"/>
    </xf>
    <xf numFmtId="4" fontId="106" fillId="0" borderId="0" xfId="0" applyNumberFormat="1" applyFont="1" applyFill="1" applyBorder="1" applyAlignment="1">
      <alignment horizontal="left" vertical="center"/>
    </xf>
    <xf numFmtId="2" fontId="15" fillId="0" borderId="1" xfId="100" applyNumberFormat="1" applyFont="1" applyFill="1" applyBorder="1" applyAlignment="1">
      <alignment horizontal="center" vertical="top" wrapText="1"/>
    </xf>
    <xf numFmtId="4" fontId="15" fillId="0" borderId="1" xfId="100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106" fillId="0" borderId="0" xfId="0" applyNumberFormat="1" applyFont="1" applyFill="1" applyBorder="1" applyAlignment="1">
      <alignment vertical="center"/>
    </xf>
    <xf numFmtId="4" fontId="65" fillId="29" borderId="0" xfId="0" applyNumberFormat="1" applyFont="1" applyFill="1" applyAlignment="1">
      <alignment vertical="center"/>
    </xf>
    <xf numFmtId="184" fontId="15" fillId="29" borderId="0" xfId="0" applyNumberFormat="1" applyFont="1" applyFill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4" fillId="29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29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5" fillId="29" borderId="30" xfId="0" applyFont="1" applyFill="1" applyBorder="1" applyAlignment="1" applyProtection="1">
      <alignment horizontal="right" vertical="center"/>
      <protection locked="0"/>
    </xf>
    <xf numFmtId="0" fontId="55" fillId="29" borderId="31" xfId="0" applyFont="1" applyFill="1" applyBorder="1" applyAlignment="1" applyProtection="1">
      <alignment horizontal="right" vertical="center"/>
      <protection locked="0"/>
    </xf>
    <xf numFmtId="4" fontId="55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4" fillId="29" borderId="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114" fillId="0" borderId="0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0" fillId="0" borderId="0" xfId="0" applyFill="1"/>
    <xf numFmtId="0" fontId="20" fillId="0" borderId="2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49" fontId="55" fillId="0" borderId="0" xfId="0" applyNumberFormat="1" applyFont="1" applyFill="1" applyBorder="1" applyAlignment="1">
      <alignment vertical="center"/>
    </xf>
    <xf numFmtId="0" fontId="15" fillId="41" borderId="0" xfId="0" applyFont="1" applyFill="1" applyBorder="1" applyAlignment="1">
      <alignment vertical="center"/>
    </xf>
    <xf numFmtId="0" fontId="15" fillId="41" borderId="0" xfId="0" applyFont="1" applyFill="1" applyAlignment="1">
      <alignment vertical="center"/>
    </xf>
    <xf numFmtId="4" fontId="55" fillId="0" borderId="7" xfId="0" applyNumberFormat="1" applyFont="1" applyFill="1" applyBorder="1" applyAlignment="1" applyProtection="1">
      <alignment horizontal="center" vertical="center"/>
      <protection locked="0"/>
    </xf>
    <xf numFmtId="4" fontId="15" fillId="0" borderId="12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119" fillId="0" borderId="0" xfId="0" applyNumberFormat="1" applyFont="1" applyFill="1"/>
    <xf numFmtId="4" fontId="0" fillId="0" borderId="0" xfId="0" applyNumberFormat="1" applyFill="1"/>
    <xf numFmtId="3" fontId="15" fillId="29" borderId="0" xfId="0" applyNumberFormat="1" applyFont="1" applyFill="1" applyAlignment="1">
      <alignment vertical="center"/>
    </xf>
    <xf numFmtId="3" fontId="65" fillId="29" borderId="0" xfId="0" applyNumberFormat="1" applyFont="1" applyFill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5" fontId="58" fillId="0" borderId="0" xfId="0" applyNumberFormat="1" applyFont="1" applyFill="1" applyBorder="1" applyAlignment="1">
      <alignment horizontal="left" vertical="center"/>
    </xf>
    <xf numFmtId="4" fontId="4" fillId="0" borderId="0" xfId="0" applyNumberFormat="1" applyFont="1" applyFill="1" applyAlignment="1">
      <alignment vertical="center"/>
    </xf>
    <xf numFmtId="177" fontId="15" fillId="29" borderId="0" xfId="0" applyNumberFormat="1" applyFont="1" applyFill="1" applyAlignment="1">
      <alignment horizontal="center" vertical="center"/>
    </xf>
    <xf numFmtId="0" fontId="4" fillId="29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4" fillId="29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20" fillId="0" borderId="2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/>
    </xf>
    <xf numFmtId="4" fontId="15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right"/>
    </xf>
    <xf numFmtId="2" fontId="15" fillId="29" borderId="0" xfId="0" applyNumberFormat="1" applyFont="1" applyFill="1" applyAlignment="1">
      <alignment horizontal="left" vertical="center"/>
    </xf>
    <xf numFmtId="182" fontId="15" fillId="0" borderId="0" xfId="0" applyNumberFormat="1" applyFont="1" applyFill="1" applyAlignment="1">
      <alignment vertical="center"/>
    </xf>
    <xf numFmtId="4" fontId="1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49" fontId="83" fillId="0" borderId="0" xfId="0" applyNumberFormat="1" applyFont="1" applyFill="1" applyBorder="1"/>
    <xf numFmtId="4" fontId="15" fillId="0" borderId="0" xfId="0" applyNumberFormat="1" applyFont="1" applyFill="1" applyBorder="1" applyAlignment="1">
      <alignment horizontal="left"/>
    </xf>
    <xf numFmtId="0" fontId="55" fillId="43" borderId="0" xfId="0" applyFont="1" applyFill="1" applyAlignment="1" applyProtection="1">
      <alignment vertical="center"/>
      <protection locked="0"/>
    </xf>
    <xf numFmtId="0" fontId="15" fillId="43" borderId="0" xfId="0" applyFont="1" applyFill="1" applyAlignment="1">
      <alignment vertical="center"/>
    </xf>
    <xf numFmtId="0" fontId="55" fillId="43" borderId="0" xfId="0" applyFont="1" applyFill="1" applyBorder="1" applyAlignment="1" applyProtection="1">
      <alignment vertical="center"/>
      <protection locked="0"/>
    </xf>
    <xf numFmtId="0" fontId="15" fillId="43" borderId="0" xfId="0" applyFont="1" applyFill="1" applyAlignment="1" applyProtection="1">
      <alignment vertical="center"/>
      <protection locked="0"/>
    </xf>
    <xf numFmtId="0" fontId="15" fillId="43" borderId="0" xfId="0" applyFont="1" applyFill="1" applyAlignment="1" applyProtection="1">
      <alignment horizontal="center" vertical="center"/>
      <protection locked="0"/>
    </xf>
    <xf numFmtId="4" fontId="15" fillId="43" borderId="0" xfId="0" applyNumberFormat="1" applyFont="1" applyFill="1" applyAlignment="1" applyProtection="1">
      <alignment horizontal="center" vertical="center"/>
      <protection locked="0"/>
    </xf>
    <xf numFmtId="4" fontId="55" fillId="43" borderId="0" xfId="0" applyNumberFormat="1" applyFont="1" applyFill="1" applyAlignment="1" applyProtection="1">
      <alignment horizontal="center" vertical="center"/>
      <protection locked="0"/>
    </xf>
    <xf numFmtId="49" fontId="55" fillId="43" borderId="0" xfId="0" applyNumberFormat="1" applyFont="1" applyFill="1" applyBorder="1" applyAlignment="1" applyProtection="1">
      <alignment horizontal="left" vertical="center"/>
      <protection locked="0"/>
    </xf>
    <xf numFmtId="0" fontId="15" fillId="43" borderId="0" xfId="0" applyFont="1" applyFill="1" applyBorder="1" applyAlignment="1" applyProtection="1">
      <alignment vertical="center"/>
      <protection locked="0"/>
    </xf>
    <xf numFmtId="0" fontId="15" fillId="43" borderId="0" xfId="0" applyFont="1" applyFill="1" applyBorder="1" applyAlignment="1">
      <alignment vertical="center"/>
    </xf>
    <xf numFmtId="0" fontId="55" fillId="43" borderId="0" xfId="0" applyFont="1" applyFill="1" applyBorder="1" applyAlignment="1" applyProtection="1">
      <alignment horizontal="center" vertical="center"/>
      <protection locked="0"/>
    </xf>
    <xf numFmtId="4" fontId="55" fillId="43" borderId="0" xfId="0" applyNumberFormat="1" applyFont="1" applyFill="1" applyBorder="1" applyAlignment="1" applyProtection="1">
      <alignment horizontal="center" vertical="center" wrapText="1"/>
      <protection locked="0"/>
    </xf>
    <xf numFmtId="1" fontId="15" fillId="41" borderId="0" xfId="0" applyNumberFormat="1" applyFont="1" applyFill="1" applyAlignment="1" applyProtection="1">
      <alignment horizontal="center" vertical="center"/>
      <protection locked="0"/>
    </xf>
    <xf numFmtId="4" fontId="15" fillId="41" borderId="0" xfId="0" applyNumberFormat="1" applyFont="1" applyFill="1" applyAlignment="1" applyProtection="1">
      <alignment horizontal="center" vertical="center"/>
      <protection locked="0"/>
    </xf>
    <xf numFmtId="175" fontId="15" fillId="29" borderId="0" xfId="0" applyNumberFormat="1" applyFont="1" applyFill="1"/>
    <xf numFmtId="4" fontId="4" fillId="30" borderId="1" xfId="0" applyNumberFormat="1" applyFont="1" applyFill="1" applyBorder="1" applyAlignment="1" applyProtection="1">
      <alignment horizontal="center" vertical="center" wrapText="1"/>
      <protection locked="0"/>
    </xf>
    <xf numFmtId="180" fontId="15" fillId="0" borderId="0" xfId="0" applyNumberFormat="1" applyFont="1" applyFill="1" applyAlignment="1">
      <alignment vertical="center"/>
    </xf>
    <xf numFmtId="184" fontId="55" fillId="0" borderId="0" xfId="0" applyNumberFormat="1" applyFont="1" applyFill="1" applyAlignment="1">
      <alignment vertical="center"/>
    </xf>
    <xf numFmtId="0" fontId="15" fillId="29" borderId="60" xfId="0" applyFont="1" applyFill="1" applyBorder="1" applyAlignment="1" applyProtection="1">
      <alignment horizontal="center" vertical="center"/>
      <protection locked="0"/>
    </xf>
    <xf numFmtId="4" fontId="15" fillId="29" borderId="60" xfId="0" applyNumberFormat="1" applyFont="1" applyFill="1" applyBorder="1" applyAlignment="1" applyProtection="1">
      <alignment horizontal="center" vertical="center" wrapText="1"/>
      <protection locked="0"/>
    </xf>
    <xf numFmtId="4" fontId="15" fillId="40" borderId="1" xfId="0" applyNumberFormat="1" applyFont="1" applyFill="1" applyBorder="1" applyAlignment="1" applyProtection="1">
      <alignment horizontal="center" vertical="center" wrapText="1"/>
      <protection locked="0"/>
    </xf>
    <xf numFmtId="0" fontId="55" fillId="6" borderId="0" xfId="0" applyFont="1" applyFill="1" applyAlignment="1" applyProtection="1">
      <alignment vertical="center"/>
      <protection locked="0"/>
    </xf>
    <xf numFmtId="0" fontId="15" fillId="6" borderId="0" xfId="0" applyFont="1" applyFill="1" applyAlignment="1" applyProtection="1">
      <alignment vertical="center"/>
      <protection locked="0"/>
    </xf>
    <xf numFmtId="0" fontId="15" fillId="6" borderId="0" xfId="0" applyFont="1" applyFill="1" applyAlignment="1" applyProtection="1">
      <alignment horizontal="center" vertical="center"/>
      <protection locked="0"/>
    </xf>
    <xf numFmtId="4" fontId="15" fillId="6" borderId="0" xfId="0" applyNumberFormat="1" applyFont="1" applyFill="1" applyAlignment="1" applyProtection="1">
      <alignment horizontal="center" vertical="center"/>
      <protection locked="0"/>
    </xf>
    <xf numFmtId="4" fontId="55" fillId="6" borderId="0" xfId="0" applyNumberFormat="1" applyFont="1" applyFill="1" applyAlignment="1" applyProtection="1">
      <alignment horizontal="center" vertical="center"/>
      <protection locked="0"/>
    </xf>
    <xf numFmtId="1" fontId="15" fillId="6" borderId="0" xfId="0" applyNumberFormat="1" applyFont="1" applyFill="1" applyAlignment="1" applyProtection="1">
      <alignment horizontal="center" vertical="center"/>
      <protection locked="0"/>
    </xf>
    <xf numFmtId="0" fontId="15" fillId="6" borderId="0" xfId="0" applyFont="1" applyFill="1" applyBorder="1" applyAlignment="1">
      <alignment vertical="center"/>
    </xf>
    <xf numFmtId="0" fontId="15" fillId="0" borderId="60" xfId="0" applyFont="1" applyFill="1" applyBorder="1" applyAlignment="1">
      <alignment horizontal="center"/>
    </xf>
    <xf numFmtId="4" fontId="19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left"/>
    </xf>
    <xf numFmtId="0" fontId="115" fillId="0" borderId="0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center"/>
    </xf>
    <xf numFmtId="0" fontId="4" fillId="0" borderId="0" xfId="0" applyFont="1"/>
    <xf numFmtId="0" fontId="4" fillId="0" borderId="1" xfId="0" applyFont="1" applyBorder="1"/>
    <xf numFmtId="4" fontId="4" fillId="0" borderId="1" xfId="0" applyNumberFormat="1" applyFont="1" applyBorder="1"/>
    <xf numFmtId="0" fontId="10" fillId="0" borderId="0" xfId="0" applyFont="1" applyFill="1" applyAlignment="1">
      <alignment horizont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9" fillId="29" borderId="0" xfId="0" applyNumberFormat="1" applyFont="1" applyFill="1" applyBorder="1" applyAlignment="1">
      <alignment vertical="center"/>
    </xf>
    <xf numFmtId="4" fontId="4" fillId="30" borderId="0" xfId="0" applyNumberFormat="1" applyFont="1" applyFill="1" applyBorder="1" applyAlignment="1" applyProtection="1">
      <alignment horizontal="right" vertical="center" wrapText="1"/>
      <protection locked="0"/>
    </xf>
    <xf numFmtId="4" fontId="15" fillId="29" borderId="0" xfId="6" applyNumberFormat="1" applyFont="1" applyFill="1" applyBorder="1" applyAlignment="1">
      <alignment horizontal="right" vertical="center" wrapText="1"/>
    </xf>
    <xf numFmtId="4" fontId="15" fillId="3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6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0" xfId="0" applyFont="1" applyFill="1"/>
    <xf numFmtId="0" fontId="0" fillId="0" borderId="1" xfId="0" applyFill="1" applyBorder="1"/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4" fontId="10" fillId="0" borderId="0" xfId="0" applyNumberFormat="1" applyFont="1" applyFill="1" applyBorder="1" applyAlignment="1" applyProtection="1">
      <alignment horizontal="center" vertical="center"/>
      <protection locked="0"/>
    </xf>
    <xf numFmtId="4" fontId="10" fillId="0" borderId="0" xfId="0" applyNumberFormat="1" applyFont="1" applyFill="1" applyBorder="1" applyAlignment="1">
      <alignment horizontal="left" vertical="center"/>
    </xf>
    <xf numFmtId="4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" fontId="15" fillId="0" borderId="57" xfId="0" applyNumberFormat="1" applyFont="1" applyFill="1" applyBorder="1" applyAlignment="1">
      <alignment horizontal="center" vertical="center"/>
    </xf>
    <xf numFmtId="4" fontId="115" fillId="0" borderId="0" xfId="0" applyNumberFormat="1" applyFont="1" applyFill="1" applyBorder="1" applyAlignment="1">
      <alignment horizontal="center" vertical="center"/>
    </xf>
    <xf numFmtId="4" fontId="55" fillId="0" borderId="57" xfId="0" applyNumberFormat="1" applyFont="1" applyFill="1" applyBorder="1" applyAlignment="1">
      <alignment horizontal="center" vertical="center"/>
    </xf>
    <xf numFmtId="0" fontId="4" fillId="29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wrapText="1"/>
    </xf>
    <xf numFmtId="0" fontId="2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58" fillId="29" borderId="0" xfId="0" applyNumberFormat="1" applyFont="1" applyFill="1" applyAlignment="1">
      <alignment vertical="center"/>
    </xf>
    <xf numFmtId="4" fontId="55" fillId="0" borderId="0" xfId="0" applyNumberFormat="1" applyFont="1" applyFill="1" applyAlignment="1">
      <alignment horizontal="right" vertical="center"/>
    </xf>
    <xf numFmtId="4" fontId="55" fillId="0" borderId="0" xfId="0" applyNumberFormat="1" applyFont="1" applyFill="1" applyBorder="1" applyAlignment="1">
      <alignment horizontal="left" vertical="center"/>
    </xf>
    <xf numFmtId="175" fontId="15" fillId="29" borderId="0" xfId="0" applyNumberFormat="1" applyFont="1" applyFill="1" applyAlignment="1">
      <alignment horizontal="left" vertical="center"/>
    </xf>
    <xf numFmtId="175" fontId="55" fillId="0" borderId="0" xfId="0" applyNumberFormat="1" applyFont="1" applyFill="1" applyAlignment="1">
      <alignment vertical="center"/>
    </xf>
    <xf numFmtId="180" fontId="55" fillId="0" borderId="0" xfId="0" applyNumberFormat="1" applyFont="1" applyFill="1" applyAlignment="1">
      <alignment vertical="center"/>
    </xf>
    <xf numFmtId="0" fontId="57" fillId="0" borderId="51" xfId="0" applyNumberFormat="1" applyFont="1" applyFill="1" applyBorder="1" applyAlignment="1">
      <alignment horizontal="center"/>
    </xf>
    <xf numFmtId="49" fontId="57" fillId="0" borderId="51" xfId="0" applyNumberFormat="1" applyFont="1" applyFill="1" applyBorder="1" applyAlignment="1">
      <alignment horizontal="center"/>
    </xf>
    <xf numFmtId="166" fontId="15" fillId="29" borderId="0" xfId="0" applyNumberFormat="1" applyFont="1" applyFill="1" applyAlignment="1">
      <alignment vertical="center"/>
    </xf>
    <xf numFmtId="182" fontId="15" fillId="0" borderId="0" xfId="0" applyNumberFormat="1" applyFont="1" applyFill="1" applyBorder="1" applyAlignment="1">
      <alignment vertical="center" wrapText="1"/>
    </xf>
    <xf numFmtId="175" fontId="15" fillId="0" borderId="0" xfId="0" applyNumberFormat="1" applyFont="1" applyFill="1" applyBorder="1" applyAlignment="1">
      <alignment vertical="center" wrapText="1"/>
    </xf>
    <xf numFmtId="0" fontId="4" fillId="29" borderId="1" xfId="0" applyFont="1" applyFill="1" applyBorder="1" applyAlignment="1">
      <alignment horizontal="left" vertical="center" wrapText="1"/>
    </xf>
    <xf numFmtId="0" fontId="4" fillId="29" borderId="27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wrapText="1"/>
    </xf>
    <xf numFmtId="0" fontId="20" fillId="0" borderId="1" xfId="0" applyFont="1" applyFill="1" applyBorder="1" applyAlignment="1">
      <alignment horizontal="center" vertical="center"/>
    </xf>
    <xf numFmtId="0" fontId="4" fillId="29" borderId="3" xfId="0" applyFont="1" applyFill="1" applyBorder="1" applyAlignment="1">
      <alignment horizontal="left" vertical="center" wrapText="1"/>
    </xf>
    <xf numFmtId="181" fontId="15" fillId="29" borderId="0" xfId="0" applyNumberFormat="1" applyFont="1" applyFill="1" applyAlignment="1">
      <alignment vertical="center"/>
    </xf>
    <xf numFmtId="166" fontId="55" fillId="29" borderId="0" xfId="0" applyNumberFormat="1" applyFont="1" applyFill="1" applyAlignment="1">
      <alignment horizontal="left" vertical="center"/>
    </xf>
    <xf numFmtId="0" fontId="4" fillId="29" borderId="1" xfId="0" applyFont="1" applyFill="1" applyBorder="1" applyAlignment="1">
      <alignment horizontal="left" vertical="center" wrapText="1"/>
    </xf>
    <xf numFmtId="0" fontId="4" fillId="29" borderId="27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167" fontId="0" fillId="0" borderId="0" xfId="0" applyNumberFormat="1" applyFill="1" applyAlignment="1">
      <alignment horizontal="left"/>
    </xf>
    <xf numFmtId="4" fontId="15" fillId="39" borderId="1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horizontal="left"/>
    </xf>
    <xf numFmtId="4" fontId="15" fillId="30" borderId="1" xfId="0" applyNumberFormat="1" applyFont="1" applyFill="1" applyBorder="1" applyAlignment="1">
      <alignment horizontal="center" vertical="center"/>
    </xf>
    <xf numFmtId="0" fontId="4" fillId="29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wrapText="1"/>
    </xf>
    <xf numFmtId="0" fontId="2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175" fontId="55" fillId="29" borderId="0" xfId="0" applyNumberFormat="1" applyFont="1" applyFill="1" applyAlignment="1">
      <alignment vertical="center"/>
    </xf>
    <xf numFmtId="0" fontId="15" fillId="0" borderId="57" xfId="0" applyFont="1" applyFill="1" applyBorder="1" applyAlignment="1" applyProtection="1">
      <alignment horizontal="center" vertical="center"/>
      <protection locked="0"/>
    </xf>
    <xf numFmtId="0" fontId="4" fillId="29" borderId="1" xfId="0" applyFont="1" applyFill="1" applyBorder="1" applyAlignment="1">
      <alignment horizontal="left" vertical="center" wrapText="1"/>
    </xf>
    <xf numFmtId="0" fontId="4" fillId="29" borderId="27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20" fillId="0" borderId="59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4" fillId="29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4" fillId="29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4" fontId="15" fillId="30" borderId="1" xfId="6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4" fillId="29" borderId="3" xfId="0" applyFont="1" applyFill="1" applyBorder="1" applyAlignment="1">
      <alignment horizontal="left" vertical="center" wrapText="1"/>
    </xf>
    <xf numFmtId="175" fontId="15" fillId="0" borderId="0" xfId="0" applyNumberFormat="1" applyFont="1" applyFill="1" applyBorder="1" applyAlignment="1">
      <alignment vertical="center"/>
    </xf>
    <xf numFmtId="175" fontId="15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/>
    <xf numFmtId="0" fontId="4" fillId="29" borderId="1" xfId="0" applyFont="1" applyFill="1" applyBorder="1" applyAlignment="1">
      <alignment horizontal="left" vertical="center" wrapText="1"/>
    </xf>
    <xf numFmtId="4" fontId="15" fillId="0" borderId="58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Alignment="1">
      <alignment horizont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4" fontId="15" fillId="29" borderId="7" xfId="0" applyNumberFormat="1" applyFont="1" applyFill="1" applyBorder="1" applyAlignment="1" applyProtection="1">
      <alignment horizontal="left" vertical="center"/>
      <protection locked="0"/>
    </xf>
    <xf numFmtId="4" fontId="15" fillId="29" borderId="8" xfId="0" applyNumberFormat="1" applyFont="1" applyFill="1" applyBorder="1" applyAlignment="1" applyProtection="1">
      <alignment horizontal="left" vertical="center"/>
      <protection locked="0"/>
    </xf>
    <xf numFmtId="4" fontId="15" fillId="29" borderId="26" xfId="0" applyNumberFormat="1" applyFont="1" applyFill="1" applyBorder="1" applyAlignment="1" applyProtection="1">
      <alignment horizontal="left" vertical="center"/>
      <protection locked="0"/>
    </xf>
    <xf numFmtId="4" fontId="15" fillId="29" borderId="61" xfId="0" applyNumberFormat="1" applyFont="1" applyFill="1" applyBorder="1" applyAlignment="1" applyProtection="1">
      <alignment horizontal="center" vertical="center"/>
      <protection locked="0"/>
    </xf>
    <xf numFmtId="3" fontId="15" fillId="29" borderId="61" xfId="0" applyNumberFormat="1" applyFont="1" applyFill="1" applyBorder="1" applyAlignment="1" applyProtection="1">
      <alignment horizontal="center" vertical="center"/>
      <protection locked="0"/>
    </xf>
    <xf numFmtId="0" fontId="20" fillId="0" borderId="61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left" vertical="center" wrapText="1"/>
    </xf>
    <xf numFmtId="4" fontId="20" fillId="0" borderId="61" xfId="0" applyNumberFormat="1" applyFont="1" applyFill="1" applyBorder="1" applyAlignment="1">
      <alignment horizontal="center" vertical="center"/>
    </xf>
    <xf numFmtId="0" fontId="4" fillId="29" borderId="59" xfId="0" applyFont="1" applyFill="1" applyBorder="1" applyAlignment="1" applyProtection="1">
      <alignment horizontal="center" vertical="center" wrapText="1"/>
      <protection locked="0"/>
    </xf>
    <xf numFmtId="4" fontId="15" fillId="29" borderId="57" xfId="0" applyNumberFormat="1" applyFont="1" applyFill="1" applyBorder="1" applyAlignment="1" applyProtection="1">
      <alignment horizontal="center" vertical="center"/>
      <protection locked="0"/>
    </xf>
    <xf numFmtId="185" fontId="15" fillId="29" borderId="61" xfId="0" applyNumberFormat="1" applyFont="1" applyFill="1" applyBorder="1" applyAlignment="1" applyProtection="1">
      <alignment horizontal="center" vertical="center"/>
      <protection locked="0"/>
    </xf>
    <xf numFmtId="49" fontId="15" fillId="29" borderId="61" xfId="0" applyNumberFormat="1" applyFont="1" applyFill="1" applyBorder="1" applyAlignment="1" applyProtection="1">
      <alignment horizontal="center" vertical="center" wrapText="1"/>
      <protection locked="0"/>
    </xf>
    <xf numFmtId="4" fontId="59" fillId="29" borderId="61" xfId="0" applyNumberFormat="1" applyFont="1" applyFill="1" applyBorder="1" applyAlignment="1" applyProtection="1">
      <alignment horizontal="center" vertical="center" wrapText="1"/>
      <protection locked="0"/>
    </xf>
    <xf numFmtId="177" fontId="114" fillId="29" borderId="0" xfId="0" applyNumberFormat="1" applyFont="1" applyFill="1" applyBorder="1" applyAlignment="1">
      <alignment horizontal="left" vertical="center"/>
    </xf>
    <xf numFmtId="3" fontId="15" fillId="29" borderId="0" xfId="0" applyNumberFormat="1" applyFont="1" applyFill="1" applyBorder="1" applyAlignment="1" applyProtection="1">
      <alignment horizontal="left" vertical="center"/>
      <protection locked="0"/>
    </xf>
    <xf numFmtId="0" fontId="15" fillId="29" borderId="61" xfId="0" applyFont="1" applyFill="1" applyBorder="1" applyAlignment="1" applyProtection="1">
      <alignment horizontal="center" vertical="center"/>
      <protection locked="0"/>
    </xf>
    <xf numFmtId="0" fontId="4" fillId="0" borderId="61" xfId="0" applyFont="1" applyBorder="1" applyAlignment="1">
      <alignment horizontal="center" vertical="center"/>
    </xf>
    <xf numFmtId="0" fontId="15" fillId="0" borderId="7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0" fontId="4" fillId="29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3" fontId="15" fillId="0" borderId="61" xfId="0" applyNumberFormat="1" applyFont="1" applyBorder="1" applyAlignment="1">
      <alignment horizontal="center" vertical="center" wrapText="1"/>
    </xf>
    <xf numFmtId="4" fontId="15" fillId="0" borderId="61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left" vertical="center" wrapText="1"/>
    </xf>
    <xf numFmtId="175" fontId="15" fillId="0" borderId="0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4" fontId="15" fillId="0" borderId="0" xfId="0" applyNumberFormat="1" applyFont="1" applyBorder="1" applyAlignment="1">
      <alignment horizontal="right" vertical="center" wrapText="1"/>
    </xf>
    <xf numFmtId="0" fontId="15" fillId="0" borderId="61" xfId="0" applyFont="1" applyFill="1" applyBorder="1" applyAlignment="1" applyProtection="1">
      <alignment horizontal="center" vertical="center"/>
      <protection locked="0"/>
    </xf>
    <xf numFmtId="4" fontId="15" fillId="0" borderId="61" xfId="0" applyNumberFormat="1" applyFont="1" applyFill="1" applyBorder="1" applyAlignment="1" applyProtection="1">
      <alignment horizontal="center" vertical="center"/>
      <protection locked="0"/>
    </xf>
    <xf numFmtId="3" fontId="15" fillId="0" borderId="59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59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>
      <alignment horizontal="center" vertical="center"/>
    </xf>
    <xf numFmtId="4" fontId="4" fillId="0" borderId="6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170" fontId="15" fillId="0" borderId="0" xfId="0" applyNumberFormat="1" applyFont="1" applyFill="1" applyBorder="1" applyAlignment="1">
      <alignment vertical="center"/>
    </xf>
    <xf numFmtId="0" fontId="4" fillId="29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wrapText="1"/>
    </xf>
    <xf numFmtId="0" fontId="4" fillId="0" borderId="0" xfId="0" applyFont="1" applyFill="1" applyAlignment="1">
      <alignment vertical="center"/>
    </xf>
    <xf numFmtId="0" fontId="15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wrapText="1"/>
    </xf>
    <xf numFmtId="0" fontId="0" fillId="0" borderId="0" xfId="0" applyAlignment="1">
      <alignment wrapText="1"/>
    </xf>
    <xf numFmtId="49" fontId="15" fillId="29" borderId="61" xfId="0" applyNumberFormat="1" applyFont="1" applyFill="1" applyBorder="1" applyAlignment="1" applyProtection="1">
      <alignment horizontal="center" vertical="center"/>
      <protection locked="0"/>
    </xf>
    <xf numFmtId="49" fontId="20" fillId="0" borderId="61" xfId="0" applyNumberFormat="1" applyFont="1" applyFill="1" applyBorder="1" applyAlignment="1">
      <alignment horizontal="center" vertical="center"/>
    </xf>
    <xf numFmtId="4" fontId="19" fillId="0" borderId="61" xfId="0" applyNumberFormat="1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 wrapText="1"/>
    </xf>
    <xf numFmtId="0" fontId="4" fillId="29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4" fillId="29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center"/>
    </xf>
    <xf numFmtId="177" fontId="15" fillId="0" borderId="6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/>
    </xf>
    <xf numFmtId="3" fontId="55" fillId="29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61" xfId="0" applyNumberFormat="1" applyFont="1" applyBorder="1" applyAlignment="1" applyProtection="1">
      <alignment horizontal="center" vertical="center"/>
    </xf>
    <xf numFmtId="1" fontId="15" fillId="0" borderId="61" xfId="0" applyNumberFormat="1" applyFont="1" applyBorder="1" applyAlignment="1" applyProtection="1">
      <alignment horizontal="center" vertical="center"/>
    </xf>
    <xf numFmtId="4" fontId="15" fillId="0" borderId="12" xfId="0" applyNumberFormat="1" applyFont="1" applyFill="1" applyBorder="1" applyAlignment="1">
      <alignment horizontal="center" vertical="center"/>
    </xf>
    <xf numFmtId="4" fontId="116" fillId="32" borderId="0" xfId="0" applyNumberFormat="1" applyFont="1" applyFill="1" applyAlignment="1">
      <alignment horizontal="left" vertical="center"/>
    </xf>
    <xf numFmtId="0" fontId="55" fillId="0" borderId="0" xfId="0" applyNumberFormat="1" applyFont="1" applyBorder="1" applyAlignment="1">
      <alignment horizontal="left" vertical="center" wrapText="1"/>
    </xf>
    <xf numFmtId="175" fontId="55" fillId="0" borderId="0" xfId="0" applyNumberFormat="1" applyFont="1" applyBorder="1" applyAlignment="1">
      <alignment horizontal="right" vertical="center" wrapText="1"/>
    </xf>
    <xf numFmtId="0" fontId="55" fillId="0" borderId="0" xfId="0" applyFont="1" applyBorder="1" applyAlignment="1">
      <alignment horizontal="right" vertical="center" wrapText="1"/>
    </xf>
    <xf numFmtId="4" fontId="55" fillId="0" borderId="0" xfId="0" applyNumberFormat="1" applyFont="1" applyBorder="1" applyAlignment="1">
      <alignment horizontal="right" vertical="center" wrapText="1"/>
    </xf>
    <xf numFmtId="4" fontId="55" fillId="0" borderId="0" xfId="0" applyNumberFormat="1" applyFont="1" applyFill="1" applyBorder="1" applyAlignment="1">
      <alignment horizontal="left" vertical="center" wrapText="1"/>
    </xf>
    <xf numFmtId="4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42" borderId="0" xfId="0" applyFont="1" applyFill="1" applyBorder="1" applyAlignment="1">
      <alignment vertical="center"/>
    </xf>
    <xf numFmtId="4" fontId="55" fillId="29" borderId="61" xfId="0" applyNumberFormat="1" applyFont="1" applyFill="1" applyBorder="1" applyAlignment="1" applyProtection="1">
      <alignment horizontal="center" vertical="center" wrapText="1"/>
      <protection locked="0"/>
    </xf>
    <xf numFmtId="180" fontId="55" fillId="29" borderId="61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6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Border="1" applyAlignment="1" applyProtection="1">
      <alignment horizontal="left"/>
    </xf>
    <xf numFmtId="2" fontId="7" fillId="0" borderId="0" xfId="0" applyNumberFormat="1" applyFont="1" applyBorder="1" applyAlignment="1" applyProtection="1">
      <alignment horizontal="left"/>
    </xf>
    <xf numFmtId="3" fontId="7" fillId="0" borderId="0" xfId="0" applyNumberFormat="1" applyFont="1" applyBorder="1" applyAlignment="1" applyProtection="1">
      <alignment horizontal="left"/>
    </xf>
    <xf numFmtId="183" fontId="15" fillId="0" borderId="0" xfId="0" applyNumberFormat="1" applyFont="1" applyFill="1" applyAlignment="1">
      <alignment vertical="center"/>
    </xf>
    <xf numFmtId="166" fontId="15" fillId="29" borderId="61" xfId="0" applyNumberFormat="1" applyFont="1" applyFill="1" applyBorder="1" applyAlignment="1" applyProtection="1">
      <alignment horizontal="center" vertical="center" wrapText="1"/>
      <protection locked="0"/>
    </xf>
    <xf numFmtId="0" fontId="4" fillId="29" borderId="11" xfId="0" applyFont="1" applyFill="1" applyBorder="1" applyAlignment="1" applyProtection="1">
      <alignment horizontal="left" vertical="center" wrapText="1"/>
      <protection locked="0"/>
    </xf>
    <xf numFmtId="0" fontId="2" fillId="0" borderId="61" xfId="0" applyFont="1" applyBorder="1" applyAlignment="1">
      <alignment horizontal="center"/>
    </xf>
    <xf numFmtId="4" fontId="9" fillId="0" borderId="61" xfId="0" applyNumberFormat="1" applyFont="1" applyBorder="1" applyAlignment="1">
      <alignment horizontal="center" vertical="center" wrapText="1"/>
    </xf>
    <xf numFmtId="14" fontId="15" fillId="29" borderId="0" xfId="0" applyNumberFormat="1" applyFont="1" applyFill="1" applyAlignment="1">
      <alignment vertical="center"/>
    </xf>
    <xf numFmtId="4" fontId="9" fillId="0" borderId="61" xfId="0" applyNumberFormat="1" applyFont="1" applyFill="1" applyBorder="1" applyAlignment="1">
      <alignment horizontal="center" vertical="center" wrapText="1"/>
    </xf>
    <xf numFmtId="4" fontId="122" fillId="29" borderId="0" xfId="0" applyNumberFormat="1" applyFont="1" applyFill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180" fontId="15" fillId="0" borderId="6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5" fillId="0" borderId="0" xfId="0" applyFont="1" applyFill="1" applyBorder="1" applyAlignment="1" applyProtection="1">
      <alignment horizontal="center" vertical="center" wrapText="1"/>
      <protection locked="0"/>
    </xf>
    <xf numFmtId="14" fontId="15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23" fillId="0" borderId="0" xfId="0" applyFont="1" applyFill="1" applyAlignment="1">
      <alignment vertical="center"/>
    </xf>
    <xf numFmtId="177" fontId="15" fillId="29" borderId="0" xfId="0" applyNumberFormat="1" applyFont="1" applyFill="1"/>
    <xf numFmtId="4" fontId="56" fillId="0" borderId="0" xfId="83" applyNumberFormat="1" applyFont="1" applyFill="1" applyAlignment="1">
      <alignment horizontal="center" vertical="center"/>
    </xf>
    <xf numFmtId="165" fontId="9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29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58" fillId="0" borderId="57" xfId="0" applyNumberFormat="1" applyFont="1" applyFill="1" applyBorder="1" applyAlignment="1">
      <alignment horizontal="center" vertical="center"/>
    </xf>
    <xf numFmtId="3" fontId="15" fillId="29" borderId="6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61" xfId="0" applyNumberFormat="1" applyFont="1" applyFill="1" applyBorder="1" applyAlignment="1" applyProtection="1">
      <alignment horizontal="center" vertical="center" wrapText="1"/>
      <protection locked="0"/>
    </xf>
    <xf numFmtId="4" fontId="15" fillId="29" borderId="59" xfId="0" applyNumberFormat="1" applyFont="1" applyFill="1" applyBorder="1" applyAlignment="1" applyProtection="1">
      <alignment horizontal="center" vertical="center" wrapText="1"/>
      <protection locked="0"/>
    </xf>
    <xf numFmtId="0" fontId="4" fillId="29" borderId="61" xfId="0" applyFont="1" applyFill="1" applyBorder="1" applyAlignment="1">
      <alignment horizontal="center" vertical="center"/>
    </xf>
    <xf numFmtId="0" fontId="4" fillId="29" borderId="61" xfId="0" applyNumberFormat="1" applyFont="1" applyFill="1" applyBorder="1" applyAlignment="1">
      <alignment horizontal="center" vertical="center"/>
    </xf>
    <xf numFmtId="4" fontId="15" fillId="29" borderId="61" xfId="2" applyNumberFormat="1" applyFont="1" applyFill="1" applyBorder="1" applyAlignment="1">
      <alignment horizontal="center" vertical="center" wrapText="1"/>
    </xf>
    <xf numFmtId="0" fontId="83" fillId="29" borderId="26" xfId="0" applyFont="1" applyFill="1" applyBorder="1" applyAlignment="1">
      <alignment vertical="center"/>
    </xf>
    <xf numFmtId="175" fontId="59" fillId="29" borderId="0" xfId="0" applyNumberFormat="1" applyFont="1" applyFill="1" applyAlignment="1">
      <alignment horizontal="left"/>
    </xf>
    <xf numFmtId="4" fontId="15" fillId="29" borderId="1" xfId="3" applyNumberFormat="1" applyFont="1" applyFill="1" applyBorder="1" applyAlignment="1">
      <alignment horizontal="center" vertical="center"/>
    </xf>
    <xf numFmtId="175" fontId="15" fillId="29" borderId="0" xfId="0" applyNumberFormat="1" applyFont="1" applyFill="1" applyAlignment="1">
      <alignment horizontal="center" vertical="center"/>
    </xf>
    <xf numFmtId="175" fontId="15" fillId="0" borderId="61" xfId="0" applyNumberFormat="1" applyFont="1" applyFill="1" applyBorder="1" applyAlignment="1">
      <alignment horizontal="center" vertical="center" wrapText="1"/>
    </xf>
    <xf numFmtId="4" fontId="15" fillId="29" borderId="60" xfId="6" applyNumberFormat="1" applyFont="1" applyFill="1" applyBorder="1" applyAlignment="1">
      <alignment horizontal="center" vertical="center" wrapText="1"/>
    </xf>
    <xf numFmtId="0" fontId="4" fillId="29" borderId="51" xfId="0" applyFont="1" applyFill="1" applyBorder="1" applyAlignment="1" applyProtection="1">
      <alignment horizontal="left" vertical="center" wrapText="1"/>
      <protection locked="0"/>
    </xf>
    <xf numFmtId="0" fontId="4" fillId="29" borderId="11" xfId="0" applyFont="1" applyFill="1" applyBorder="1" applyAlignment="1">
      <alignment horizontal="left" vertical="center" wrapText="1"/>
    </xf>
    <xf numFmtId="4" fontId="4" fillId="0" borderId="0" xfId="0" applyNumberFormat="1" applyFont="1"/>
    <xf numFmtId="0" fontId="4" fillId="0" borderId="61" xfId="0" applyFont="1" applyBorder="1"/>
    <xf numFmtId="185" fontId="4" fillId="0" borderId="61" xfId="0" applyNumberFormat="1" applyFont="1" applyBorder="1"/>
    <xf numFmtId="9" fontId="4" fillId="0" borderId="61" xfId="0" applyNumberFormat="1" applyFont="1" applyBorder="1"/>
    <xf numFmtId="4" fontId="4" fillId="0" borderId="61" xfId="0" applyNumberFormat="1" applyFont="1" applyBorder="1"/>
    <xf numFmtId="14" fontId="4" fillId="0" borderId="61" xfId="0" applyNumberFormat="1" applyFont="1" applyBorder="1"/>
    <xf numFmtId="4" fontId="5" fillId="0" borderId="61" xfId="0" applyNumberFormat="1" applyFont="1" applyBorder="1"/>
    <xf numFmtId="0" fontId="5" fillId="0" borderId="61" xfId="0" applyFont="1" applyBorder="1"/>
    <xf numFmtId="0" fontId="19" fillId="0" borderId="61" xfId="0" applyFont="1" applyFill="1" applyBorder="1" applyAlignment="1">
      <alignment horizontal="center" vertical="center"/>
    </xf>
    <xf numFmtId="4" fontId="55" fillId="0" borderId="1" xfId="0" applyNumberFormat="1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left" vertical="center"/>
    </xf>
    <xf numFmtId="0" fontId="124" fillId="0" borderId="0" xfId="0" applyFont="1" applyFill="1" applyBorder="1" applyAlignment="1">
      <alignment horizontal="right" vertical="center" wrapText="1"/>
    </xf>
    <xf numFmtId="0" fontId="4" fillId="29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67" fontId="15" fillId="29" borderId="1" xfId="0" applyNumberFormat="1" applyFont="1" applyFill="1" applyBorder="1" applyAlignment="1">
      <alignment horizontal="center" vertical="center"/>
    </xf>
    <xf numFmtId="0" fontId="4" fillId="29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29" borderId="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left" vertical="center"/>
    </xf>
    <xf numFmtId="4" fontId="5" fillId="0" borderId="0" xfId="0" applyNumberFormat="1" applyFont="1" applyFill="1" applyAlignment="1">
      <alignment horizontal="left" vertical="center"/>
    </xf>
    <xf numFmtId="0" fontId="4" fillId="29" borderId="1" xfId="0" applyFont="1" applyFill="1" applyBorder="1" applyAlignment="1">
      <alignment horizontal="left" vertical="center" wrapText="1"/>
    </xf>
    <xf numFmtId="0" fontId="4" fillId="29" borderId="6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 wrapText="1"/>
    </xf>
    <xf numFmtId="4" fontId="4" fillId="0" borderId="60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vertical="center" wrapText="1"/>
    </xf>
    <xf numFmtId="180" fontId="59" fillId="29" borderId="0" xfId="0" applyNumberFormat="1" applyFont="1" applyFill="1" applyAlignment="1">
      <alignment horizontal="left"/>
    </xf>
    <xf numFmtId="183" fontId="55" fillId="0" borderId="0" xfId="0" applyNumberFormat="1" applyFont="1" applyFill="1" applyAlignment="1">
      <alignment vertical="center"/>
    </xf>
    <xf numFmtId="3" fontId="15" fillId="0" borderId="6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left" vertical="center" wrapText="1"/>
    </xf>
    <xf numFmtId="0" fontId="4" fillId="29" borderId="1" xfId="0" applyFont="1" applyFill="1" applyBorder="1" applyAlignment="1">
      <alignment horizontal="left" vertical="center" wrapText="1"/>
    </xf>
    <xf numFmtId="0" fontId="4" fillId="29" borderId="61" xfId="0" applyFont="1" applyFill="1" applyBorder="1" applyAlignment="1">
      <alignment horizontal="left" vertical="center" wrapText="1"/>
    </xf>
    <xf numFmtId="0" fontId="4" fillId="29" borderId="27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 wrapText="1"/>
    </xf>
    <xf numFmtId="4" fontId="106" fillId="29" borderId="0" xfId="0" applyNumberFormat="1" applyFont="1" applyFill="1" applyBorder="1" applyAlignment="1">
      <alignment horizontal="left"/>
    </xf>
    <xf numFmtId="175" fontId="55" fillId="29" borderId="0" xfId="0" applyNumberFormat="1" applyFont="1" applyFill="1"/>
    <xf numFmtId="175" fontId="15" fillId="0" borderId="61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61" xfId="0" applyNumberFormat="1" applyFont="1" applyFill="1" applyBorder="1" applyAlignment="1" applyProtection="1">
      <alignment horizontal="center" vertical="center" wrapText="1"/>
      <protection locked="0"/>
    </xf>
    <xf numFmtId="4" fontId="106" fillId="0" borderId="0" xfId="0" applyNumberFormat="1" applyFont="1" applyFill="1" applyAlignment="1">
      <alignment horizontal="left" vertical="center"/>
    </xf>
    <xf numFmtId="0" fontId="55" fillId="0" borderId="0" xfId="0" applyFont="1" applyFill="1" applyBorder="1" applyAlignment="1" applyProtection="1">
      <alignment horizontal="right" vertical="center"/>
      <protection locked="0"/>
    </xf>
    <xf numFmtId="0" fontId="4" fillId="29" borderId="1" xfId="0" applyFont="1" applyFill="1" applyBorder="1" applyAlignment="1">
      <alignment horizontal="left" vertical="center" wrapText="1"/>
    </xf>
    <xf numFmtId="0" fontId="4" fillId="29" borderId="6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 wrapText="1"/>
    </xf>
    <xf numFmtId="0" fontId="20" fillId="0" borderId="61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/>
    </xf>
    <xf numFmtId="4" fontId="4" fillId="29" borderId="61" xfId="0" applyNumberFormat="1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10" fillId="0" borderId="0" xfId="0" applyFont="1" applyFill="1" applyAlignment="1">
      <alignment horizontal="center" wrapText="1"/>
    </xf>
    <xf numFmtId="0" fontId="4" fillId="29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 wrapText="1"/>
    </xf>
    <xf numFmtId="0" fontId="20" fillId="0" borderId="61" xfId="0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left"/>
    </xf>
    <xf numFmtId="4" fontId="114" fillId="41" borderId="0" xfId="0" applyNumberFormat="1" applyFont="1" applyFill="1" applyBorder="1" applyAlignment="1">
      <alignment horizontal="left"/>
    </xf>
    <xf numFmtId="0" fontId="55" fillId="0" borderId="0" xfId="0" applyFont="1" applyFill="1" applyBorder="1" applyAlignment="1">
      <alignment horizontal="left"/>
    </xf>
    <xf numFmtId="4" fontId="55" fillId="0" borderId="0" xfId="0" applyNumberFormat="1" applyFont="1" applyFill="1" applyBorder="1" applyAlignment="1">
      <alignment horizontal="left"/>
    </xf>
    <xf numFmtId="3" fontId="15" fillId="0" borderId="0" xfId="0" applyNumberFormat="1" applyFont="1" applyFill="1" applyBorder="1" applyAlignment="1">
      <alignment horizontal="left"/>
    </xf>
    <xf numFmtId="49" fontId="15" fillId="0" borderId="6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116" fillId="0" borderId="0" xfId="0" applyFont="1" applyFill="1" applyBorder="1" applyAlignment="1">
      <alignment horizontal="left"/>
    </xf>
    <xf numFmtId="4" fontId="55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9" borderId="1" xfId="0" applyFont="1" applyFill="1" applyBorder="1" applyAlignment="1">
      <alignment horizontal="left" vertical="center" wrapText="1"/>
    </xf>
    <xf numFmtId="0" fontId="4" fillId="29" borderId="27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left" vertical="center" wrapText="1"/>
    </xf>
    <xf numFmtId="4" fontId="4" fillId="0" borderId="61" xfId="0" applyNumberFormat="1" applyFont="1" applyFill="1" applyBorder="1" applyAlignment="1">
      <alignment horizontal="center" vertical="center" wrapText="1"/>
    </xf>
    <xf numFmtId="4" fontId="55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57" xfId="0" applyNumberFormat="1" applyFont="1" applyFill="1" applyBorder="1" applyAlignment="1">
      <alignment horizontal="left" vertical="center"/>
    </xf>
    <xf numFmtId="49" fontId="15" fillId="0" borderId="58" xfId="0" applyNumberFormat="1" applyFont="1" applyFill="1" applyBorder="1" applyAlignment="1">
      <alignment horizontal="left" vertical="center"/>
    </xf>
    <xf numFmtId="181" fontId="4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4" fillId="29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4" fillId="29" borderId="1" xfId="0" applyFont="1" applyFill="1" applyBorder="1" applyAlignment="1">
      <alignment horizontal="left" vertical="center" wrapText="1"/>
    </xf>
    <xf numFmtId="0" fontId="4" fillId="29" borderId="27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166" fontId="0" fillId="0" borderId="0" xfId="0" applyNumberFormat="1" applyFill="1"/>
    <xf numFmtId="0" fontId="4" fillId="29" borderId="61" xfId="0" applyFont="1" applyFill="1" applyBorder="1" applyAlignment="1">
      <alignment horizontal="left" vertical="center" wrapText="1"/>
    </xf>
    <xf numFmtId="2" fontId="0" fillId="0" borderId="0" xfId="0" applyNumberFormat="1" applyFill="1"/>
    <xf numFmtId="0" fontId="20" fillId="0" borderId="61" xfId="0" applyFont="1" applyFill="1" applyBorder="1" applyAlignment="1">
      <alignment vertical="center" wrapText="1"/>
    </xf>
    <xf numFmtId="4" fontId="106" fillId="0" borderId="0" xfId="0" applyNumberFormat="1" applyFont="1" applyFill="1" applyBorder="1" applyAlignment="1">
      <alignment horizontal="left"/>
    </xf>
    <xf numFmtId="4" fontId="15" fillId="0" borderId="61" xfId="0" applyNumberFormat="1" applyFont="1" applyFill="1" applyBorder="1" applyAlignment="1">
      <alignment horizontal="center" vertical="center" wrapText="1"/>
    </xf>
    <xf numFmtId="1" fontId="15" fillId="0" borderId="61" xfId="0" applyNumberFormat="1" applyFont="1" applyFill="1" applyBorder="1" applyAlignment="1" applyProtection="1">
      <alignment horizontal="center" vertical="center" wrapText="1"/>
      <protection locked="0"/>
    </xf>
    <xf numFmtId="176" fontId="15" fillId="29" borderId="61" xfId="0" applyNumberFormat="1" applyFont="1" applyFill="1" applyBorder="1" applyAlignment="1" applyProtection="1">
      <alignment horizontal="center" vertical="center" wrapText="1"/>
      <protection locked="0"/>
    </xf>
    <xf numFmtId="181" fontId="15" fillId="29" borderId="61" xfId="0" applyNumberFormat="1" applyFont="1" applyFill="1" applyBorder="1" applyAlignment="1">
      <alignment horizontal="center" vertical="center" wrapText="1"/>
    </xf>
    <xf numFmtId="4" fontId="15" fillId="0" borderId="57" xfId="0" applyNumberFormat="1" applyFont="1" applyFill="1" applyBorder="1" applyAlignment="1">
      <alignment horizontal="center" vertical="center" wrapText="1"/>
    </xf>
    <xf numFmtId="166" fontId="15" fillId="0" borderId="61" xfId="0" applyNumberFormat="1" applyFont="1" applyFill="1" applyBorder="1" applyAlignment="1">
      <alignment horizontal="center" vertical="center" wrapText="1"/>
    </xf>
    <xf numFmtId="4" fontId="55" fillId="0" borderId="61" xfId="0" applyNumberFormat="1" applyFont="1" applyFill="1" applyBorder="1" applyAlignment="1">
      <alignment horizontal="center" vertical="center" wrapText="1"/>
    </xf>
    <xf numFmtId="0" fontId="15" fillId="29" borderId="61" xfId="1" applyFont="1" applyFill="1" applyBorder="1" applyAlignment="1">
      <alignment horizontal="left" vertical="center" wrapText="1"/>
    </xf>
    <xf numFmtId="3" fontId="15" fillId="29" borderId="61" xfId="152" applyNumberFormat="1" applyFont="1" applyFill="1" applyBorder="1" applyAlignment="1">
      <alignment horizontal="center" vertical="center" wrapText="1"/>
    </xf>
    <xf numFmtId="4" fontId="15" fillId="29" borderId="61" xfId="152" applyNumberFormat="1" applyFont="1" applyFill="1" applyBorder="1" applyAlignment="1">
      <alignment horizontal="center" vertical="center" wrapText="1"/>
    </xf>
    <xf numFmtId="3" fontId="55" fillId="29" borderId="61" xfId="0" applyNumberFormat="1" applyFont="1" applyFill="1" applyBorder="1" applyAlignment="1" applyProtection="1">
      <alignment horizontal="center" vertical="center" wrapText="1"/>
      <protection locked="0"/>
    </xf>
    <xf numFmtId="0" fontId="5" fillId="29" borderId="0" xfId="0" applyFont="1" applyFill="1" applyBorder="1" applyAlignment="1" applyProtection="1">
      <alignment horizontal="center" vertical="center"/>
      <protection locked="0"/>
    </xf>
    <xf numFmtId="4" fontId="5" fillId="29" borderId="0" xfId="0" applyNumberFormat="1" applyFont="1" applyFill="1" applyBorder="1" applyAlignment="1" applyProtection="1">
      <alignment horizontal="center" vertical="center" wrapText="1"/>
      <protection locked="0"/>
    </xf>
    <xf numFmtId="176" fontId="15" fillId="0" borderId="61" xfId="0" applyNumberFormat="1" applyFont="1" applyFill="1" applyBorder="1" applyAlignment="1" applyProtection="1">
      <alignment horizontal="center" vertical="center" wrapText="1"/>
      <protection locked="0"/>
    </xf>
    <xf numFmtId="3" fontId="15" fillId="29" borderId="14" xfId="2" applyNumberFormat="1" applyFont="1" applyFill="1" applyBorder="1" applyAlignment="1">
      <alignment horizontal="center" vertical="center" wrapText="1"/>
    </xf>
    <xf numFmtId="3" fontId="115" fillId="42" borderId="0" xfId="0" applyNumberFormat="1" applyFont="1" applyFill="1" applyBorder="1" applyAlignment="1">
      <alignment horizontal="center" vertical="center"/>
    </xf>
    <xf numFmtId="4" fontId="59" fillId="0" borderId="0" xfId="0" applyNumberFormat="1" applyFont="1" applyFill="1" applyAlignment="1">
      <alignment horizontal="left"/>
    </xf>
    <xf numFmtId="4" fontId="11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60" xfId="0" applyFont="1" applyFill="1" applyBorder="1" applyAlignment="1" applyProtection="1">
      <alignment horizontal="center" vertical="center"/>
      <protection locked="0"/>
    </xf>
    <xf numFmtId="4" fontId="15" fillId="42" borderId="0" xfId="0" applyNumberFormat="1" applyFont="1" applyFill="1" applyAlignment="1">
      <alignment vertical="center"/>
    </xf>
    <xf numFmtId="4" fontId="114" fillId="42" borderId="0" xfId="0" applyNumberFormat="1" applyFont="1" applyFill="1" applyBorder="1" applyAlignment="1">
      <alignment horizontal="left" vertical="center"/>
    </xf>
    <xf numFmtId="4" fontId="15" fillId="6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53" xfId="0" applyFont="1" applyFill="1" applyBorder="1" applyAlignment="1" applyProtection="1">
      <alignment horizontal="center" vertical="center"/>
      <protection locked="0"/>
    </xf>
    <xf numFmtId="49" fontId="15" fillId="0" borderId="11" xfId="6" applyNumberFormat="1" applyFont="1" applyFill="1" applyBorder="1" applyAlignment="1">
      <alignment horizontal="left" vertical="center" wrapText="1"/>
    </xf>
    <xf numFmtId="49" fontId="15" fillId="0" borderId="0" xfId="6" applyNumberFormat="1" applyFont="1" applyFill="1" applyBorder="1" applyAlignment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177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0" xfId="0" applyFont="1" applyFill="1" applyBorder="1" applyAlignment="1">
      <alignment vertical="center" wrapText="1"/>
    </xf>
    <xf numFmtId="0" fontId="15" fillId="0" borderId="60" xfId="0" applyFont="1" applyFill="1" applyBorder="1" applyAlignment="1">
      <alignment horizontal="left" vertical="center" wrapText="1"/>
    </xf>
    <xf numFmtId="4" fontId="55" fillId="0" borderId="57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" fontId="15" fillId="0" borderId="3" xfId="82" applyNumberFormat="1" applyFont="1" applyFill="1" applyBorder="1" applyAlignment="1">
      <alignment horizontal="center" vertical="center" wrapText="1"/>
    </xf>
    <xf numFmtId="175" fontId="15" fillId="29" borderId="61" xfId="0" applyNumberFormat="1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 wrapText="1"/>
    </xf>
    <xf numFmtId="175" fontId="15" fillId="0" borderId="61" xfId="82" applyNumberFormat="1" applyFont="1" applyFill="1" applyBorder="1" applyAlignment="1">
      <alignment horizontal="center" vertical="center" wrapText="1"/>
    </xf>
    <xf numFmtId="177" fontId="15" fillId="0" borderId="61" xfId="0" applyNumberFormat="1" applyFont="1" applyFill="1" applyBorder="1" applyAlignment="1" applyProtection="1">
      <alignment horizontal="center" vertical="center" wrapText="1"/>
      <protection locked="0"/>
    </xf>
    <xf numFmtId="166" fontId="15" fillId="29" borderId="61" xfId="0" applyNumberFormat="1" applyFont="1" applyFill="1" applyBorder="1" applyAlignment="1">
      <alignment horizontal="center" vertical="center" wrapText="1"/>
    </xf>
    <xf numFmtId="186" fontId="15" fillId="29" borderId="0" xfId="0" applyNumberFormat="1" applyFont="1" applyFill="1" applyAlignment="1">
      <alignment horizontal="left" vertical="center"/>
    </xf>
    <xf numFmtId="4" fontId="15" fillId="0" borderId="0" xfId="0" applyNumberFormat="1" applyFont="1" applyFill="1" applyBorder="1" applyAlignment="1">
      <alignment horizontal="center" vertical="center"/>
    </xf>
    <xf numFmtId="4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4" fontId="5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Fill="1" applyBorder="1" applyAlignment="1" applyProtection="1">
      <alignment horizontal="center" vertical="center" wrapText="1"/>
      <protection locked="0"/>
    </xf>
    <xf numFmtId="0" fontId="15" fillId="29" borderId="1" xfId="0" applyFont="1" applyFill="1" applyBorder="1" applyAlignment="1" applyProtection="1">
      <alignment horizontal="center" vertical="center" wrapText="1"/>
      <protection locked="0"/>
    </xf>
    <xf numFmtId="0" fontId="15" fillId="29" borderId="7" xfId="0" applyFont="1" applyFill="1" applyBorder="1" applyAlignment="1" applyProtection="1">
      <alignment horizontal="center" vertical="center" wrapText="1"/>
      <protection locked="0"/>
    </xf>
    <xf numFmtId="0" fontId="15" fillId="29" borderId="61" xfId="0" applyFont="1" applyFill="1" applyBorder="1" applyAlignment="1" applyProtection="1">
      <alignment horizontal="center" vertical="center" wrapText="1"/>
      <protection locked="0"/>
    </xf>
    <xf numFmtId="0" fontId="4" fillId="29" borderId="1" xfId="0" applyFont="1" applyFill="1" applyBorder="1" applyAlignment="1" applyProtection="1">
      <alignment horizontal="center" vertical="center" wrapText="1"/>
      <protection locked="0"/>
    </xf>
    <xf numFmtId="0" fontId="4" fillId="29" borderId="6" xfId="0" applyFont="1" applyFill="1" applyBorder="1" applyAlignment="1" applyProtection="1">
      <alignment horizontal="left" vertical="center" wrapText="1"/>
      <protection locked="0"/>
    </xf>
    <xf numFmtId="0" fontId="15" fillId="29" borderId="12" xfId="0" applyFont="1" applyFill="1" applyBorder="1" applyAlignment="1" applyProtection="1">
      <alignment horizontal="center" vertical="center" wrapText="1"/>
      <protection locked="0"/>
    </xf>
    <xf numFmtId="4" fontId="15" fillId="29" borderId="0" xfId="3" applyNumberFormat="1" applyFont="1" applyFill="1" applyAlignment="1">
      <alignment horizontal="right" vertical="center"/>
    </xf>
    <xf numFmtId="0" fontId="15" fillId="29" borderId="14" xfId="0" applyFont="1" applyFill="1" applyBorder="1" applyAlignment="1" applyProtection="1">
      <alignment horizontal="center" vertical="center" wrapText="1"/>
      <protection locked="0"/>
    </xf>
    <xf numFmtId="0" fontId="15" fillId="0" borderId="61" xfId="0" applyFont="1" applyFill="1" applyBorder="1" applyAlignment="1">
      <alignment horizontal="center" vertical="center" wrapText="1"/>
    </xf>
    <xf numFmtId="0" fontId="15" fillId="0" borderId="61" xfId="0" applyFont="1" applyFill="1" applyBorder="1" applyAlignment="1">
      <alignment vertical="center" wrapText="1"/>
    </xf>
    <xf numFmtId="0" fontId="15" fillId="0" borderId="61" xfId="0" applyFont="1" applyFill="1" applyBorder="1" applyAlignment="1" applyProtection="1">
      <alignment horizontal="center" vertical="center" wrapText="1"/>
      <protection locked="0"/>
    </xf>
    <xf numFmtId="0" fontId="15" fillId="29" borderId="3" xfId="0" applyFont="1" applyFill="1" applyBorder="1" applyAlignment="1" applyProtection="1">
      <alignment horizontal="center" vertical="center" wrapText="1"/>
      <protection locked="0"/>
    </xf>
    <xf numFmtId="4" fontId="15" fillId="29" borderId="61" xfId="0" applyNumberFormat="1" applyFont="1" applyFill="1" applyBorder="1" applyAlignment="1" applyProtection="1">
      <alignment horizontal="center" vertical="center" wrapText="1"/>
      <protection locked="0"/>
    </xf>
    <xf numFmtId="1" fontId="15" fillId="29" borderId="61" xfId="0" applyNumberFormat="1" applyFont="1" applyFill="1" applyBorder="1" applyAlignment="1" applyProtection="1">
      <alignment horizontal="center" vertical="center" wrapText="1"/>
      <protection locked="0"/>
    </xf>
    <xf numFmtId="4" fontId="15" fillId="29" borderId="57" xfId="0" applyNumberFormat="1" applyFont="1" applyFill="1" applyBorder="1" applyAlignment="1" applyProtection="1">
      <alignment horizontal="left" vertical="center" wrapText="1"/>
      <protection locked="0"/>
    </xf>
    <xf numFmtId="4" fontId="15" fillId="29" borderId="58" xfId="0" applyNumberFormat="1" applyFont="1" applyFill="1" applyBorder="1" applyAlignment="1" applyProtection="1">
      <alignment horizontal="left" vertical="center" wrapText="1"/>
      <protection locked="0"/>
    </xf>
    <xf numFmtId="4" fontId="15" fillId="29" borderId="59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60" xfId="0" applyFont="1" applyFill="1" applyBorder="1" applyAlignment="1" applyProtection="1">
      <alignment horizontal="center" vertical="center" wrapText="1"/>
      <protection locked="0"/>
    </xf>
    <xf numFmtId="4" fontId="15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61" xfId="0" applyFont="1" applyFill="1" applyBorder="1" applyAlignment="1">
      <alignment horizontal="left" vertical="center" wrapText="1"/>
    </xf>
    <xf numFmtId="4" fontId="15" fillId="29" borderId="51" xfId="0" applyNumberFormat="1" applyFont="1" applyFill="1" applyBorder="1" applyAlignment="1" applyProtection="1">
      <alignment horizontal="left" vertical="center" wrapText="1"/>
      <protection locked="0"/>
    </xf>
    <xf numFmtId="0" fontId="10" fillId="29" borderId="0" xfId="0" applyFont="1" applyFill="1" applyAlignment="1" applyProtection="1">
      <alignment horizontal="center" vertical="center" wrapText="1"/>
      <protection locked="0"/>
    </xf>
    <xf numFmtId="4" fontId="15" fillId="29" borderId="52" xfId="0" applyNumberFormat="1" applyFont="1" applyFill="1" applyBorder="1" applyAlignment="1" applyProtection="1">
      <alignment horizontal="left" vertical="center" wrapText="1"/>
      <protection locked="0"/>
    </xf>
    <xf numFmtId="4" fontId="15" fillId="29" borderId="0" xfId="0" applyNumberFormat="1" applyFont="1" applyFill="1" applyBorder="1" applyAlignment="1">
      <alignment horizontal="center" vertical="center"/>
    </xf>
    <xf numFmtId="4" fontId="15" fillId="0" borderId="57" xfId="0" applyNumberFormat="1" applyFont="1" applyFill="1" applyBorder="1" applyAlignment="1" applyProtection="1">
      <alignment horizontal="center" vertical="center" wrapText="1"/>
      <protection locked="0"/>
    </xf>
    <xf numFmtId="4" fontId="15" fillId="29" borderId="3" xfId="0" applyNumberFormat="1" applyFont="1" applyFill="1" applyBorder="1" applyAlignment="1" applyProtection="1">
      <alignment horizontal="center" vertical="center" wrapText="1"/>
      <protection locked="0"/>
    </xf>
    <xf numFmtId="4" fontId="15" fillId="29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29" borderId="7" xfId="0" applyNumberFormat="1" applyFont="1" applyFill="1" applyBorder="1" applyAlignment="1" applyProtection="1">
      <alignment horizontal="center" vertical="center" wrapText="1"/>
      <protection locked="0"/>
    </xf>
    <xf numFmtId="4" fontId="15" fillId="29" borderId="27" xfId="0" applyNumberFormat="1" applyFont="1" applyFill="1" applyBorder="1" applyAlignment="1" applyProtection="1">
      <alignment horizontal="center" vertical="center" wrapText="1"/>
      <protection locked="0"/>
    </xf>
    <xf numFmtId="4" fontId="55" fillId="29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4" fillId="29" borderId="61" xfId="0" applyFont="1" applyFill="1" applyBorder="1" applyAlignment="1" applyProtection="1">
      <alignment horizontal="center" vertical="center" wrapText="1"/>
      <protection locked="0"/>
    </xf>
    <xf numFmtId="4" fontId="59" fillId="29" borderId="0" xfId="0" applyNumberFormat="1" applyFont="1" applyFill="1" applyBorder="1" applyAlignment="1">
      <alignment horizontal="left" vertical="center"/>
    </xf>
    <xf numFmtId="0" fontId="15" fillId="29" borderId="0" xfId="0" applyFont="1" applyFill="1" applyAlignment="1" applyProtection="1">
      <alignment horizontal="left" vertical="center"/>
      <protection locked="0"/>
    </xf>
    <xf numFmtId="0" fontId="15" fillId="29" borderId="0" xfId="0" applyFont="1" applyFill="1" applyBorder="1" applyAlignment="1" applyProtection="1">
      <alignment horizontal="left" vertical="center" wrapText="1"/>
      <protection locked="0"/>
    </xf>
    <xf numFmtId="0" fontId="55" fillId="29" borderId="0" xfId="0" applyFont="1" applyFill="1" applyAlignment="1" applyProtection="1">
      <alignment horizontal="left" vertical="center"/>
      <protection locked="0"/>
    </xf>
    <xf numFmtId="0" fontId="55" fillId="29" borderId="0" xfId="0" applyFont="1" applyFill="1" applyAlignment="1" applyProtection="1">
      <alignment horizontal="left" vertical="center" wrapText="1"/>
      <protection locked="0"/>
    </xf>
    <xf numFmtId="0" fontId="15" fillId="29" borderId="1" xfId="0" applyFont="1" applyFill="1" applyBorder="1" applyAlignment="1" applyProtection="1">
      <alignment horizontal="center" vertical="center"/>
      <protection locked="0"/>
    </xf>
    <xf numFmtId="0" fontId="9" fillId="29" borderId="0" xfId="0" applyFont="1" applyFill="1" applyAlignment="1" applyProtection="1">
      <alignment horizontal="left" vertical="center" wrapText="1" shrinkToFit="1"/>
      <protection locked="0"/>
    </xf>
    <xf numFmtId="0" fontId="15" fillId="29" borderId="0" xfId="0" applyFont="1" applyFill="1" applyAlignment="1" applyProtection="1">
      <alignment vertical="center"/>
      <protection locked="0"/>
    </xf>
    <xf numFmtId="0" fontId="15" fillId="0" borderId="57" xfId="0" applyFont="1" applyFill="1" applyBorder="1" applyAlignment="1" applyProtection="1">
      <alignment horizontal="center" vertical="center" wrapText="1"/>
      <protection locked="0"/>
    </xf>
    <xf numFmtId="4" fontId="15" fillId="0" borderId="7" xfId="0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Alignment="1">
      <alignment horizontal="left" vertical="center"/>
    </xf>
    <xf numFmtId="4" fontId="15" fillId="29" borderId="1" xfId="0" applyNumberFormat="1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 applyProtection="1">
      <alignment vertical="center"/>
      <protection locked="0"/>
    </xf>
    <xf numFmtId="0" fontId="55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>
      <alignment horizontal="left"/>
    </xf>
    <xf numFmtId="0" fontId="20" fillId="0" borderId="61" xfId="0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 wrapText="1"/>
    </xf>
    <xf numFmtId="1" fontId="15" fillId="0" borderId="57" xfId="0" applyNumberFormat="1" applyFont="1" applyBorder="1" applyAlignment="1" applyProtection="1">
      <alignment horizontal="center"/>
    </xf>
    <xf numFmtId="4" fontId="15" fillId="0" borderId="57" xfId="0" applyNumberFormat="1" applyFont="1" applyBorder="1" applyAlignment="1" applyProtection="1">
      <alignment horizontal="center"/>
    </xf>
    <xf numFmtId="175" fontId="115" fillId="0" borderId="0" xfId="0" applyNumberFormat="1" applyFont="1" applyFill="1" applyBorder="1" applyAlignment="1">
      <alignment horizontal="center" vertical="center"/>
    </xf>
    <xf numFmtId="175" fontId="115" fillId="42" borderId="0" xfId="0" applyNumberFormat="1" applyFont="1" applyFill="1" applyBorder="1" applyAlignment="1">
      <alignment horizontal="center" vertical="center"/>
    </xf>
    <xf numFmtId="175" fontId="15" fillId="0" borderId="0" xfId="82" applyNumberFormat="1" applyFont="1" applyFill="1" applyBorder="1" applyAlignment="1">
      <alignment horizontal="center" vertical="center" wrapText="1"/>
    </xf>
    <xf numFmtId="175" fontId="15" fillId="0" borderId="0" xfId="0" applyNumberFormat="1" applyFont="1" applyFill="1" applyBorder="1" applyAlignment="1">
      <alignment horizontal="center" vertical="center" wrapText="1"/>
    </xf>
    <xf numFmtId="4" fontId="15" fillId="39" borderId="0" xfId="0" applyNumberFormat="1" applyFont="1" applyFill="1" applyBorder="1" applyAlignment="1">
      <alignment horizontal="center" vertical="center" wrapText="1"/>
    </xf>
    <xf numFmtId="4" fontId="15" fillId="42" borderId="0" xfId="0" applyNumberFormat="1" applyFont="1" applyFill="1" applyBorder="1" applyAlignment="1" applyProtection="1">
      <alignment vertical="center"/>
      <protection locked="0"/>
    </xf>
    <xf numFmtId="0" fontId="55" fillId="45" borderId="0" xfId="0" applyFont="1" applyFill="1" applyAlignment="1" applyProtection="1">
      <alignment vertical="center"/>
      <protection locked="0"/>
    </xf>
    <xf numFmtId="0" fontId="15" fillId="45" borderId="0" xfId="0" applyFont="1" applyFill="1" applyBorder="1" applyAlignment="1" applyProtection="1">
      <alignment vertical="center"/>
      <protection locked="0"/>
    </xf>
    <xf numFmtId="0" fontId="15" fillId="45" borderId="0" xfId="0" applyFont="1" applyFill="1" applyBorder="1" applyAlignment="1">
      <alignment vertical="center"/>
    </xf>
    <xf numFmtId="49" fontId="55" fillId="45" borderId="0" xfId="0" applyNumberFormat="1" applyFont="1" applyFill="1" applyBorder="1" applyAlignment="1" applyProtection="1">
      <alignment horizontal="left" vertical="center"/>
      <protection locked="0"/>
    </xf>
    <xf numFmtId="0" fontId="15" fillId="45" borderId="0" xfId="0" applyFont="1" applyFill="1" applyAlignment="1" applyProtection="1">
      <alignment vertical="center"/>
      <protection locked="0"/>
    </xf>
    <xf numFmtId="0" fontId="15" fillId="45" borderId="0" xfId="0" applyFont="1" applyFill="1" applyAlignment="1" applyProtection="1">
      <alignment horizontal="center" vertical="center"/>
      <protection locked="0"/>
    </xf>
    <xf numFmtId="4" fontId="15" fillId="45" borderId="0" xfId="0" applyNumberFormat="1" applyFont="1" applyFill="1" applyAlignment="1" applyProtection="1">
      <alignment horizontal="center" vertical="center"/>
      <protection locked="0"/>
    </xf>
    <xf numFmtId="4" fontId="55" fillId="45" borderId="0" xfId="0" applyNumberFormat="1" applyFont="1" applyFill="1" applyAlignment="1" applyProtection="1">
      <alignment horizontal="center" vertical="center"/>
      <protection locked="0"/>
    </xf>
    <xf numFmtId="4" fontId="15" fillId="45" borderId="0" xfId="0" applyNumberFormat="1" applyFont="1" applyFill="1" applyAlignment="1">
      <alignment horizontal="left" vertical="center"/>
    </xf>
    <xf numFmtId="4" fontId="55" fillId="45" borderId="0" xfId="0" applyNumberFormat="1" applyFont="1" applyFill="1" applyAlignment="1">
      <alignment horizontal="center" vertical="center"/>
    </xf>
    <xf numFmtId="0" fontId="15" fillId="45" borderId="0" xfId="0" applyFont="1" applyFill="1" applyAlignment="1">
      <alignment vertical="center"/>
    </xf>
    <xf numFmtId="0" fontId="4" fillId="0" borderId="0" xfId="0" applyFont="1" applyBorder="1" applyAlignment="1">
      <alignment vertical="center" wrapText="1"/>
    </xf>
    <xf numFmtId="166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4" fontId="55" fillId="40" borderId="0" xfId="0" applyNumberFormat="1" applyFont="1" applyFill="1" applyBorder="1" applyAlignment="1">
      <alignment horizontal="center" vertical="center" wrapText="1"/>
    </xf>
    <xf numFmtId="4" fontId="15" fillId="42" borderId="0" xfId="0" applyNumberFormat="1" applyFont="1" applyFill="1" applyBorder="1" applyAlignment="1" applyProtection="1">
      <alignment horizontal="center" vertical="center"/>
      <protection locked="0"/>
    </xf>
    <xf numFmtId="0" fontId="55" fillId="0" borderId="0" xfId="0" applyFont="1" applyFill="1" applyBorder="1" applyAlignment="1">
      <alignment horizontal="right" vertical="center" wrapText="1"/>
    </xf>
    <xf numFmtId="3" fontId="15" fillId="0" borderId="57" xfId="2" applyNumberFormat="1" applyFont="1" applyFill="1" applyBorder="1" applyAlignment="1">
      <alignment horizontal="center" vertical="center"/>
    </xf>
    <xf numFmtId="4" fontId="15" fillId="0" borderId="61" xfId="2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 applyProtection="1">
      <alignment vertical="center"/>
      <protection locked="0"/>
    </xf>
    <xf numFmtId="180" fontId="15" fillId="0" borderId="0" xfId="0" applyNumberFormat="1" applyFont="1" applyFill="1" applyBorder="1" applyAlignment="1">
      <alignment horizontal="center" vertical="center" wrapText="1"/>
    </xf>
    <xf numFmtId="167" fontId="15" fillId="0" borderId="61" xfId="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left" vertical="center" wrapText="1"/>
    </xf>
    <xf numFmtId="4" fontId="126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4" fontId="126" fillId="29" borderId="0" xfId="0" applyNumberFormat="1" applyFont="1" applyFill="1" applyAlignment="1" applyProtection="1">
      <alignment horizontal="center" vertical="center"/>
      <protection locked="0"/>
    </xf>
    <xf numFmtId="4" fontId="58" fillId="29" borderId="0" xfId="0" applyNumberFormat="1" applyFont="1" applyFill="1" applyAlignment="1">
      <alignment horizontal="center" vertical="center"/>
    </xf>
    <xf numFmtId="49" fontId="55" fillId="0" borderId="0" xfId="0" applyNumberFormat="1" applyFont="1" applyFill="1" applyAlignment="1" applyProtection="1">
      <alignment horizontal="left" vertical="center"/>
      <protection locked="0"/>
    </xf>
    <xf numFmtId="0" fontId="20" fillId="0" borderId="0" xfId="0" applyFont="1" applyFill="1" applyAlignment="1">
      <alignment horizontal="left" vertical="center"/>
    </xf>
    <xf numFmtId="4" fontId="20" fillId="0" borderId="0" xfId="0" applyNumberFormat="1" applyFont="1" applyFill="1" applyAlignment="1">
      <alignment horizontal="center" vertical="center"/>
    </xf>
    <xf numFmtId="4" fontId="19" fillId="0" borderId="6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horizontal="left"/>
    </xf>
    <xf numFmtId="0" fontId="127" fillId="0" borderId="0" xfId="0" applyFont="1" applyFill="1" applyAlignment="1">
      <alignment horizontal="left" vertical="center"/>
    </xf>
    <xf numFmtId="0" fontId="127" fillId="0" borderId="0" xfId="0" applyFont="1" applyFill="1" applyAlignment="1">
      <alignment horizontal="center" vertical="center"/>
    </xf>
    <xf numFmtId="4" fontId="15" fillId="0" borderId="0" xfId="749" applyNumberFormat="1" applyFont="1" applyFill="1" applyBorder="1" applyAlignment="1">
      <alignment horizontal="center" vertical="center"/>
    </xf>
    <xf numFmtId="4" fontId="15" fillId="0" borderId="0" xfId="157" applyNumberFormat="1" applyFont="1" applyFill="1" applyBorder="1" applyAlignment="1">
      <alignment horizontal="center" vertical="center" wrapText="1"/>
    </xf>
    <xf numFmtId="2" fontId="64" fillId="29" borderId="0" xfId="0" applyNumberFormat="1" applyFont="1" applyFill="1" applyBorder="1" applyAlignment="1" applyProtection="1">
      <alignment horizontal="center" vertical="center" wrapText="1"/>
    </xf>
    <xf numFmtId="0" fontId="15" fillId="0" borderId="0" xfId="749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4" fontId="55" fillId="0" borderId="61" xfId="0" applyNumberFormat="1" applyFont="1" applyFill="1" applyBorder="1" applyAlignment="1" applyProtection="1">
      <alignment horizontal="center" vertical="center"/>
      <protection locked="0"/>
    </xf>
    <xf numFmtId="4" fontId="55" fillId="44" borderId="0" xfId="0" applyNumberFormat="1" applyFont="1" applyFill="1" applyBorder="1" applyAlignment="1" applyProtection="1">
      <alignment horizontal="center" vertical="center" wrapText="1"/>
      <protection locked="0"/>
    </xf>
    <xf numFmtId="4" fontId="114" fillId="32" borderId="0" xfId="0" applyNumberFormat="1" applyFont="1" applyFill="1" applyBorder="1" applyAlignment="1">
      <alignment horizontal="left"/>
    </xf>
    <xf numFmtId="0" fontId="15" fillId="29" borderId="6" xfId="0" applyFont="1" applyFill="1" applyBorder="1" applyAlignment="1" applyProtection="1">
      <alignment horizontal="left"/>
      <protection locked="0"/>
    </xf>
    <xf numFmtId="0" fontId="15" fillId="29" borderId="0" xfId="0" applyFont="1" applyFill="1" applyBorder="1" applyAlignment="1" applyProtection="1">
      <alignment horizontal="left"/>
      <protection locked="0"/>
    </xf>
    <xf numFmtId="1" fontId="106" fillId="29" borderId="0" xfId="0" applyNumberFormat="1" applyFont="1" applyFill="1" applyAlignment="1" applyProtection="1">
      <alignment horizontal="center" vertical="center"/>
      <protection locked="0"/>
    </xf>
    <xf numFmtId="0" fontId="106" fillId="29" borderId="0" xfId="0" applyFont="1" applyFill="1" applyAlignment="1" applyProtection="1">
      <alignment horizontal="left" vertical="center" wrapText="1"/>
      <protection locked="0"/>
    </xf>
    <xf numFmtId="0" fontId="106" fillId="29" borderId="1" xfId="0" applyFont="1" applyFill="1" applyBorder="1" applyAlignment="1" applyProtection="1">
      <alignment horizontal="center" vertical="center" wrapText="1"/>
      <protection locked="0"/>
    </xf>
    <xf numFmtId="4" fontId="106" fillId="29" borderId="1" xfId="0" applyNumberFormat="1" applyFont="1" applyFill="1" applyBorder="1" applyAlignment="1" applyProtection="1">
      <alignment horizontal="center" vertical="center" wrapText="1"/>
      <protection locked="0"/>
    </xf>
    <xf numFmtId="0" fontId="106" fillId="29" borderId="0" xfId="0" applyFont="1" applyFill="1" applyBorder="1" applyAlignment="1" applyProtection="1">
      <alignment horizontal="right" vertical="center"/>
      <protection locked="0"/>
    </xf>
    <xf numFmtId="0" fontId="106" fillId="29" borderId="0" xfId="0" applyFont="1" applyFill="1" applyBorder="1" applyAlignment="1">
      <alignment horizontal="right" vertical="center"/>
    </xf>
    <xf numFmtId="4" fontId="106" fillId="29" borderId="0" xfId="0" applyNumberFormat="1" applyFont="1" applyFill="1" applyBorder="1" applyAlignment="1" applyProtection="1">
      <alignment horizontal="center" vertical="center" wrapText="1"/>
      <protection locked="0"/>
    </xf>
    <xf numFmtId="2" fontId="106" fillId="29" borderId="1" xfId="0" applyNumberFormat="1" applyFont="1" applyFill="1" applyBorder="1" applyAlignment="1" applyProtection="1">
      <alignment horizontal="center" vertical="center" wrapText="1"/>
      <protection locked="0"/>
    </xf>
    <xf numFmtId="0" fontId="106" fillId="29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left"/>
    </xf>
    <xf numFmtId="0" fontId="106" fillId="0" borderId="0" xfId="749" applyFont="1" applyFill="1" applyBorder="1" applyAlignment="1">
      <alignment horizontal="center" vertical="center"/>
    </xf>
    <xf numFmtId="4" fontId="106" fillId="0" borderId="0" xfId="157" applyNumberFormat="1" applyFont="1" applyFill="1" applyBorder="1" applyAlignment="1">
      <alignment horizontal="center" vertical="center" wrapText="1"/>
    </xf>
    <xf numFmtId="0" fontId="106" fillId="0" borderId="0" xfId="0" applyFont="1" applyFill="1" applyBorder="1" applyAlignment="1">
      <alignment horizontal="center" vertical="center"/>
    </xf>
    <xf numFmtId="0" fontId="65" fillId="0" borderId="0" xfId="0" applyFont="1" applyFill="1" applyAlignment="1">
      <alignment horizontal="left"/>
    </xf>
    <xf numFmtId="4" fontId="59" fillId="0" borderId="57" xfId="0" applyNumberFormat="1" applyFont="1" applyFill="1" applyBorder="1" applyAlignment="1" applyProtection="1">
      <alignment horizontal="left" vertical="center"/>
      <protection locked="0"/>
    </xf>
    <xf numFmtId="0" fontId="0" fillId="0" borderId="58" xfId="0" applyBorder="1" applyAlignment="1">
      <alignment horizontal="left" vertical="center"/>
    </xf>
    <xf numFmtId="4" fontId="59" fillId="0" borderId="6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58" xfId="0" applyNumberFormat="1" applyFont="1" applyFill="1" applyBorder="1" applyAlignment="1" applyProtection="1">
      <alignment horizontal="center" vertical="center"/>
      <protection locked="0"/>
    </xf>
    <xf numFmtId="3" fontId="15" fillId="0" borderId="61" xfId="0" applyNumberFormat="1" applyFont="1" applyFill="1" applyBorder="1" applyAlignment="1">
      <alignment horizontal="center" vertical="center" wrapText="1"/>
    </xf>
    <xf numFmtId="4" fontId="15" fillId="0" borderId="61" xfId="0" applyNumberFormat="1" applyFont="1" applyFill="1" applyBorder="1" applyAlignment="1">
      <alignment horizontal="center" vertical="center"/>
    </xf>
    <xf numFmtId="0" fontId="115" fillId="0" borderId="0" xfId="0" applyFont="1" applyFill="1" applyBorder="1" applyAlignment="1">
      <alignment horizontal="center" vertical="center"/>
    </xf>
    <xf numFmtId="4" fontId="55" fillId="0" borderId="61" xfId="0" applyNumberFormat="1" applyFont="1" applyFill="1" applyBorder="1" applyAlignment="1">
      <alignment horizontal="center" vertical="center"/>
    </xf>
    <xf numFmtId="187" fontId="15" fillId="0" borderId="0" xfId="0" applyNumberFormat="1" applyFont="1" applyFill="1" applyAlignment="1">
      <alignment vertical="center"/>
    </xf>
    <xf numFmtId="180" fontId="106" fillId="0" borderId="61" xfId="0" applyNumberFormat="1" applyFont="1" applyFill="1" applyBorder="1" applyAlignment="1">
      <alignment horizontal="center" vertical="center" wrapText="1"/>
    </xf>
    <xf numFmtId="166" fontId="106" fillId="0" borderId="61" xfId="0" applyNumberFormat="1" applyFont="1" applyFill="1" applyBorder="1" applyAlignment="1">
      <alignment horizontal="center" vertical="center" wrapText="1"/>
    </xf>
    <xf numFmtId="4" fontId="106" fillId="0" borderId="57" xfId="0" applyNumberFormat="1" applyFont="1" applyFill="1" applyBorder="1" applyAlignment="1">
      <alignment horizontal="center" vertical="center" wrapText="1"/>
    </xf>
    <xf numFmtId="0" fontId="15" fillId="0" borderId="57" xfId="0" applyFont="1" applyFill="1" applyBorder="1" applyAlignment="1">
      <alignment vertical="center"/>
    </xf>
    <xf numFmtId="4" fontId="15" fillId="0" borderId="0" xfId="0" applyNumberFormat="1" applyFont="1" applyFill="1" applyAlignment="1" applyProtection="1">
      <alignment vertical="center"/>
      <protection locked="0"/>
    </xf>
    <xf numFmtId="4" fontId="55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11" xfId="0" applyFont="1" applyFill="1" applyBorder="1" applyAlignment="1">
      <alignment horizontal="right" vertical="center" wrapText="1"/>
    </xf>
    <xf numFmtId="0" fontId="55" fillId="0" borderId="11" xfId="0" applyFont="1" applyFill="1" applyBorder="1" applyAlignment="1" applyProtection="1">
      <alignment horizontal="center" vertical="center" wrapText="1"/>
      <protection locked="0"/>
    </xf>
    <xf numFmtId="0" fontId="15" fillId="0" borderId="59" xfId="0" applyFont="1" applyFill="1" applyBorder="1" applyAlignment="1" applyProtection="1">
      <alignment horizontal="center" vertical="center" wrapText="1"/>
      <protection locked="0"/>
    </xf>
    <xf numFmtId="175" fontId="59" fillId="29" borderId="0" xfId="0" applyNumberFormat="1" applyFont="1" applyFill="1" applyAlignment="1">
      <alignment horizontal="left" vertical="center"/>
    </xf>
    <xf numFmtId="4" fontId="115" fillId="0" borderId="0" xfId="0" applyNumberFormat="1" applyFont="1" applyFill="1" applyBorder="1" applyAlignment="1">
      <alignment horizontal="left" vertical="center"/>
    </xf>
    <xf numFmtId="180" fontId="55" fillId="29" borderId="0" xfId="0" applyNumberFormat="1" applyFont="1" applyFill="1" applyAlignment="1">
      <alignment horizontal="left" vertical="center"/>
    </xf>
    <xf numFmtId="49" fontId="15" fillId="0" borderId="61" xfId="0" applyNumberFormat="1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vertical="center" wrapText="1"/>
    </xf>
    <xf numFmtId="0" fontId="57" fillId="0" borderId="58" xfId="0" applyNumberFormat="1" applyFont="1" applyFill="1" applyBorder="1" applyAlignment="1">
      <alignment horizontal="left" wrapText="1"/>
    </xf>
    <xf numFmtId="49" fontId="57" fillId="0" borderId="57" xfId="0" applyNumberFormat="1" applyFont="1" applyFill="1" applyBorder="1" applyAlignment="1">
      <alignment horizontal="center"/>
    </xf>
    <xf numFmtId="4" fontId="57" fillId="0" borderId="57" xfId="0" applyNumberFormat="1" applyFont="1" applyFill="1" applyBorder="1" applyAlignment="1">
      <alignment horizontal="right"/>
    </xf>
    <xf numFmtId="49" fontId="109" fillId="0" borderId="57" xfId="0" applyNumberFormat="1" applyFont="1" applyFill="1" applyBorder="1" applyAlignment="1">
      <alignment horizontal="center"/>
    </xf>
    <xf numFmtId="49" fontId="57" fillId="0" borderId="57" xfId="0" applyNumberFormat="1" applyFont="1" applyFill="1" applyBorder="1" applyAlignment="1">
      <alignment horizontal="center" wrapText="1"/>
    </xf>
    <xf numFmtId="49" fontId="57" fillId="0" borderId="58" xfId="0" applyNumberFormat="1" applyFont="1" applyFill="1" applyBorder="1" applyAlignment="1">
      <alignment horizontal="left" wrapText="1" indent="2"/>
    </xf>
    <xf numFmtId="4" fontId="57" fillId="0" borderId="57" xfId="0" applyNumberFormat="1" applyFont="1" applyFill="1" applyBorder="1" applyAlignment="1">
      <alignment horizontal="right" wrapText="1"/>
    </xf>
    <xf numFmtId="0" fontId="57" fillId="0" borderId="58" xfId="0" applyNumberFormat="1" applyFont="1" applyFill="1" applyBorder="1" applyAlignment="1">
      <alignment horizontal="left" wrapText="1" indent="2"/>
    </xf>
    <xf numFmtId="0" fontId="15" fillId="0" borderId="0" xfId="100" applyFont="1" applyFill="1" applyBorder="1" applyAlignment="1">
      <alignment horizontal="center" vertical="top" wrapText="1"/>
    </xf>
    <xf numFmtId="2" fontId="15" fillId="0" borderId="0" xfId="100" applyNumberFormat="1" applyFont="1" applyFill="1" applyBorder="1" applyAlignment="1">
      <alignment horizontal="center" vertical="top" wrapText="1"/>
    </xf>
    <xf numFmtId="0" fontId="4" fillId="29" borderId="1" xfId="0" applyFont="1" applyFill="1" applyBorder="1" applyAlignment="1">
      <alignment horizontal="left" vertical="center" wrapText="1"/>
    </xf>
    <xf numFmtId="0" fontId="20" fillId="0" borderId="61" xfId="0" applyFont="1" applyFill="1" applyBorder="1" applyAlignment="1">
      <alignment horizontal="center" vertical="center" wrapText="1"/>
    </xf>
    <xf numFmtId="0" fontId="20" fillId="0" borderId="61" xfId="0" applyFont="1" applyFill="1" applyBorder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0" fontId="4" fillId="29" borderId="61" xfId="0" applyFont="1" applyFill="1" applyBorder="1" applyAlignment="1">
      <alignment vertical="center" wrapText="1"/>
    </xf>
    <xf numFmtId="170" fontId="15" fillId="0" borderId="0" xfId="0" applyNumberFormat="1" applyFont="1" applyFill="1" applyAlignment="1" applyProtection="1">
      <alignment horizontal="center" vertical="center"/>
      <protection locked="0"/>
    </xf>
    <xf numFmtId="4" fontId="15" fillId="0" borderId="61" xfId="6" applyNumberFormat="1" applyFont="1" applyFill="1" applyBorder="1" applyAlignment="1">
      <alignment horizontal="center" vertical="center" wrapText="1"/>
    </xf>
    <xf numFmtId="175" fontId="15" fillId="0" borderId="3" xfId="82" applyNumberFormat="1" applyFont="1" applyFill="1" applyBorder="1" applyAlignment="1">
      <alignment horizontal="center" vertical="center" wrapText="1"/>
    </xf>
    <xf numFmtId="0" fontId="4" fillId="29" borderId="6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20" fillId="0" borderId="61" xfId="0" applyFont="1" applyFill="1" applyBorder="1" applyAlignment="1">
      <alignment horizontal="center" vertical="center"/>
    </xf>
    <xf numFmtId="0" fontId="65" fillId="0" borderId="61" xfId="0" applyFont="1" applyFill="1" applyBorder="1" applyAlignment="1">
      <alignment horizontal="center" vertical="center"/>
    </xf>
    <xf numFmtId="4" fontId="20" fillId="0" borderId="6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4" fontId="15" fillId="0" borderId="0" xfId="3" applyNumberFormat="1" applyFont="1" applyFill="1" applyAlignment="1">
      <alignment horizontal="right" vertical="center"/>
    </xf>
    <xf numFmtId="4" fontId="15" fillId="0" borderId="0" xfId="3" applyNumberFormat="1" applyFont="1" applyFill="1" applyAlignment="1">
      <alignment horizontal="right" vertical="center" wrapText="1"/>
    </xf>
    <xf numFmtId="0" fontId="15" fillId="0" borderId="0" xfId="0" applyFont="1" applyFill="1" applyAlignment="1" applyProtection="1">
      <alignment horizontal="left" vertical="center" wrapText="1"/>
      <protection locked="0"/>
    </xf>
    <xf numFmtId="49" fontId="55" fillId="0" borderId="0" xfId="6" applyNumberFormat="1" applyFont="1" applyFill="1" applyBorder="1" applyAlignment="1">
      <alignment vertical="center" wrapText="1"/>
    </xf>
    <xf numFmtId="0" fontId="15" fillId="0" borderId="61" xfId="0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Fill="1" applyBorder="1" applyAlignment="1" applyProtection="1">
      <alignment horizontal="center" vertical="center" wrapText="1"/>
      <protection locked="0"/>
    </xf>
    <xf numFmtId="4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4" fontId="15" fillId="0" borderId="0" xfId="0" applyNumberFormat="1" applyFont="1" applyFill="1" applyBorder="1" applyAlignment="1">
      <alignment horizontal="center" vertical="center"/>
    </xf>
    <xf numFmtId="4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Fill="1" applyAlignment="1" applyProtection="1">
      <alignment horizontal="left" vertical="center"/>
      <protection locked="0"/>
    </xf>
    <xf numFmtId="0" fontId="55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61" xfId="0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60" xfId="0" applyFont="1" applyFill="1" applyBorder="1" applyAlignment="1" applyProtection="1">
      <alignment horizontal="center" vertical="center" wrapText="1"/>
      <protection locked="0"/>
    </xf>
    <xf numFmtId="0" fontId="15" fillId="0" borderId="57" xfId="0" applyFont="1" applyFill="1" applyBorder="1" applyAlignment="1" applyProtection="1">
      <alignment horizontal="center" vertical="center" wrapText="1"/>
      <protection locked="0"/>
    </xf>
    <xf numFmtId="4" fontId="15" fillId="0" borderId="51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52" xfId="0" applyNumberFormat="1" applyFont="1" applyFill="1" applyBorder="1" applyAlignment="1" applyProtection="1">
      <alignment horizontal="left" vertical="center" wrapText="1"/>
      <protection locked="0"/>
    </xf>
    <xf numFmtId="0" fontId="55" fillId="0" borderId="57" xfId="0" applyFont="1" applyFill="1" applyBorder="1" applyAlignment="1" applyProtection="1">
      <alignment horizontal="center" vertical="center" wrapText="1"/>
      <protection locked="0"/>
    </xf>
    <xf numFmtId="0" fontId="55" fillId="0" borderId="58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left"/>
      <protection locked="0"/>
    </xf>
    <xf numFmtId="0" fontId="15" fillId="0" borderId="61" xfId="0" applyFont="1" applyFill="1" applyBorder="1" applyAlignment="1">
      <alignment horizontal="center" vertical="center" wrapText="1"/>
    </xf>
    <xf numFmtId="0" fontId="15" fillId="0" borderId="61" xfId="0" applyFont="1" applyFill="1" applyBorder="1" applyAlignment="1">
      <alignment vertical="center" wrapText="1"/>
    </xf>
    <xf numFmtId="0" fontId="15" fillId="0" borderId="51" xfId="0" applyFont="1" applyFill="1" applyBorder="1" applyAlignment="1" applyProtection="1">
      <alignment horizontal="left" vertical="center" wrapText="1"/>
      <protection locked="0"/>
    </xf>
    <xf numFmtId="4" fontId="15" fillId="0" borderId="57" xfId="0" applyNumberFormat="1" applyFont="1" applyFill="1" applyBorder="1" applyAlignment="1" applyProtection="1">
      <alignment horizontal="left" vertical="center" wrapText="1"/>
      <protection locked="0"/>
    </xf>
    <xf numFmtId="0" fontId="55" fillId="0" borderId="0" xfId="0" applyFont="1" applyFill="1" applyBorder="1" applyAlignment="1">
      <alignment horizontal="center" vertical="center" wrapText="1"/>
    </xf>
    <xf numFmtId="4" fontId="15" fillId="0" borderId="57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61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58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59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60" xfId="0" applyFont="1" applyFill="1" applyBorder="1" applyAlignment="1">
      <alignment vertical="center" wrapText="1"/>
    </xf>
    <xf numFmtId="0" fontId="59" fillId="0" borderId="7" xfId="0" applyFont="1" applyFill="1" applyBorder="1" applyAlignment="1" applyProtection="1">
      <alignment horizontal="left" vertical="center"/>
      <protection locked="0"/>
    </xf>
    <xf numFmtId="0" fontId="56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4" fontId="15" fillId="0" borderId="0" xfId="0" applyNumberFormat="1" applyFont="1" applyFill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4" fontId="15" fillId="0" borderId="7" xfId="0" applyNumberFormat="1" applyFont="1" applyFill="1" applyBorder="1" applyAlignment="1" applyProtection="1">
      <alignment horizontal="left" vertical="center"/>
      <protection locked="0"/>
    </xf>
    <xf numFmtId="4" fontId="15" fillId="0" borderId="8" xfId="0" applyNumberFormat="1" applyFont="1" applyFill="1" applyBorder="1" applyAlignment="1" applyProtection="1">
      <alignment horizontal="left" vertical="center"/>
      <protection locked="0"/>
    </xf>
    <xf numFmtId="4" fontId="15" fillId="0" borderId="26" xfId="0" applyNumberFormat="1" applyFont="1" applyFill="1" applyBorder="1" applyAlignment="1" applyProtection="1">
      <alignment horizontal="left" vertical="center"/>
      <protection locked="0"/>
    </xf>
    <xf numFmtId="4" fontId="9" fillId="0" borderId="1" xfId="0" applyNumberFormat="1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6" fillId="0" borderId="0" xfId="0" applyFont="1" applyFill="1" applyAlignment="1">
      <alignment horizontal="left" vertical="center"/>
    </xf>
    <xf numFmtId="0" fontId="56" fillId="0" borderId="0" xfId="7" applyFont="1" applyFill="1" applyBorder="1" applyAlignment="1">
      <alignment horizontal="left" vertical="center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55" fillId="0" borderId="1" xfId="0" applyFont="1" applyFill="1" applyBorder="1" applyAlignment="1">
      <alignment horizontal="center" vertical="center" wrapText="1"/>
    </xf>
    <xf numFmtId="0" fontId="15" fillId="0" borderId="1" xfId="745" applyFont="1" applyFill="1" applyBorder="1" applyAlignment="1">
      <alignment horizontal="center" vertical="center" wrapText="1"/>
    </xf>
    <xf numFmtId="0" fontId="55" fillId="0" borderId="0" xfId="7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0" xfId="7" applyFont="1" applyFill="1" applyBorder="1" applyAlignment="1">
      <alignment horizontal="left" vertical="center" wrapText="1"/>
    </xf>
    <xf numFmtId="0" fontId="10" fillId="0" borderId="0" xfId="0" applyFont="1" applyFill="1" applyAlignment="1" applyProtection="1">
      <alignment horizontal="center" vertical="center"/>
      <protection locked="0"/>
    </xf>
    <xf numFmtId="0" fontId="56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55" fillId="0" borderId="0" xfId="0" applyFont="1" applyFill="1" applyAlignment="1" applyProtection="1">
      <alignment vertical="center"/>
      <protection locked="0"/>
    </xf>
    <xf numFmtId="0" fontId="55" fillId="0" borderId="0" xfId="7" applyFont="1" applyFill="1" applyBorder="1" applyAlignment="1">
      <alignment horizontal="left" vertical="center"/>
    </xf>
    <xf numFmtId="0" fontId="5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5" fillId="0" borderId="57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3" fontId="15" fillId="0" borderId="1" xfId="2" applyNumberFormat="1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 wrapText="1"/>
    </xf>
    <xf numFmtId="180" fontId="15" fillId="0" borderId="1" xfId="157" applyNumberFormat="1" applyFont="1" applyFill="1" applyBorder="1" applyAlignment="1">
      <alignment horizontal="center" vertical="center" wrapText="1"/>
    </xf>
    <xf numFmtId="166" fontId="15" fillId="0" borderId="1" xfId="3" applyNumberFormat="1" applyFont="1" applyFill="1" applyBorder="1" applyAlignment="1">
      <alignment horizontal="center" vertical="center"/>
    </xf>
    <xf numFmtId="4" fontId="15" fillId="0" borderId="0" xfId="0" applyNumberFormat="1" applyFont="1" applyFill="1"/>
    <xf numFmtId="180" fontId="15" fillId="0" borderId="0" xfId="0" applyNumberFormat="1" applyFont="1" applyFill="1"/>
    <xf numFmtId="4" fontId="59" fillId="0" borderId="0" xfId="0" applyNumberFormat="1" applyFont="1" applyFill="1" applyAlignment="1">
      <alignment vertical="center"/>
    </xf>
    <xf numFmtId="180" fontId="5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vertical="center" wrapText="1"/>
      <protection locked="0"/>
    </xf>
    <xf numFmtId="177" fontId="15" fillId="0" borderId="0" xfId="0" applyNumberFormat="1" applyFont="1" applyFill="1" applyAlignment="1">
      <alignment vertical="center"/>
    </xf>
    <xf numFmtId="184" fontId="15" fillId="0" borderId="0" xfId="0" applyNumberFormat="1" applyFont="1" applyFill="1" applyAlignment="1">
      <alignment horizontal="left" vertical="center"/>
    </xf>
    <xf numFmtId="175" fontId="55" fillId="0" borderId="0" xfId="0" applyNumberFormat="1" applyFont="1" applyFill="1" applyAlignment="1">
      <alignment horizontal="left" vertical="center"/>
    </xf>
    <xf numFmtId="175" fontId="5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27" xfId="0" applyNumberFormat="1" applyFont="1" applyFill="1" applyBorder="1" applyAlignment="1">
      <alignment horizontal="left" vertical="center"/>
    </xf>
    <xf numFmtId="49" fontId="15" fillId="0" borderId="24" xfId="0" applyNumberFormat="1" applyFont="1" applyFill="1" applyBorder="1" applyAlignment="1">
      <alignment horizontal="left" vertical="center"/>
    </xf>
    <xf numFmtId="4" fontId="15" fillId="0" borderId="24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Alignment="1">
      <alignment horizontal="left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83" fillId="0" borderId="26" xfId="0" applyFont="1" applyFill="1" applyBorder="1" applyAlignment="1">
      <alignment vertical="center"/>
    </xf>
    <xf numFmtId="4" fontId="15" fillId="0" borderId="57" xfId="0" applyNumberFormat="1" applyFont="1" applyFill="1" applyBorder="1" applyAlignment="1" applyProtection="1">
      <alignment horizontal="center" vertical="center"/>
      <protection locked="0"/>
    </xf>
    <xf numFmtId="185" fontId="15" fillId="0" borderId="61" xfId="0" applyNumberFormat="1" applyFont="1" applyFill="1" applyBorder="1" applyAlignment="1" applyProtection="1">
      <alignment horizontal="center" vertical="center"/>
      <protection locked="0"/>
    </xf>
    <xf numFmtId="0" fontId="55" fillId="0" borderId="0" xfId="0" applyFont="1" applyFill="1" applyAlignment="1" applyProtection="1">
      <protection locked="0"/>
    </xf>
    <xf numFmtId="49" fontId="55" fillId="0" borderId="0" xfId="0" applyNumberFormat="1" applyFont="1" applyFill="1" applyBorder="1" applyAlignment="1" applyProtection="1">
      <alignment horizontal="left"/>
      <protection locked="0"/>
    </xf>
    <xf numFmtId="0" fontId="15" fillId="0" borderId="0" xfId="0" applyFont="1" applyFill="1" applyAlignment="1" applyProtection="1">
      <protection locked="0"/>
    </xf>
    <xf numFmtId="4" fontId="15" fillId="0" borderId="0" xfId="0" applyNumberFormat="1" applyFont="1" applyFill="1" applyAlignment="1" applyProtection="1">
      <alignment horizontal="center"/>
      <protection locked="0"/>
    </xf>
    <xf numFmtId="4" fontId="55" fillId="0" borderId="0" xfId="0" applyNumberFormat="1" applyFont="1" applyFill="1" applyAlignment="1" applyProtection="1">
      <alignment horizontal="center"/>
      <protection locked="0"/>
    </xf>
    <xf numFmtId="4" fontId="55" fillId="0" borderId="0" xfId="0" applyNumberFormat="1" applyFont="1" applyFill="1" applyAlignment="1">
      <alignment horizontal="left"/>
    </xf>
    <xf numFmtId="4" fontId="55" fillId="0" borderId="0" xfId="0" applyNumberFormat="1" applyFont="1" applyFill="1" applyAlignment="1"/>
    <xf numFmtId="4" fontId="15" fillId="0" borderId="0" xfId="0" applyNumberFormat="1" applyFont="1" applyFill="1" applyAlignment="1"/>
    <xf numFmtId="4" fontId="15" fillId="0" borderId="0" xfId="0" applyNumberFormat="1" applyFont="1" applyFill="1" applyAlignment="1">
      <alignment horizontal="center"/>
    </xf>
    <xf numFmtId="3" fontId="55" fillId="0" borderId="0" xfId="0" applyNumberFormat="1" applyFont="1" applyFill="1" applyAlignment="1">
      <alignment horizontal="center" vertical="center"/>
    </xf>
    <xf numFmtId="3" fontId="15" fillId="0" borderId="1" xfId="152" applyNumberFormat="1" applyFont="1" applyFill="1" applyBorder="1" applyAlignment="1">
      <alignment horizontal="center" vertical="center" wrapText="1"/>
    </xf>
    <xf numFmtId="4" fontId="15" fillId="0" borderId="11" xfId="0" applyNumberFormat="1" applyFont="1" applyFill="1" applyBorder="1" applyAlignment="1">
      <alignment horizontal="left" vertical="center"/>
    </xf>
    <xf numFmtId="0" fontId="55" fillId="0" borderId="0" xfId="0" applyFont="1" applyFill="1" applyBorder="1" applyAlignment="1" applyProtection="1">
      <alignment horizontal="right" vertical="center" wrapText="1"/>
      <protection locked="0"/>
    </xf>
    <xf numFmtId="0" fontId="85" fillId="0" borderId="0" xfId="0" applyFont="1" applyFill="1" applyBorder="1" applyAlignment="1">
      <alignment horizontal="right" vertical="center" wrapText="1"/>
    </xf>
    <xf numFmtId="0" fontId="15" fillId="0" borderId="61" xfId="1" applyFont="1" applyFill="1" applyBorder="1" applyAlignment="1">
      <alignment horizontal="left" vertical="center" wrapText="1"/>
    </xf>
    <xf numFmtId="3" fontId="15" fillId="0" borderId="61" xfId="152" applyNumberFormat="1" applyFont="1" applyFill="1" applyBorder="1" applyAlignment="1">
      <alignment horizontal="center" vertical="center" wrapText="1"/>
    </xf>
    <xf numFmtId="4" fontId="15" fillId="0" borderId="61" xfId="152" applyNumberFormat="1" applyFont="1" applyFill="1" applyBorder="1" applyAlignment="1">
      <alignment horizontal="center" vertical="center" wrapText="1"/>
    </xf>
    <xf numFmtId="3" fontId="55" fillId="0" borderId="61" xfId="0" applyNumberFormat="1" applyFont="1" applyFill="1" applyBorder="1" applyAlignment="1" applyProtection="1">
      <alignment horizontal="center" vertical="center" wrapText="1"/>
      <protection locked="0"/>
    </xf>
    <xf numFmtId="181" fontId="15" fillId="0" borderId="61" xfId="0" applyNumberFormat="1" applyFont="1" applyFill="1" applyBorder="1" applyAlignment="1">
      <alignment horizontal="center" vertical="center" wrapText="1"/>
    </xf>
    <xf numFmtId="175" fontId="15" fillId="0" borderId="0" xfId="0" applyNumberFormat="1" applyFont="1" applyFill="1"/>
    <xf numFmtId="177" fontId="15" fillId="0" borderId="0" xfId="0" applyNumberFormat="1" applyFont="1" applyFill="1"/>
    <xf numFmtId="4" fontId="59" fillId="0" borderId="0" xfId="0" applyNumberFormat="1" applyFont="1" applyFill="1" applyBorder="1" applyAlignment="1">
      <alignment vertical="center"/>
    </xf>
    <xf numFmtId="180" fontId="15" fillId="0" borderId="0" xfId="0" applyNumberFormat="1" applyFont="1" applyFill="1" applyBorder="1" applyAlignment="1">
      <alignment vertical="center"/>
    </xf>
    <xf numFmtId="177" fontId="15" fillId="0" borderId="0" xfId="0" applyNumberFormat="1" applyFont="1" applyFill="1" applyAlignment="1">
      <alignment horizontal="center" vertical="center"/>
    </xf>
    <xf numFmtId="4" fontId="15" fillId="0" borderId="0" xfId="6" applyNumberFormat="1" applyFont="1" applyFill="1" applyBorder="1" applyAlignment="1">
      <alignment horizontal="right" vertical="center" wrapText="1"/>
    </xf>
    <xf numFmtId="4" fontId="15" fillId="0" borderId="1" xfId="3" applyNumberFormat="1" applyFont="1" applyFill="1" applyBorder="1" applyAlignment="1">
      <alignment horizontal="center" vertical="center"/>
    </xf>
    <xf numFmtId="175" fontId="15" fillId="0" borderId="0" xfId="0" applyNumberFormat="1" applyFont="1" applyFill="1" applyAlignment="1">
      <alignment horizontal="center" vertical="center"/>
    </xf>
    <xf numFmtId="180" fontId="55" fillId="0" borderId="61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60" xfId="6" applyNumberFormat="1" applyFont="1" applyFill="1" applyBorder="1" applyAlignment="1">
      <alignment horizontal="center" vertical="center" wrapText="1"/>
    </xf>
    <xf numFmtId="4" fontId="58" fillId="0" borderId="0" xfId="0" applyNumberFormat="1" applyFont="1" applyFill="1" applyAlignment="1">
      <alignment vertical="center"/>
    </xf>
    <xf numFmtId="4" fontId="15" fillId="0" borderId="60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0" xfId="0" applyNumberFormat="1" applyFont="1" applyFill="1" applyAlignment="1">
      <alignment horizontal="center" vertical="center"/>
    </xf>
    <xf numFmtId="4" fontId="55" fillId="0" borderId="7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0" xfId="0" applyNumberFormat="1" applyFont="1" applyFill="1" applyAlignment="1">
      <alignment horizontal="left" vertical="center"/>
    </xf>
    <xf numFmtId="3" fontId="15" fillId="0" borderId="0" xfId="0" applyNumberFormat="1" applyFont="1" applyFill="1" applyAlignment="1">
      <alignment vertical="center"/>
    </xf>
    <xf numFmtId="3" fontId="5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61" xfId="0" applyNumberFormat="1" applyFont="1" applyFill="1" applyBorder="1" applyAlignment="1" applyProtection="1">
      <alignment horizontal="center" vertical="center"/>
    </xf>
    <xf numFmtId="4" fontId="15" fillId="0" borderId="61" xfId="0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Fill="1" applyBorder="1" applyAlignment="1" applyProtection="1">
      <alignment horizontal="left"/>
    </xf>
    <xf numFmtId="4" fontId="7" fillId="0" borderId="0" xfId="0" applyNumberFormat="1" applyFont="1" applyFill="1" applyBorder="1" applyAlignment="1" applyProtection="1">
      <alignment horizontal="left"/>
    </xf>
    <xf numFmtId="2" fontId="7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59" fillId="0" borderId="57" xfId="0" applyFont="1" applyFill="1" applyBorder="1" applyAlignment="1" applyProtection="1">
      <alignment horizontal="left" vertical="center"/>
      <protection locked="0"/>
    </xf>
    <xf numFmtId="3" fontId="15" fillId="0" borderId="14" xfId="2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 applyAlignment="1">
      <alignment vertical="center"/>
    </xf>
    <xf numFmtId="0" fontId="55" fillId="0" borderId="30" xfId="0" applyFont="1" applyFill="1" applyBorder="1" applyAlignment="1" applyProtection="1">
      <alignment horizontal="right" vertical="center"/>
      <protection locked="0"/>
    </xf>
    <xf numFmtId="0" fontId="55" fillId="0" borderId="31" xfId="0" applyFont="1" applyFill="1" applyBorder="1" applyAlignment="1" applyProtection="1">
      <alignment horizontal="right" vertical="center"/>
      <protection locked="0"/>
    </xf>
    <xf numFmtId="1" fontId="15" fillId="0" borderId="0" xfId="0" applyNumberFormat="1" applyFont="1" applyFill="1" applyAlignment="1">
      <alignment horizontal="left" vertical="center"/>
    </xf>
    <xf numFmtId="14" fontId="15" fillId="0" borderId="0" xfId="0" applyNumberFormat="1" applyFont="1" applyFill="1" applyAlignment="1">
      <alignment vertical="center"/>
    </xf>
    <xf numFmtId="0" fontId="55" fillId="0" borderId="0" xfId="0" applyNumberFormat="1" applyFont="1" applyFill="1" applyBorder="1" applyAlignment="1">
      <alignment horizontal="left" vertical="center" wrapText="1"/>
    </xf>
    <xf numFmtId="175" fontId="55" fillId="0" borderId="0" xfId="0" applyNumberFormat="1" applyFont="1" applyFill="1" applyBorder="1" applyAlignment="1">
      <alignment horizontal="right" vertical="center" wrapText="1"/>
    </xf>
    <xf numFmtId="4" fontId="55" fillId="0" borderId="0" xfId="0" applyNumberFormat="1" applyFont="1" applyFill="1" applyBorder="1" applyAlignment="1">
      <alignment horizontal="right" vertical="center" wrapText="1"/>
    </xf>
    <xf numFmtId="1" fontId="15" fillId="0" borderId="57" xfId="0" applyNumberFormat="1" applyFont="1" applyFill="1" applyBorder="1" applyAlignment="1" applyProtection="1">
      <alignment horizontal="center"/>
    </xf>
    <xf numFmtId="4" fontId="15" fillId="0" borderId="57" xfId="0" applyNumberFormat="1" applyFont="1" applyFill="1" applyBorder="1" applyAlignment="1" applyProtection="1">
      <alignment horizontal="center"/>
    </xf>
    <xf numFmtId="181" fontId="15" fillId="0" borderId="0" xfId="0" applyNumberFormat="1" applyFont="1" applyFill="1" applyAlignment="1">
      <alignment vertical="center"/>
    </xf>
    <xf numFmtId="0" fontId="15" fillId="0" borderId="0" xfId="0" applyNumberFormat="1" applyFont="1" applyFill="1" applyBorder="1" applyAlignment="1">
      <alignment horizontal="left" vertical="center" wrapText="1"/>
    </xf>
    <xf numFmtId="175" fontId="15" fillId="0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 wrapText="1"/>
    </xf>
    <xf numFmtId="4" fontId="15" fillId="0" borderId="0" xfId="0" applyNumberFormat="1" applyFont="1" applyFill="1" applyBorder="1" applyAlignment="1">
      <alignment horizontal="right" vertical="center" wrapText="1"/>
    </xf>
    <xf numFmtId="3" fontId="9" fillId="0" borderId="61" xfId="0" applyNumberFormat="1" applyFont="1" applyFill="1" applyBorder="1" applyAlignment="1">
      <alignment horizontal="center" vertical="center" wrapText="1"/>
    </xf>
    <xf numFmtId="4" fontId="58" fillId="0" borderId="61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0" xfId="0" applyNumberFormat="1" applyFont="1" applyFill="1" applyBorder="1" applyAlignment="1" applyProtection="1">
      <alignment horizontal="left" vertical="center"/>
      <protection locked="0"/>
    </xf>
    <xf numFmtId="3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175" fontId="15" fillId="0" borderId="0" xfId="0" applyNumberFormat="1" applyFont="1" applyFill="1" applyAlignment="1">
      <alignment horizontal="left" vertical="center"/>
    </xf>
    <xf numFmtId="4" fontId="15" fillId="0" borderId="59" xfId="0" applyNumberFormat="1" applyFont="1" applyFill="1" applyBorder="1" applyAlignment="1" applyProtection="1">
      <alignment horizontal="center" vertical="center" wrapText="1"/>
      <protection locked="0"/>
    </xf>
    <xf numFmtId="166" fontId="55" fillId="0" borderId="0" xfId="0" applyNumberFormat="1" applyFont="1" applyFill="1" applyAlignment="1">
      <alignment horizontal="left" vertical="center"/>
    </xf>
    <xf numFmtId="186" fontId="15" fillId="0" borderId="0" xfId="0" applyNumberFormat="1" applyFont="1" applyFill="1" applyAlignment="1">
      <alignment horizontal="left" vertical="center"/>
    </xf>
    <xf numFmtId="180" fontId="59" fillId="0" borderId="0" xfId="0" applyNumberFormat="1" applyFont="1" applyFill="1" applyAlignment="1">
      <alignment horizontal="left"/>
    </xf>
    <xf numFmtId="175" fontId="55" fillId="0" borderId="0" xfId="0" applyNumberFormat="1" applyFont="1" applyFill="1"/>
    <xf numFmtId="175" fontId="59" fillId="0" borderId="0" xfId="0" applyNumberFormat="1" applyFont="1" applyFill="1" applyAlignment="1">
      <alignment horizontal="left"/>
    </xf>
    <xf numFmtId="4" fontId="128" fillId="0" borderId="0" xfId="0" applyNumberFormat="1" applyFont="1" applyFill="1"/>
    <xf numFmtId="4" fontId="83" fillId="0" borderId="0" xfId="0" applyNumberFormat="1" applyFont="1" applyFill="1"/>
    <xf numFmtId="0" fontId="83" fillId="0" borderId="0" xfId="0" applyFont="1" applyFill="1"/>
    <xf numFmtId="0" fontId="83" fillId="0" borderId="8" xfId="0" applyFont="1" applyFill="1" applyBorder="1" applyAlignment="1">
      <alignment horizontal="left" vertical="center"/>
    </xf>
    <xf numFmtId="4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6" xfId="0" applyFont="1" applyFill="1" applyBorder="1" applyAlignment="1" applyProtection="1">
      <alignment horizontal="left" vertical="center" wrapText="1"/>
      <protection locked="0"/>
    </xf>
    <xf numFmtId="0" fontId="84" fillId="0" borderId="26" xfId="0" applyFont="1" applyFill="1" applyBorder="1" applyAlignment="1">
      <alignment horizontal="left" vertical="center"/>
    </xf>
    <xf numFmtId="0" fontId="84" fillId="0" borderId="58" xfId="0" applyFont="1" applyFill="1" applyBorder="1" applyAlignment="1">
      <alignment horizontal="left" vertical="center"/>
    </xf>
    <xf numFmtId="4" fontId="15" fillId="0" borderId="0" xfId="0" applyNumberFormat="1" applyFont="1" applyFill="1" applyBorder="1" applyAlignment="1" applyProtection="1">
      <alignment horizontal="left" vertical="center" wrapText="1"/>
      <protection locked="0"/>
    </xf>
    <xf numFmtId="3" fontId="15" fillId="0" borderId="0" xfId="0" applyNumberFormat="1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/>
    </xf>
    <xf numFmtId="4" fontId="15" fillId="0" borderId="3" xfId="0" applyNumberFormat="1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/>
    </xf>
    <xf numFmtId="4" fontId="15" fillId="0" borderId="60" xfId="0" applyNumberFormat="1" applyFont="1" applyFill="1" applyBorder="1" applyAlignment="1">
      <alignment horizontal="center" vertical="center"/>
    </xf>
    <xf numFmtId="182" fontId="15" fillId="0" borderId="0" xfId="0" applyNumberFormat="1" applyFont="1" applyFill="1" applyBorder="1" applyAlignment="1">
      <alignment horizontal="center" vertical="center"/>
    </xf>
    <xf numFmtId="181" fontId="15" fillId="0" borderId="0" xfId="0" applyNumberFormat="1" applyFont="1" applyFill="1" applyBorder="1" applyAlignment="1">
      <alignment horizontal="center" vertical="center" wrapText="1"/>
    </xf>
    <xf numFmtId="0" fontId="9" fillId="0" borderId="61" xfId="0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center"/>
    </xf>
    <xf numFmtId="4" fontId="15" fillId="0" borderId="61" xfId="0" applyNumberFormat="1" applyFont="1" applyFill="1" applyBorder="1" applyAlignment="1">
      <alignment horizontal="center"/>
    </xf>
    <xf numFmtId="3" fontId="15" fillId="0" borderId="0" xfId="0" applyNumberFormat="1" applyFont="1" applyFill="1" applyAlignment="1">
      <alignment horizontal="right" vertical="center"/>
    </xf>
    <xf numFmtId="183" fontId="15" fillId="0" borderId="0" xfId="0" applyNumberFormat="1" applyFont="1" applyFill="1" applyAlignment="1">
      <alignment horizontal="right" vertical="center"/>
    </xf>
    <xf numFmtId="0" fontId="15" fillId="0" borderId="61" xfId="0" applyNumberFormat="1" applyFont="1" applyFill="1" applyBorder="1" applyAlignment="1">
      <alignment horizontal="center" vertical="center"/>
    </xf>
    <xf numFmtId="3" fontId="9" fillId="0" borderId="61" xfId="0" applyNumberFormat="1" applyFont="1" applyFill="1" applyBorder="1" applyAlignment="1">
      <alignment horizontal="center" vertical="top" wrapText="1"/>
    </xf>
    <xf numFmtId="4" fontId="9" fillId="0" borderId="61" xfId="0" applyNumberFormat="1" applyFont="1" applyFill="1" applyBorder="1" applyAlignment="1">
      <alignment horizontal="center" vertical="top" wrapText="1"/>
    </xf>
    <xf numFmtId="0" fontId="83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5" fillId="0" borderId="11" xfId="0" applyFont="1" applyFill="1" applyBorder="1" applyAlignment="1" applyProtection="1">
      <alignment horizontal="left" vertical="center" wrapText="1"/>
      <protection locked="0"/>
    </xf>
    <xf numFmtId="0" fontId="15" fillId="0" borderId="11" xfId="0" applyFont="1" applyFill="1" applyBorder="1" applyAlignment="1">
      <alignment horizontal="left" vertical="center" wrapText="1"/>
    </xf>
    <xf numFmtId="4" fontId="130" fillId="0" borderId="0" xfId="0" applyNumberFormat="1" applyFont="1" applyFill="1" applyAlignment="1">
      <alignment horizontal="left" vertical="center"/>
    </xf>
    <xf numFmtId="1" fontId="55" fillId="0" borderId="0" xfId="0" applyNumberFormat="1" applyFont="1" applyFill="1" applyAlignment="1" applyProtection="1">
      <alignment horizontal="center" vertical="center" wrapText="1"/>
      <protection locked="0"/>
    </xf>
    <xf numFmtId="1" fontId="9" fillId="0" borderId="0" xfId="0" applyNumberFormat="1" applyFont="1" applyFill="1" applyAlignment="1" applyProtection="1">
      <alignment horizontal="center" vertical="center"/>
      <protection locked="0"/>
    </xf>
    <xf numFmtId="1" fontId="56" fillId="0" borderId="0" xfId="0" applyNumberFormat="1" applyFont="1" applyFill="1" applyAlignment="1" applyProtection="1">
      <alignment horizontal="center" vertical="center"/>
      <protection locked="0"/>
    </xf>
    <xf numFmtId="4" fontId="58" fillId="0" borderId="0" xfId="0" applyNumberFormat="1" applyFont="1" applyFill="1" applyAlignment="1">
      <alignment horizontal="center" vertical="center"/>
    </xf>
    <xf numFmtId="4" fontId="126" fillId="0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left" vertical="center" wrapText="1" shrinkToFit="1"/>
      <protection locked="0"/>
    </xf>
    <xf numFmtId="0" fontId="55" fillId="0" borderId="0" xfId="0" applyFont="1" applyFill="1" applyAlignment="1" applyProtection="1">
      <alignment horizontal="left" vertical="center" wrapText="1"/>
      <protection locked="0"/>
    </xf>
    <xf numFmtId="2" fontId="64" fillId="0" borderId="0" xfId="0" applyNumberFormat="1" applyFont="1" applyFill="1" applyBorder="1" applyAlignment="1" applyProtection="1">
      <alignment horizontal="center" vertical="center" wrapText="1"/>
    </xf>
    <xf numFmtId="49" fontId="15" fillId="0" borderId="6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5" fillId="0" borderId="0" xfId="0" applyFont="1" applyFill="1" applyAlignment="1" applyProtection="1">
      <alignment horizontal="right" vertical="center"/>
      <protection locked="0"/>
    </xf>
    <xf numFmtId="0" fontId="55" fillId="0" borderId="0" xfId="0" applyFont="1" applyFill="1" applyBorder="1" applyAlignment="1">
      <alignment horizontal="center" vertical="center"/>
    </xf>
    <xf numFmtId="4" fontId="55" fillId="0" borderId="0" xfId="0" applyNumberFormat="1" applyFont="1" applyFill="1" applyAlignment="1">
      <alignment horizontal="center" vertical="center" wrapText="1"/>
    </xf>
    <xf numFmtId="4" fontId="59" fillId="0" borderId="0" xfId="0" applyNumberFormat="1" applyFont="1" applyFill="1" applyBorder="1" applyAlignment="1">
      <alignment horizontal="left"/>
    </xf>
    <xf numFmtId="0" fontId="55" fillId="0" borderId="0" xfId="0" applyFont="1" applyFill="1" applyAlignment="1">
      <alignment horizontal="center" vertical="center"/>
    </xf>
    <xf numFmtId="2" fontId="55" fillId="0" borderId="0" xfId="0" applyNumberFormat="1" applyFont="1" applyFill="1" applyBorder="1" applyAlignment="1">
      <alignment horizontal="left"/>
    </xf>
    <xf numFmtId="0" fontId="83" fillId="0" borderId="58" xfId="0" applyFont="1" applyFill="1" applyBorder="1" applyAlignment="1">
      <alignment horizontal="left" vertical="center"/>
    </xf>
    <xf numFmtId="0" fontId="15" fillId="0" borderId="0" xfId="0" applyFont="1" applyFill="1" applyBorder="1" applyAlignment="1" applyProtection="1">
      <alignment horizontal="right" vertical="center"/>
      <protection locked="0"/>
    </xf>
    <xf numFmtId="170" fontId="55" fillId="0" borderId="0" xfId="0" applyNumberFormat="1" applyFont="1" applyFill="1" applyAlignment="1" applyProtection="1">
      <alignment horizontal="center" vertical="center"/>
      <protection locked="0"/>
    </xf>
    <xf numFmtId="0" fontId="15" fillId="0" borderId="0" xfId="747" applyFont="1" applyFill="1" applyBorder="1" applyAlignment="1">
      <alignment horizontal="center" vertical="center" wrapText="1"/>
    </xf>
    <xf numFmtId="0" fontId="15" fillId="0" borderId="7" xfId="747" applyFont="1" applyFill="1" applyBorder="1" applyAlignment="1">
      <alignment horizontal="center" vertical="center" wrapText="1"/>
    </xf>
    <xf numFmtId="185" fontId="15" fillId="0" borderId="1" xfId="0" applyNumberFormat="1" applyFont="1" applyFill="1" applyBorder="1" applyAlignment="1" applyProtection="1">
      <alignment horizontal="center" vertical="center"/>
      <protection locked="0"/>
    </xf>
    <xf numFmtId="180" fontId="55" fillId="0" borderId="0" xfId="0" applyNumberFormat="1" applyFont="1" applyFill="1" applyBorder="1" applyAlignment="1">
      <alignment vertical="center"/>
    </xf>
    <xf numFmtId="166" fontId="15" fillId="0" borderId="27" xfId="0" applyNumberFormat="1" applyFont="1" applyFill="1" applyBorder="1" applyAlignment="1" applyProtection="1">
      <alignment horizontal="center" vertical="center" wrapText="1"/>
      <protection locked="0"/>
    </xf>
    <xf numFmtId="183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0" xfId="0" applyNumberFormat="1" applyFont="1" applyFill="1" applyBorder="1" applyAlignment="1">
      <alignment horizontal="center"/>
    </xf>
    <xf numFmtId="9" fontId="15" fillId="0" borderId="1" xfId="748" applyFont="1" applyFill="1" applyBorder="1" applyAlignment="1" applyProtection="1">
      <alignment horizontal="center" vertical="center" wrapText="1"/>
      <protection locked="0"/>
    </xf>
    <xf numFmtId="180" fontId="55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55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NumberFormat="1" applyFont="1" applyFill="1" applyAlignment="1">
      <alignment horizontal="left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165" fontId="55" fillId="0" borderId="0" xfId="0" applyNumberFormat="1" applyFont="1" applyFill="1" applyAlignment="1">
      <alignment horizontal="center" vertical="center"/>
    </xf>
    <xf numFmtId="4" fontId="15" fillId="0" borderId="1" xfId="0" applyNumberFormat="1" applyFont="1" applyFill="1" applyBorder="1" applyAlignment="1" applyProtection="1">
      <alignment vertical="center" wrapText="1" shrinkToFit="1"/>
      <protection locked="0"/>
    </xf>
    <xf numFmtId="2" fontId="15" fillId="0" borderId="1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Alignment="1">
      <alignment horizontal="center"/>
    </xf>
    <xf numFmtId="49" fontId="15" fillId="0" borderId="0" xfId="0" applyNumberFormat="1" applyFont="1" applyFill="1" applyAlignment="1">
      <alignment horizontal="left"/>
    </xf>
    <xf numFmtId="0" fontId="55" fillId="0" borderId="0" xfId="0" applyFont="1" applyFill="1" applyBorder="1" applyAlignment="1">
      <alignment horizontal="left" vertical="center"/>
    </xf>
    <xf numFmtId="170" fontId="55" fillId="0" borderId="0" xfId="0" applyNumberFormat="1" applyFont="1" applyFill="1" applyAlignment="1">
      <alignment horizontal="center" vertical="center"/>
    </xf>
    <xf numFmtId="170" fontId="15" fillId="0" borderId="0" xfId="0" applyNumberFormat="1" applyFont="1" applyFill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0" fontId="83" fillId="0" borderId="8" xfId="0" applyFont="1" applyFill="1" applyBorder="1" applyAlignment="1">
      <alignment vertical="center"/>
    </xf>
    <xf numFmtId="0" fontId="83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175" fontId="15" fillId="0" borderId="0" xfId="0" applyNumberFormat="1" applyFont="1" applyFill="1" applyBorder="1" applyAlignment="1">
      <alignment horizontal="left" vertical="center"/>
    </xf>
    <xf numFmtId="0" fontId="83" fillId="0" borderId="58" xfId="0" applyFont="1" applyFill="1" applyBorder="1" applyAlignment="1">
      <alignment horizontal="center" vertical="center" wrapText="1"/>
    </xf>
    <xf numFmtId="0" fontId="55" fillId="0" borderId="61" xfId="0" applyFont="1" applyFill="1" applyBorder="1" applyAlignment="1" applyProtection="1">
      <alignment horizontal="left" vertical="center" wrapText="1"/>
      <protection locked="0"/>
    </xf>
    <xf numFmtId="49" fontId="57" fillId="0" borderId="42" xfId="0" applyNumberFormat="1" applyFont="1" applyFill="1" applyBorder="1" applyAlignment="1">
      <alignment horizontal="center"/>
    </xf>
    <xf numFmtId="0" fontId="109" fillId="0" borderId="58" xfId="0" applyNumberFormat="1" applyFont="1" applyFill="1" applyBorder="1" applyAlignment="1">
      <alignment horizontal="left" wrapText="1"/>
    </xf>
    <xf numFmtId="0" fontId="132" fillId="0" borderId="0" xfId="0" applyNumberFormat="1" applyFont="1" applyFill="1" applyBorder="1" applyAlignment="1">
      <alignment horizontal="left"/>
    </xf>
    <xf numFmtId="0" fontId="133" fillId="0" borderId="0" xfId="0" applyNumberFormat="1" applyFont="1" applyFill="1" applyBorder="1" applyAlignment="1">
      <alignment horizontal="left"/>
    </xf>
    <xf numFmtId="0" fontId="57" fillId="0" borderId="52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62" fillId="0" borderId="0" xfId="0" applyFont="1" applyAlignment="1">
      <alignment horizontal="left" vertical="center" wrapText="1"/>
    </xf>
    <xf numFmtId="0" fontId="63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60" fillId="0" borderId="0" xfId="0" applyFont="1" applyFill="1" applyAlignment="1">
      <alignment horizontal="center" vertical="center" wrapText="1"/>
    </xf>
    <xf numFmtId="0" fontId="61" fillId="0" borderId="0" xfId="0" applyFont="1" applyFill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top" wrapText="1"/>
    </xf>
    <xf numFmtId="0" fontId="57" fillId="0" borderId="31" xfId="0" applyFont="1" applyFill="1" applyBorder="1" applyAlignment="1">
      <alignment horizontal="center" vertical="top" wrapText="1"/>
    </xf>
    <xf numFmtId="0" fontId="0" fillId="0" borderId="31" xfId="0" applyBorder="1" applyAlignment="1">
      <alignment wrapText="1"/>
    </xf>
    <xf numFmtId="0" fontId="60" fillId="0" borderId="0" xfId="0" applyFont="1" applyFill="1" applyBorder="1" applyAlignment="1">
      <alignment horizontal="left" vertical="center" wrapText="1"/>
    </xf>
    <xf numFmtId="0" fontId="60" fillId="0" borderId="0" xfId="0" applyFont="1" applyFill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109" fillId="0" borderId="0" xfId="0" applyNumberFormat="1" applyFont="1" applyFill="1" applyBorder="1" applyAlignment="1">
      <alignment horizontal="center"/>
    </xf>
    <xf numFmtId="0" fontId="110" fillId="0" borderId="52" xfId="0" applyNumberFormat="1" applyFont="1" applyFill="1" applyBorder="1" applyAlignment="1">
      <alignment horizontal="center" vertical="center"/>
    </xf>
    <xf numFmtId="0" fontId="110" fillId="0" borderId="0" xfId="0" applyNumberFormat="1" applyFont="1" applyFill="1" applyBorder="1" applyAlignment="1">
      <alignment horizontal="center" vertical="center"/>
    </xf>
    <xf numFmtId="0" fontId="110" fillId="0" borderId="6" xfId="0" applyNumberFormat="1" applyFont="1" applyFill="1" applyBorder="1" applyAlignment="1">
      <alignment horizontal="center" vertical="center"/>
    </xf>
    <xf numFmtId="0" fontId="110" fillId="0" borderId="51" xfId="0" applyNumberFormat="1" applyFont="1" applyFill="1" applyBorder="1" applyAlignment="1">
      <alignment horizontal="center" vertical="center" wrapText="1"/>
    </xf>
    <xf numFmtId="0" fontId="110" fillId="0" borderId="11" xfId="0" applyNumberFormat="1" applyFont="1" applyFill="1" applyBorder="1" applyAlignment="1">
      <alignment horizontal="center" vertical="center" wrapText="1"/>
    </xf>
    <xf numFmtId="0" fontId="110" fillId="0" borderId="12" xfId="0" applyNumberFormat="1" applyFont="1" applyFill="1" applyBorder="1" applyAlignment="1">
      <alignment horizontal="center" vertical="center" wrapText="1"/>
    </xf>
    <xf numFmtId="0" fontId="110" fillId="0" borderId="7" xfId="0" applyNumberFormat="1" applyFont="1" applyFill="1" applyBorder="1" applyAlignment="1">
      <alignment horizontal="center" vertical="center"/>
    </xf>
    <xf numFmtId="0" fontId="110" fillId="0" borderId="26" xfId="0" applyNumberFormat="1" applyFont="1" applyFill="1" applyBorder="1" applyAlignment="1">
      <alignment horizontal="center" vertical="center"/>
    </xf>
    <xf numFmtId="0" fontId="110" fillId="0" borderId="4" xfId="0" applyNumberFormat="1" applyFont="1" applyFill="1" applyBorder="1" applyAlignment="1">
      <alignment horizontal="center" vertical="center"/>
    </xf>
    <xf numFmtId="0" fontId="110" fillId="0" borderId="33" xfId="0" applyNumberFormat="1" applyFont="1" applyFill="1" applyBorder="1" applyAlignment="1">
      <alignment horizontal="center" vertical="center" wrapText="1"/>
    </xf>
    <xf numFmtId="0" fontId="110" fillId="0" borderId="3" xfId="0" applyNumberFormat="1" applyFont="1" applyFill="1" applyBorder="1" applyAlignment="1">
      <alignment horizontal="center" vertical="center" wrapText="1"/>
    </xf>
    <xf numFmtId="49" fontId="57" fillId="0" borderId="58" xfId="0" applyNumberFormat="1" applyFont="1" applyFill="1" applyBorder="1" applyAlignment="1">
      <alignment horizontal="center"/>
    </xf>
    <xf numFmtId="49" fontId="57" fillId="0" borderId="59" xfId="0" applyNumberFormat="1" applyFont="1" applyFill="1" applyBorder="1" applyAlignment="1">
      <alignment horizontal="center"/>
    </xf>
    <xf numFmtId="0" fontId="57" fillId="0" borderId="57" xfId="0" applyNumberFormat="1" applyFont="1" applyFill="1" applyBorder="1" applyAlignment="1">
      <alignment horizontal="left" wrapText="1" indent="1"/>
    </xf>
    <xf numFmtId="0" fontId="57" fillId="0" borderId="58" xfId="0" applyNumberFormat="1" applyFont="1" applyFill="1" applyBorder="1" applyAlignment="1">
      <alignment horizontal="left" indent="1"/>
    </xf>
    <xf numFmtId="49" fontId="57" fillId="0" borderId="42" xfId="0" applyNumberFormat="1" applyFont="1" applyFill="1" applyBorder="1" applyAlignment="1">
      <alignment horizontal="center"/>
    </xf>
    <xf numFmtId="49" fontId="109" fillId="0" borderId="58" xfId="0" applyNumberFormat="1" applyFont="1" applyFill="1" applyBorder="1" applyAlignment="1">
      <alignment horizontal="center"/>
    </xf>
    <xf numFmtId="49" fontId="109" fillId="0" borderId="59" xfId="0" applyNumberFormat="1" applyFont="1" applyFill="1" applyBorder="1" applyAlignment="1">
      <alignment horizontal="center"/>
    </xf>
    <xf numFmtId="0" fontId="109" fillId="0" borderId="57" xfId="0" applyNumberFormat="1" applyFont="1" applyFill="1" applyBorder="1" applyAlignment="1">
      <alignment horizontal="left" wrapText="1"/>
    </xf>
    <xf numFmtId="0" fontId="109" fillId="0" borderId="58" xfId="0" applyNumberFormat="1" applyFont="1" applyFill="1" applyBorder="1" applyAlignment="1">
      <alignment horizontal="left" wrapText="1"/>
    </xf>
    <xf numFmtId="49" fontId="109" fillId="0" borderId="39" xfId="0" applyNumberFormat="1" applyFont="1" applyFill="1" applyBorder="1" applyAlignment="1">
      <alignment horizontal="center"/>
    </xf>
    <xf numFmtId="49" fontId="109" fillId="0" borderId="54" xfId="0" applyNumberFormat="1" applyFont="1" applyFill="1" applyBorder="1" applyAlignment="1">
      <alignment horizontal="center"/>
    </xf>
    <xf numFmtId="49" fontId="109" fillId="0" borderId="55" xfId="0" applyNumberFormat="1" applyFont="1" applyFill="1" applyBorder="1" applyAlignment="1">
      <alignment horizontal="center"/>
    </xf>
    <xf numFmtId="179" fontId="57" fillId="0" borderId="57" xfId="0" applyNumberFormat="1" applyFont="1" applyFill="1" applyBorder="1" applyAlignment="1">
      <alignment horizontal="left" wrapText="1" indent="1"/>
    </xf>
    <xf numFmtId="49" fontId="110" fillId="0" borderId="26" xfId="0" applyNumberFormat="1" applyFont="1" applyFill="1" applyBorder="1" applyAlignment="1">
      <alignment horizontal="center" vertical="top"/>
    </xf>
    <xf numFmtId="49" fontId="110" fillId="0" borderId="4" xfId="0" applyNumberFormat="1" applyFont="1" applyFill="1" applyBorder="1" applyAlignment="1">
      <alignment horizontal="center" vertical="top"/>
    </xf>
    <xf numFmtId="49" fontId="110" fillId="0" borderId="56" xfId="0" applyNumberFormat="1" applyFont="1" applyFill="1" applyBorder="1" applyAlignment="1">
      <alignment horizontal="center" vertical="top"/>
    </xf>
    <xf numFmtId="49" fontId="110" fillId="0" borderId="36" xfId="0" applyNumberFormat="1" applyFont="1" applyFill="1" applyBorder="1" applyAlignment="1">
      <alignment horizontal="center" vertical="top"/>
    </xf>
    <xf numFmtId="49" fontId="110" fillId="0" borderId="37" xfId="0" applyNumberFormat="1" applyFont="1" applyFill="1" applyBorder="1" applyAlignment="1">
      <alignment horizontal="center" vertical="top"/>
    </xf>
    <xf numFmtId="0" fontId="109" fillId="0" borderId="57" xfId="0" applyNumberFormat="1" applyFont="1" applyFill="1" applyBorder="1" applyAlignment="1">
      <alignment horizontal="left"/>
    </xf>
    <xf numFmtId="0" fontId="109" fillId="0" borderId="58" xfId="0" applyNumberFormat="1" applyFont="1" applyFill="1" applyBorder="1" applyAlignment="1">
      <alignment horizontal="left"/>
    </xf>
    <xf numFmtId="0" fontId="109" fillId="0" borderId="0" xfId="514" applyNumberFormat="1" applyFont="1" applyFill="1" applyBorder="1" applyAlignment="1">
      <alignment horizontal="center"/>
    </xf>
    <xf numFmtId="0" fontId="110" fillId="0" borderId="52" xfId="0" applyNumberFormat="1" applyFont="1" applyFill="1" applyBorder="1" applyAlignment="1">
      <alignment horizontal="center" vertical="center" wrapText="1"/>
    </xf>
    <xf numFmtId="0" fontId="110" fillId="0" borderId="53" xfId="0" applyNumberFormat="1" applyFont="1" applyFill="1" applyBorder="1" applyAlignment="1">
      <alignment horizontal="center" vertical="center" wrapText="1"/>
    </xf>
    <xf numFmtId="0" fontId="110" fillId="0" borderId="0" xfId="0" applyNumberFormat="1" applyFont="1" applyFill="1" applyBorder="1" applyAlignment="1">
      <alignment horizontal="center" vertical="center" wrapText="1"/>
    </xf>
    <xf numFmtId="0" fontId="110" fillId="0" borderId="34" xfId="0" applyNumberFormat="1" applyFont="1" applyFill="1" applyBorder="1" applyAlignment="1">
      <alignment horizontal="center" vertical="center" wrapText="1"/>
    </xf>
    <xf numFmtId="0" fontId="110" fillId="0" borderId="6" xfId="0" applyNumberFormat="1" applyFont="1" applyFill="1" applyBorder="1" applyAlignment="1">
      <alignment horizontal="center" vertical="center" wrapText="1"/>
    </xf>
    <xf numFmtId="0" fontId="110" fillId="0" borderId="13" xfId="0" applyNumberFormat="1" applyFont="1" applyFill="1" applyBorder="1" applyAlignment="1">
      <alignment horizontal="center" vertical="center" wrapText="1"/>
    </xf>
    <xf numFmtId="0" fontId="110" fillId="0" borderId="53" xfId="0" applyNumberFormat="1" applyFont="1" applyFill="1" applyBorder="1" applyAlignment="1">
      <alignment horizontal="center" vertical="center"/>
    </xf>
    <xf numFmtId="0" fontId="110" fillId="0" borderId="34" xfId="0" applyNumberFormat="1" applyFont="1" applyFill="1" applyBorder="1" applyAlignment="1">
      <alignment horizontal="center" vertical="center"/>
    </xf>
    <xf numFmtId="0" fontId="110" fillId="0" borderId="13" xfId="0" applyNumberFormat="1" applyFont="1" applyFill="1" applyBorder="1" applyAlignment="1">
      <alignment horizontal="center" vertical="center"/>
    </xf>
    <xf numFmtId="0" fontId="10" fillId="0" borderId="0" xfId="251" applyFont="1" applyAlignment="1">
      <alignment horizontal="center" vertical="center"/>
    </xf>
    <xf numFmtId="0" fontId="62" fillId="0" borderId="0" xfId="0" applyFont="1" applyAlignment="1">
      <alignment horizontal="center" vertical="center" wrapText="1"/>
    </xf>
    <xf numFmtId="0" fontId="15" fillId="0" borderId="31" xfId="251" applyFont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Fill="1" applyBorder="1" applyAlignment="1" applyProtection="1">
      <alignment horizontal="left" vertical="center" wrapText="1"/>
      <protection locked="0"/>
    </xf>
    <xf numFmtId="0" fontId="15" fillId="0" borderId="26" xfId="0" applyFont="1" applyFill="1" applyBorder="1" applyAlignment="1" applyProtection="1">
      <alignment horizontal="left" vertical="center" wrapText="1"/>
      <protection locked="0"/>
    </xf>
    <xf numFmtId="0" fontId="15" fillId="0" borderId="27" xfId="0" applyFont="1" applyFill="1" applyBorder="1" applyAlignment="1" applyProtection="1">
      <alignment horizontal="left" vertical="center" wrapText="1"/>
      <protection locked="0"/>
    </xf>
    <xf numFmtId="0" fontId="55" fillId="0" borderId="1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vertical="center" wrapText="1"/>
      <protection locked="0"/>
    </xf>
    <xf numFmtId="0" fontId="83" fillId="0" borderId="6" xfId="0" applyFont="1" applyFill="1" applyBorder="1" applyAlignment="1">
      <alignment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26" xfId="0" applyFont="1" applyFill="1" applyBorder="1" applyAlignment="1" applyProtection="1">
      <alignment horizontal="center" vertical="center" wrapText="1"/>
      <protection locked="0"/>
    </xf>
    <xf numFmtId="0" fontId="15" fillId="0" borderId="27" xfId="0" applyFont="1" applyFill="1" applyBorder="1" applyAlignment="1" applyProtection="1">
      <alignment horizontal="center" vertical="center" wrapText="1"/>
      <protection locked="0"/>
    </xf>
    <xf numFmtId="0" fontId="59" fillId="0" borderId="7" xfId="0" applyFont="1" applyFill="1" applyBorder="1" applyAlignment="1" applyProtection="1">
      <alignment horizontal="left" vertical="center" wrapText="1"/>
      <protection locked="0"/>
    </xf>
    <xf numFmtId="0" fontId="84" fillId="0" borderId="26" xfId="0" applyFont="1" applyFill="1" applyBorder="1" applyAlignment="1">
      <alignment horizontal="left" vertical="center" wrapText="1"/>
    </xf>
    <xf numFmtId="0" fontId="84" fillId="0" borderId="27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0" fontId="83" fillId="0" borderId="3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 applyProtection="1">
      <alignment horizontal="left" vertical="center" wrapText="1"/>
      <protection locked="0"/>
    </xf>
    <xf numFmtId="0" fontId="15" fillId="0" borderId="6" xfId="0" applyFont="1" applyFill="1" applyBorder="1" applyAlignment="1" applyProtection="1">
      <alignment horizontal="left" vertical="center" wrapText="1"/>
      <protection locked="0"/>
    </xf>
    <xf numFmtId="4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3" fillId="0" borderId="1" xfId="0" applyFont="1" applyFill="1" applyBorder="1" applyAlignment="1">
      <alignment horizontal="left" vertical="center" wrapText="1"/>
    </xf>
    <xf numFmtId="0" fontId="83" fillId="0" borderId="8" xfId="0" applyFont="1" applyFill="1" applyBorder="1" applyAlignment="1">
      <alignment horizontal="center" vertical="center" wrapText="1"/>
    </xf>
    <xf numFmtId="0" fontId="83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30" xfId="0" applyFont="1" applyFill="1" applyBorder="1" applyAlignment="1" applyProtection="1">
      <alignment horizontal="center" vertical="center" wrapText="1"/>
      <protection locked="0"/>
    </xf>
    <xf numFmtId="0" fontId="15" fillId="0" borderId="31" xfId="0" applyFont="1" applyFill="1" applyBorder="1" applyAlignment="1" applyProtection="1">
      <alignment horizontal="center" vertical="center" wrapText="1"/>
      <protection locked="0"/>
    </xf>
    <xf numFmtId="0" fontId="15" fillId="0" borderId="52" xfId="0" applyFont="1" applyFill="1" applyBorder="1" applyAlignment="1" applyProtection="1">
      <alignment horizontal="center" vertical="center" wrapText="1"/>
      <protection locked="0"/>
    </xf>
    <xf numFmtId="0" fontId="15" fillId="0" borderId="32" xfId="0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4" fontId="15" fillId="0" borderId="7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26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59" fillId="0" borderId="7" xfId="0" applyFont="1" applyFill="1" applyBorder="1" applyAlignment="1">
      <alignment horizontal="left" vertical="center" wrapText="1"/>
    </xf>
    <xf numFmtId="0" fontId="59" fillId="0" borderId="26" xfId="0" applyFont="1" applyFill="1" applyBorder="1" applyAlignment="1">
      <alignment horizontal="left" vertical="center" wrapText="1"/>
    </xf>
    <xf numFmtId="0" fontId="15" fillId="0" borderId="61" xfId="0" applyFont="1" applyFill="1" applyBorder="1" applyAlignment="1" applyProtection="1">
      <alignment horizontal="center" vertical="center" wrapText="1"/>
      <protection locked="0"/>
    </xf>
    <xf numFmtId="0" fontId="83" fillId="0" borderId="61" xfId="0" applyFont="1" applyFill="1" applyBorder="1" applyAlignment="1">
      <alignment horizontal="center" vertical="center" wrapText="1"/>
    </xf>
    <xf numFmtId="0" fontId="15" fillId="0" borderId="60" xfId="0" applyFont="1" applyFill="1" applyBorder="1" applyAlignment="1">
      <alignment horizontal="center" vertical="center" wrapText="1"/>
    </xf>
    <xf numFmtId="0" fontId="15" fillId="0" borderId="61" xfId="0" applyFont="1" applyFill="1" applyBorder="1" applyAlignment="1" applyProtection="1">
      <alignment horizontal="left" vertical="center" wrapText="1"/>
      <protection locked="0"/>
    </xf>
    <xf numFmtId="0" fontId="83" fillId="0" borderId="61" xfId="0" applyFont="1" applyFill="1" applyBorder="1" applyAlignment="1">
      <alignment horizontal="left" vertical="center" wrapText="1"/>
    </xf>
    <xf numFmtId="4" fontId="15" fillId="0" borderId="0" xfId="3" applyNumberFormat="1" applyFont="1" applyFill="1" applyAlignment="1">
      <alignment horizontal="right" vertical="center"/>
    </xf>
    <xf numFmtId="49" fontId="15" fillId="0" borderId="7" xfId="2" applyNumberFormat="1" applyFont="1" applyFill="1" applyBorder="1" applyAlignment="1">
      <alignment horizontal="left" vertical="center" wrapText="1"/>
    </xf>
    <xf numFmtId="0" fontId="83" fillId="0" borderId="26" xfId="0" applyFont="1" applyFill="1" applyBorder="1" applyAlignment="1">
      <alignment horizontal="left" vertical="center" wrapText="1"/>
    </xf>
    <xf numFmtId="0" fontId="83" fillId="0" borderId="27" xfId="0" applyFont="1" applyFill="1" applyBorder="1" applyAlignment="1">
      <alignment horizontal="left" vertical="center" wrapText="1"/>
    </xf>
    <xf numFmtId="0" fontId="10" fillId="0" borderId="0" xfId="3" applyFont="1" applyFill="1" applyAlignment="1">
      <alignment horizontal="center" vertical="center"/>
    </xf>
    <xf numFmtId="4" fontId="15" fillId="0" borderId="0" xfId="3" applyNumberFormat="1" applyFont="1" applyFill="1" applyAlignment="1">
      <alignment horizontal="right" vertical="center" wrapText="1"/>
    </xf>
    <xf numFmtId="49" fontId="15" fillId="0" borderId="26" xfId="2" applyNumberFormat="1" applyFont="1" applyFill="1" applyBorder="1" applyAlignment="1">
      <alignment horizontal="left" vertical="center" wrapText="1"/>
    </xf>
    <xf numFmtId="49" fontId="15" fillId="0" borderId="27" xfId="2" applyNumberFormat="1" applyFont="1" applyFill="1" applyBorder="1" applyAlignment="1">
      <alignment horizontal="left" vertical="center" wrapText="1"/>
    </xf>
    <xf numFmtId="49" fontId="55" fillId="0" borderId="1" xfId="6" applyNumberFormat="1" applyFont="1" applyFill="1" applyBorder="1" applyAlignment="1">
      <alignment vertical="center" wrapText="1"/>
    </xf>
    <xf numFmtId="0" fontId="55" fillId="0" borderId="7" xfId="0" applyFont="1" applyFill="1" applyBorder="1" applyAlignment="1" applyProtection="1">
      <alignment horizontal="left" vertical="center"/>
      <protection locked="0"/>
    </xf>
    <xf numFmtId="0" fontId="55" fillId="0" borderId="26" xfId="0" applyFont="1" applyFill="1" applyBorder="1" applyAlignment="1" applyProtection="1">
      <alignment horizontal="left" vertical="center"/>
      <protection locked="0"/>
    </xf>
    <xf numFmtId="0" fontId="55" fillId="0" borderId="27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Alignment="1" applyProtection="1">
      <alignment horizontal="left" vertical="center" wrapText="1"/>
      <protection locked="0"/>
    </xf>
    <xf numFmtId="0" fontId="55" fillId="0" borderId="7" xfId="0" applyFont="1" applyFill="1" applyBorder="1" applyAlignment="1" applyProtection="1">
      <alignment horizontal="center" vertical="center" wrapText="1"/>
      <protection locked="0"/>
    </xf>
    <xf numFmtId="0" fontId="55" fillId="0" borderId="8" xfId="0" applyFont="1" applyFill="1" applyBorder="1" applyAlignment="1" applyProtection="1">
      <alignment horizontal="center" vertical="center" wrapText="1"/>
      <protection locked="0"/>
    </xf>
    <xf numFmtId="0" fontId="55" fillId="0" borderId="7" xfId="0" applyFont="1" applyFill="1" applyBorder="1" applyAlignment="1" applyProtection="1">
      <alignment horizontal="center" vertical="center"/>
      <protection locked="0"/>
    </xf>
    <xf numFmtId="0" fontId="55" fillId="0" borderId="26" xfId="0" applyFont="1" applyFill="1" applyBorder="1" applyAlignment="1" applyProtection="1">
      <alignment horizontal="center" vertical="center"/>
      <protection locked="0"/>
    </xf>
    <xf numFmtId="0" fontId="55" fillId="0" borderId="27" xfId="0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>
      <alignment horizontal="left" vertical="center"/>
    </xf>
    <xf numFmtId="49" fontId="55" fillId="0" borderId="0" xfId="6" applyNumberFormat="1" applyFont="1" applyFill="1" applyBorder="1" applyAlignment="1">
      <alignment vertical="center" wrapText="1"/>
    </xf>
    <xf numFmtId="0" fontId="55" fillId="0" borderId="1" xfId="0" applyFont="1" applyFill="1" applyBorder="1" applyAlignment="1" applyProtection="1">
      <alignment horizontal="right" vertical="center"/>
      <protection locked="0"/>
    </xf>
    <xf numFmtId="0" fontId="59" fillId="0" borderId="61" xfId="0" applyFont="1" applyFill="1" applyBorder="1" applyAlignment="1">
      <alignment horizontal="left" vertical="center" wrapText="1"/>
    </xf>
    <xf numFmtId="0" fontId="15" fillId="0" borderId="61" xfId="0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51" xfId="0" applyFont="1" applyFill="1" applyBorder="1" applyAlignment="1" applyProtection="1">
      <alignment horizontal="center" vertical="center" wrapText="1"/>
      <protection locked="0"/>
    </xf>
    <xf numFmtId="0" fontId="15" fillId="0" borderId="53" xfId="0" applyFont="1" applyFill="1" applyBorder="1" applyAlignment="1" applyProtection="1">
      <alignment horizontal="center" vertical="center" wrapText="1"/>
      <protection locked="0"/>
    </xf>
    <xf numFmtId="0" fontId="83" fillId="0" borderId="1" xfId="0" applyFont="1" applyFill="1" applyBorder="1" applyAlignment="1">
      <alignment horizontal="center" vertical="center" wrapText="1"/>
    </xf>
    <xf numFmtId="0" fontId="83" fillId="0" borderId="52" xfId="0" applyFont="1" applyFill="1" applyBorder="1" applyAlignment="1">
      <alignment horizontal="center" vertical="center" wrapText="1"/>
    </xf>
    <xf numFmtId="0" fontId="83" fillId="0" borderId="32" xfId="0" applyFont="1" applyFill="1" applyBorder="1" applyAlignment="1">
      <alignment horizontal="center" vertical="center" wrapText="1"/>
    </xf>
    <xf numFmtId="0" fontId="83" fillId="0" borderId="6" xfId="0" applyFont="1" applyFill="1" applyBorder="1" applyAlignment="1">
      <alignment horizontal="center" vertical="center" wrapText="1"/>
    </xf>
    <xf numFmtId="0" fontId="83" fillId="0" borderId="13" xfId="0" applyFont="1" applyFill="1" applyBorder="1" applyAlignment="1">
      <alignment horizontal="center" vertical="center" wrapText="1"/>
    </xf>
    <xf numFmtId="4" fontId="15" fillId="0" borderId="51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52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15" fillId="0" borderId="27" xfId="0" applyFont="1" applyFill="1" applyBorder="1" applyAlignment="1">
      <alignment horizontal="left" vertical="center" wrapText="1"/>
    </xf>
    <xf numFmtId="0" fontId="56" fillId="0" borderId="0" xfId="0" applyFont="1" applyFill="1" applyAlignment="1" applyProtection="1">
      <alignment horizontal="left" vertical="center" wrapText="1"/>
      <protection locked="0"/>
    </xf>
    <xf numFmtId="4" fontId="15" fillId="0" borderId="27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08" fillId="0" borderId="0" xfId="0" applyFont="1" applyFill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4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26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58" fillId="0" borderId="0" xfId="0" applyFont="1" applyFill="1" applyAlignment="1" applyProtection="1">
      <alignment horizontal="left" vertical="center"/>
      <protection locked="0"/>
    </xf>
    <xf numFmtId="0" fontId="55" fillId="0" borderId="0" xfId="0" applyFont="1" applyFill="1" applyAlignment="1" applyProtection="1">
      <alignment horizontal="left" vertical="center"/>
      <protection locked="0"/>
    </xf>
    <xf numFmtId="0" fontId="55" fillId="0" borderId="0" xfId="0" applyFont="1" applyFill="1" applyBorder="1" applyAlignment="1" applyProtection="1">
      <alignment horizontal="left" vertical="center" wrapText="1"/>
      <protection locked="0"/>
    </xf>
    <xf numFmtId="0" fontId="55" fillId="0" borderId="0" xfId="0" applyFont="1" applyFill="1" applyAlignment="1" applyProtection="1">
      <alignment vertical="center" wrapText="1"/>
      <protection locked="0"/>
    </xf>
    <xf numFmtId="0" fontId="83" fillId="0" borderId="0" xfId="0" applyFont="1" applyFill="1" applyAlignment="1">
      <alignment vertical="center" wrapText="1"/>
    </xf>
    <xf numFmtId="4" fontId="15" fillId="0" borderId="61" xfId="0" applyNumberFormat="1" applyFont="1" applyFill="1" applyBorder="1" applyAlignment="1" applyProtection="1">
      <alignment horizontal="left" vertical="center" wrapText="1"/>
      <protection locked="0"/>
    </xf>
    <xf numFmtId="0" fontId="55" fillId="0" borderId="57" xfId="0" applyFont="1" applyFill="1" applyBorder="1" applyAlignment="1" applyProtection="1">
      <alignment horizontal="right" vertical="center"/>
      <protection locked="0"/>
    </xf>
    <xf numFmtId="0" fontId="55" fillId="0" borderId="58" xfId="0" applyFont="1" applyFill="1" applyBorder="1" applyAlignment="1" applyProtection="1">
      <alignment horizontal="right" vertical="center"/>
      <protection locked="0"/>
    </xf>
    <xf numFmtId="0" fontId="55" fillId="0" borderId="59" xfId="0" applyFont="1" applyFill="1" applyBorder="1" applyAlignment="1" applyProtection="1">
      <alignment horizontal="right" vertical="center"/>
      <protection locked="0"/>
    </xf>
    <xf numFmtId="0" fontId="15" fillId="0" borderId="57" xfId="0" applyFont="1" applyFill="1" applyBorder="1" applyAlignment="1" applyProtection="1">
      <alignment horizontal="center" vertical="center" wrapText="1"/>
      <protection locked="0"/>
    </xf>
    <xf numFmtId="0" fontId="15" fillId="0" borderId="58" xfId="0" applyFont="1" applyFill="1" applyBorder="1" applyAlignment="1" applyProtection="1">
      <alignment horizontal="center" vertical="center" wrapText="1"/>
      <protection locked="0"/>
    </xf>
    <xf numFmtId="0" fontId="15" fillId="0" borderId="59" xfId="0" applyFont="1" applyFill="1" applyBorder="1" applyAlignment="1" applyProtection="1">
      <alignment horizontal="center" vertical="center" wrapText="1"/>
      <protection locked="0"/>
    </xf>
    <xf numFmtId="0" fontId="55" fillId="0" borderId="61" xfId="0" applyFont="1" applyFill="1" applyBorder="1" applyAlignment="1" applyProtection="1">
      <alignment horizontal="center" vertical="center"/>
      <protection locked="0"/>
    </xf>
    <xf numFmtId="0" fontId="15" fillId="0" borderId="61" xfId="0" applyNumberFormat="1" applyFont="1" applyFill="1" applyBorder="1" applyAlignment="1">
      <alignment horizontal="left" vertical="center" wrapText="1"/>
    </xf>
    <xf numFmtId="0" fontId="58" fillId="0" borderId="57" xfId="0" applyFont="1" applyFill="1" applyBorder="1" applyAlignment="1" applyProtection="1">
      <alignment horizontal="left" vertical="center" wrapText="1"/>
      <protection locked="0"/>
    </xf>
    <xf numFmtId="0" fontId="129" fillId="0" borderId="58" xfId="0" applyFont="1" applyFill="1" applyBorder="1" applyAlignment="1">
      <alignment horizontal="left" vertical="center" wrapText="1"/>
    </xf>
    <xf numFmtId="0" fontId="129" fillId="0" borderId="59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7" xfId="0" applyFont="1" applyFill="1" applyBorder="1" applyAlignment="1">
      <alignment horizontal="left" vertical="top" wrapText="1"/>
    </xf>
    <xf numFmtId="0" fontId="83" fillId="0" borderId="58" xfId="0" applyFont="1" applyFill="1" applyBorder="1" applyAlignment="1">
      <alignment horizontal="left" vertical="top" wrapText="1"/>
    </xf>
    <xf numFmtId="0" fontId="83" fillId="0" borderId="59" xfId="0" applyFont="1" applyFill="1" applyBorder="1" applyAlignment="1">
      <alignment horizontal="left" vertical="top" wrapText="1"/>
    </xf>
    <xf numFmtId="4" fontId="15" fillId="0" borderId="57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58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59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8" xfId="0" applyNumberFormat="1" applyFont="1" applyFill="1" applyBorder="1" applyAlignment="1" applyProtection="1">
      <alignment horizontal="left" vertical="center" wrapText="1"/>
      <protection locked="0"/>
    </xf>
    <xf numFmtId="0" fontId="83" fillId="0" borderId="58" xfId="0" applyFont="1" applyFill="1" applyBorder="1" applyAlignment="1">
      <alignment vertical="center" wrapText="1"/>
    </xf>
    <xf numFmtId="0" fontId="83" fillId="0" borderId="59" xfId="0" applyFont="1" applyFill="1" applyBorder="1" applyAlignment="1">
      <alignment vertical="center" wrapText="1"/>
    </xf>
    <xf numFmtId="0" fontId="83" fillId="0" borderId="1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 applyProtection="1">
      <alignment horizontal="left" vertical="center" wrapText="1"/>
      <protection locked="0"/>
    </xf>
    <xf numFmtId="0" fontId="55" fillId="0" borderId="0" xfId="0" applyFont="1" applyFill="1" applyBorder="1" applyAlignment="1">
      <alignment horizontal="left" vertical="center" wrapText="1"/>
    </xf>
    <xf numFmtId="49" fontId="15" fillId="0" borderId="57" xfId="2" applyNumberFormat="1" applyFont="1" applyFill="1" applyBorder="1" applyAlignment="1">
      <alignment horizontal="left" vertical="center" wrapText="1"/>
    </xf>
    <xf numFmtId="49" fontId="15" fillId="0" borderId="58" xfId="2" applyNumberFormat="1" applyFont="1" applyFill="1" applyBorder="1" applyAlignment="1">
      <alignment horizontal="left" vertical="center" wrapText="1"/>
    </xf>
    <xf numFmtId="49" fontId="15" fillId="0" borderId="59" xfId="2" applyNumberFormat="1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34" xfId="0" applyFont="1" applyFill="1" applyBorder="1" applyAlignment="1" applyProtection="1">
      <alignment horizontal="center" vertical="center" wrapText="1"/>
      <protection locked="0"/>
    </xf>
    <xf numFmtId="0" fontId="83" fillId="0" borderId="52" xfId="0" applyFont="1" applyFill="1" applyBorder="1" applyAlignment="1">
      <alignment vertical="center" wrapText="1"/>
    </xf>
    <xf numFmtId="0" fontId="83" fillId="0" borderId="53" xfId="0" applyFont="1" applyFill="1" applyBorder="1" applyAlignment="1">
      <alignment vertical="center" wrapText="1"/>
    </xf>
    <xf numFmtId="0" fontId="83" fillId="0" borderId="12" xfId="0" applyFont="1" applyFill="1" applyBorder="1" applyAlignment="1">
      <alignment vertical="center" wrapText="1"/>
    </xf>
    <xf numFmtId="0" fontId="83" fillId="0" borderId="13" xfId="0" applyFont="1" applyFill="1" applyBorder="1" applyAlignment="1">
      <alignment vertical="center" wrapText="1"/>
    </xf>
    <xf numFmtId="0" fontId="15" fillId="0" borderId="60" xfId="0" applyFont="1" applyFill="1" applyBorder="1" applyAlignment="1" applyProtection="1">
      <alignment horizontal="center" vertical="center" wrapText="1"/>
      <protection locked="0"/>
    </xf>
    <xf numFmtId="0" fontId="83" fillId="0" borderId="3" xfId="0" applyFont="1" applyFill="1" applyBorder="1" applyAlignment="1">
      <alignment vertical="center" wrapText="1"/>
    </xf>
    <xf numFmtId="0" fontId="83" fillId="0" borderId="58" xfId="0" applyFont="1" applyFill="1" applyBorder="1" applyAlignment="1">
      <alignment horizontal="center" vertical="center" wrapText="1"/>
    </xf>
    <xf numFmtId="0" fontId="83" fillId="0" borderId="59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left" vertical="center" wrapText="1"/>
    </xf>
    <xf numFmtId="4" fontId="15" fillId="0" borderId="30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5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53" xfId="0" applyNumberFormat="1" applyFont="1" applyFill="1" applyBorder="1" applyAlignment="1" applyProtection="1">
      <alignment horizontal="left" vertical="center" wrapText="1"/>
      <protection locked="0"/>
    </xf>
    <xf numFmtId="0" fontId="83" fillId="0" borderId="12" xfId="0" applyFont="1" applyFill="1" applyBorder="1" applyAlignment="1">
      <alignment horizontal="left" vertical="center" wrapText="1"/>
    </xf>
    <xf numFmtId="0" fontId="83" fillId="0" borderId="6" xfId="0" applyFont="1" applyFill="1" applyBorder="1" applyAlignment="1">
      <alignment horizontal="left" vertical="center" wrapText="1"/>
    </xf>
    <xf numFmtId="0" fontId="83" fillId="0" borderId="13" xfId="0" applyFont="1" applyFill="1" applyBorder="1" applyAlignment="1">
      <alignment horizontal="left" vertical="center" wrapText="1"/>
    </xf>
    <xf numFmtId="0" fontId="55" fillId="0" borderId="61" xfId="0" applyFont="1" applyFill="1" applyBorder="1" applyAlignment="1">
      <alignment horizontal="right" vertical="center" wrapText="1"/>
    </xf>
    <xf numFmtId="0" fontId="55" fillId="0" borderId="57" xfId="0" applyFont="1" applyFill="1" applyBorder="1" applyAlignment="1" applyProtection="1">
      <alignment horizontal="center" vertical="center" wrapText="1"/>
      <protection locked="0"/>
    </xf>
    <xf numFmtId="0" fontId="55" fillId="0" borderId="58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left"/>
      <protection locked="0"/>
    </xf>
    <xf numFmtId="0" fontId="55" fillId="0" borderId="57" xfId="0" applyFont="1" applyFill="1" applyBorder="1" applyAlignment="1" applyProtection="1">
      <alignment horizontal="center" vertical="center"/>
      <protection locked="0"/>
    </xf>
    <xf numFmtId="0" fontId="55" fillId="0" borderId="58" xfId="0" applyFont="1" applyFill="1" applyBorder="1" applyAlignment="1" applyProtection="1">
      <alignment horizontal="center" vertical="center"/>
      <protection locked="0"/>
    </xf>
    <xf numFmtId="0" fontId="55" fillId="0" borderId="59" xfId="0" applyFont="1" applyFill="1" applyBorder="1" applyAlignment="1" applyProtection="1">
      <alignment horizontal="center" vertical="center"/>
      <protection locked="0"/>
    </xf>
    <xf numFmtId="0" fontId="15" fillId="0" borderId="61" xfId="0" applyFont="1" applyFill="1" applyBorder="1" applyAlignment="1">
      <alignment horizontal="center" vertical="center" wrapText="1"/>
    </xf>
    <xf numFmtId="0" fontId="15" fillId="0" borderId="61" xfId="0" applyFont="1" applyFill="1" applyBorder="1" applyAlignment="1">
      <alignment vertical="center" wrapText="1"/>
    </xf>
    <xf numFmtId="0" fontId="83" fillId="0" borderId="53" xfId="0" applyFont="1" applyFill="1" applyBorder="1" applyAlignment="1">
      <alignment horizontal="center" vertical="center" wrapText="1"/>
    </xf>
    <xf numFmtId="4" fontId="15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83" fillId="0" borderId="61" xfId="0" applyFont="1" applyFill="1" applyBorder="1" applyAlignment="1">
      <alignment vertical="center" wrapText="1"/>
    </xf>
    <xf numFmtId="0" fontId="83" fillId="0" borderId="58" xfId="0" applyFont="1" applyFill="1" applyBorder="1" applyAlignment="1">
      <alignment horizontal="left" vertical="center" wrapText="1"/>
    </xf>
    <xf numFmtId="0" fontId="83" fillId="0" borderId="59" xfId="0" applyFont="1" applyFill="1" applyBorder="1" applyAlignment="1">
      <alignment horizontal="left" vertical="center" wrapText="1"/>
    </xf>
    <xf numFmtId="0" fontId="59" fillId="0" borderId="57" xfId="0" applyFont="1" applyFill="1" applyBorder="1" applyAlignment="1" applyProtection="1">
      <alignment horizontal="left" vertical="center" wrapText="1"/>
      <protection locked="0"/>
    </xf>
    <xf numFmtId="0" fontId="59" fillId="0" borderId="58" xfId="0" applyFont="1" applyFill="1" applyBorder="1" applyAlignment="1" applyProtection="1">
      <alignment horizontal="left" vertical="center" wrapText="1"/>
      <protection locked="0"/>
    </xf>
    <xf numFmtId="0" fontId="59" fillId="0" borderId="59" xfId="0" applyFont="1" applyFill="1" applyBorder="1" applyAlignment="1" applyProtection="1">
      <alignment horizontal="left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57" xfId="1" applyFont="1" applyFill="1" applyBorder="1" applyAlignment="1">
      <alignment horizontal="left" vertical="center" wrapText="1"/>
    </xf>
    <xf numFmtId="0" fontId="59" fillId="0" borderId="61" xfId="0" applyFont="1" applyFill="1" applyBorder="1" applyAlignment="1" applyProtection="1">
      <alignment horizontal="left" vertical="center" wrapText="1"/>
      <protection locked="0"/>
    </xf>
    <xf numFmtId="0" fontId="84" fillId="0" borderId="61" xfId="0" applyFont="1" applyFill="1" applyBorder="1" applyAlignment="1">
      <alignment horizontal="left" vertical="center" wrapText="1"/>
    </xf>
    <xf numFmtId="4" fontId="15" fillId="0" borderId="28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57" xfId="0" applyFont="1" applyFill="1" applyBorder="1" applyAlignment="1" applyProtection="1">
      <alignment horizontal="right" vertical="center" wrapText="1"/>
      <protection locked="0"/>
    </xf>
    <xf numFmtId="0" fontId="55" fillId="0" borderId="58" xfId="0" applyFont="1" applyFill="1" applyBorder="1" applyAlignment="1" applyProtection="1">
      <alignment horizontal="right" vertical="center" wrapText="1"/>
      <protection locked="0"/>
    </xf>
    <xf numFmtId="0" fontId="83" fillId="0" borderId="58" xfId="0" applyFont="1" applyFill="1" applyBorder="1" applyAlignment="1">
      <alignment horizontal="right" vertical="center" wrapText="1"/>
    </xf>
    <xf numFmtId="0" fontId="83" fillId="0" borderId="59" xfId="0" applyFont="1" applyFill="1" applyBorder="1" applyAlignment="1">
      <alignment horizontal="right" vertical="center" wrapText="1"/>
    </xf>
    <xf numFmtId="0" fontId="15" fillId="0" borderId="25" xfId="1" applyFont="1" applyFill="1" applyBorder="1" applyAlignment="1">
      <alignment horizontal="left" vertical="center" wrapText="1"/>
    </xf>
    <xf numFmtId="0" fontId="15" fillId="0" borderId="8" xfId="1" applyFont="1" applyFill="1" applyBorder="1" applyAlignment="1">
      <alignment horizontal="left" vertical="center" wrapText="1"/>
    </xf>
    <xf numFmtId="0" fontId="15" fillId="0" borderId="26" xfId="1" applyFont="1" applyFill="1" applyBorder="1" applyAlignment="1">
      <alignment horizontal="left" vertical="center" wrapText="1"/>
    </xf>
    <xf numFmtId="0" fontId="15" fillId="0" borderId="51" xfId="0" applyFont="1" applyFill="1" applyBorder="1" applyAlignment="1" applyProtection="1">
      <alignment horizontal="left" vertical="center" wrapText="1"/>
      <protection locked="0"/>
    </xf>
    <xf numFmtId="0" fontId="15" fillId="0" borderId="52" xfId="0" applyFont="1" applyFill="1" applyBorder="1" applyAlignment="1" applyProtection="1">
      <alignment horizontal="left" vertical="center" wrapText="1"/>
      <protection locked="0"/>
    </xf>
    <xf numFmtId="0" fontId="83" fillId="0" borderId="53" xfId="0" applyFont="1" applyFill="1" applyBorder="1" applyAlignment="1">
      <alignment wrapText="1"/>
    </xf>
    <xf numFmtId="0" fontId="55" fillId="0" borderId="61" xfId="0" applyFont="1" applyFill="1" applyBorder="1" applyAlignment="1" applyProtection="1">
      <alignment horizontal="center" vertical="center" wrapText="1"/>
      <protection locked="0"/>
    </xf>
    <xf numFmtId="0" fontId="83" fillId="0" borderId="61" xfId="0" applyFont="1" applyFill="1" applyBorder="1" applyAlignment="1">
      <alignment wrapText="1"/>
    </xf>
    <xf numFmtId="4" fontId="15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124" fillId="0" borderId="0" xfId="0" applyNumberFormat="1" applyFont="1" applyFill="1" applyBorder="1" applyAlignment="1">
      <alignment horizontal="left" vertical="center" wrapText="1"/>
    </xf>
    <xf numFmtId="0" fontId="15" fillId="0" borderId="58" xfId="0" applyFont="1" applyFill="1" applyBorder="1" applyAlignment="1">
      <alignment horizontal="left" vertical="center" wrapText="1"/>
    </xf>
    <xf numFmtId="0" fontId="15" fillId="0" borderId="59" xfId="0" applyFont="1" applyFill="1" applyBorder="1" applyAlignment="1">
      <alignment horizontal="left" vertical="center" wrapText="1"/>
    </xf>
    <xf numFmtId="0" fontId="83" fillId="0" borderId="0" xfId="0" applyFont="1" applyFill="1" applyBorder="1" applyAlignment="1">
      <alignment horizontal="center" vertical="center" wrapText="1"/>
    </xf>
    <xf numFmtId="0" fontId="83" fillId="0" borderId="0" xfId="0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83" fillId="0" borderId="8" xfId="0" applyFont="1" applyFill="1" applyBorder="1" applyAlignment="1">
      <alignment horizontal="left" vertical="center" wrapText="1"/>
    </xf>
    <xf numFmtId="0" fontId="83" fillId="0" borderId="4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83" fillId="0" borderId="10" xfId="0" applyFont="1" applyFill="1" applyBorder="1" applyAlignment="1">
      <alignment horizontal="center" vertical="center" wrapText="1"/>
    </xf>
    <xf numFmtId="4" fontId="58" fillId="0" borderId="57" xfId="0" applyNumberFormat="1" applyFont="1" applyFill="1" applyBorder="1" applyAlignment="1" applyProtection="1">
      <alignment horizontal="left" vertical="center" wrapText="1"/>
      <protection locked="0"/>
    </xf>
    <xf numFmtId="0" fontId="85" fillId="0" borderId="58" xfId="0" applyFont="1" applyFill="1" applyBorder="1" applyAlignment="1">
      <alignment vertical="center" wrapText="1"/>
    </xf>
    <xf numFmtId="0" fontId="85" fillId="0" borderId="59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 applyProtection="1">
      <alignment horizontal="left" vertical="center" wrapText="1"/>
      <protection locked="0"/>
    </xf>
    <xf numFmtId="0" fontId="59" fillId="0" borderId="57" xfId="0" applyFont="1" applyFill="1" applyBorder="1" applyAlignment="1" applyProtection="1">
      <alignment vertical="center" wrapText="1"/>
      <protection locked="0"/>
    </xf>
    <xf numFmtId="0" fontId="84" fillId="0" borderId="58" xfId="0" applyFont="1" applyFill="1" applyBorder="1" applyAlignment="1">
      <alignment vertical="center" wrapText="1"/>
    </xf>
    <xf numFmtId="0" fontId="84" fillId="0" borderId="59" xfId="0" applyFont="1" applyFill="1" applyBorder="1" applyAlignment="1">
      <alignment vertical="center" wrapText="1"/>
    </xf>
    <xf numFmtId="4" fontId="15" fillId="0" borderId="57" xfId="0" applyNumberFormat="1" applyFont="1" applyFill="1" applyBorder="1" applyAlignment="1" applyProtection="1">
      <alignment vertical="center" wrapText="1"/>
      <protection locked="0"/>
    </xf>
    <xf numFmtId="4" fontId="15" fillId="0" borderId="58" xfId="0" applyNumberFormat="1" applyFont="1" applyFill="1" applyBorder="1" applyAlignment="1" applyProtection="1">
      <alignment vertical="center" wrapText="1"/>
      <protection locked="0"/>
    </xf>
    <xf numFmtId="4" fontId="15" fillId="0" borderId="59" xfId="0" applyNumberFormat="1" applyFont="1" applyFill="1" applyBorder="1" applyAlignment="1" applyProtection="1">
      <alignment vertical="center" wrapText="1"/>
      <protection locked="0"/>
    </xf>
    <xf numFmtId="0" fontId="15" fillId="0" borderId="33" xfId="0" applyFont="1" applyFill="1" applyBorder="1" applyAlignment="1" applyProtection="1">
      <alignment horizontal="center" vertical="center" wrapText="1"/>
      <protection locked="0"/>
    </xf>
    <xf numFmtId="0" fontId="15" fillId="0" borderId="60" xfId="0" applyFont="1" applyFill="1" applyBorder="1" applyAlignment="1" applyProtection="1">
      <alignment horizontal="left" vertical="center" wrapText="1"/>
      <protection locked="0"/>
    </xf>
    <xf numFmtId="4" fontId="15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55" fillId="0" borderId="25" xfId="0" applyFont="1" applyFill="1" applyBorder="1" applyAlignment="1" applyProtection="1">
      <alignment horizontal="center" vertical="center"/>
      <protection locked="0"/>
    </xf>
    <xf numFmtId="0" fontId="55" fillId="0" borderId="8" xfId="0" applyFont="1" applyFill="1" applyBorder="1" applyAlignment="1" applyProtection="1">
      <alignment horizontal="center" vertical="center"/>
      <protection locked="0"/>
    </xf>
    <xf numFmtId="0" fontId="15" fillId="0" borderId="7" xfId="1" applyFont="1" applyFill="1" applyBorder="1" applyAlignment="1">
      <alignment horizontal="left" vertical="center" wrapText="1"/>
    </xf>
    <xf numFmtId="0" fontId="55" fillId="0" borderId="25" xfId="0" applyFont="1" applyFill="1" applyBorder="1" applyAlignment="1" applyProtection="1">
      <alignment horizontal="right" vertical="center" wrapText="1"/>
      <protection locked="0"/>
    </xf>
    <xf numFmtId="0" fontId="85" fillId="0" borderId="26" xfId="0" applyFont="1" applyFill="1" applyBorder="1" applyAlignment="1">
      <alignment horizontal="right" vertical="center" wrapText="1"/>
    </xf>
    <xf numFmtId="0" fontId="85" fillId="0" borderId="8" xfId="0" applyFont="1" applyFill="1" applyBorder="1" applyAlignment="1">
      <alignment horizontal="right" vertical="center" wrapText="1"/>
    </xf>
    <xf numFmtId="0" fontId="85" fillId="0" borderId="27" xfId="0" applyFont="1" applyFill="1" applyBorder="1" applyAlignment="1">
      <alignment horizontal="right" vertical="center" wrapText="1"/>
    </xf>
    <xf numFmtId="4" fontId="15" fillId="0" borderId="33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9" fillId="0" borderId="26" xfId="0" applyFont="1" applyFill="1" applyBorder="1" applyAlignment="1" applyProtection="1">
      <alignment horizontal="left" vertical="center" wrapText="1"/>
      <protection locked="0"/>
    </xf>
    <xf numFmtId="0" fontId="59" fillId="0" borderId="8" xfId="0" applyFont="1" applyFill="1" applyBorder="1" applyAlignment="1" applyProtection="1">
      <alignment horizontal="left" vertical="center" wrapText="1"/>
      <protection locked="0"/>
    </xf>
    <xf numFmtId="0" fontId="59" fillId="0" borderId="27" xfId="0" applyFont="1" applyFill="1" applyBorder="1" applyAlignment="1" applyProtection="1">
      <alignment horizontal="left" vertical="center" wrapText="1"/>
      <protection locked="0"/>
    </xf>
    <xf numFmtId="0" fontId="5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51" xfId="0" applyFont="1" applyFill="1" applyBorder="1" applyAlignment="1">
      <alignment horizontal="left" vertical="center" wrapText="1"/>
    </xf>
    <xf numFmtId="0" fontId="83" fillId="0" borderId="52" xfId="0" applyFont="1" applyFill="1" applyBorder="1" applyAlignment="1">
      <alignment horizontal="left" vertical="center" wrapText="1"/>
    </xf>
    <xf numFmtId="0" fontId="83" fillId="0" borderId="11" xfId="0" applyFont="1" applyFill="1" applyBorder="1" applyAlignment="1">
      <alignment horizontal="left" vertical="center" wrapText="1"/>
    </xf>
    <xf numFmtId="0" fontId="83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83" fillId="0" borderId="31" xfId="0" applyFont="1" applyFill="1" applyBorder="1" applyAlignment="1">
      <alignment horizontal="center" vertical="center" wrapText="1"/>
    </xf>
    <xf numFmtId="0" fontId="83" fillId="0" borderId="26" xfId="0" applyFont="1" applyFill="1" applyBorder="1" applyAlignment="1">
      <alignment vertical="center" wrapText="1"/>
    </xf>
    <xf numFmtId="0" fontId="83" fillId="0" borderId="27" xfId="0" applyFont="1" applyFill="1" applyBorder="1" applyAlignment="1">
      <alignment vertical="center" wrapText="1"/>
    </xf>
    <xf numFmtId="0" fontId="55" fillId="0" borderId="26" xfId="0" applyFont="1" applyFill="1" applyBorder="1" applyAlignment="1" applyProtection="1">
      <alignment horizontal="center" vertical="center" wrapText="1"/>
      <protection locked="0"/>
    </xf>
    <xf numFmtId="0" fontId="83" fillId="0" borderId="26" xfId="0" applyFont="1" applyFill="1" applyBorder="1" applyAlignment="1">
      <alignment horizontal="center" vertical="center" wrapText="1"/>
    </xf>
    <xf numFmtId="0" fontId="83" fillId="0" borderId="27" xfId="0" applyFont="1" applyFill="1" applyBorder="1" applyAlignment="1">
      <alignment horizontal="center" vertical="center" wrapText="1"/>
    </xf>
    <xf numFmtId="0" fontId="56" fillId="0" borderId="0" xfId="0" applyFont="1" applyFill="1" applyAlignment="1" applyProtection="1">
      <alignment horizontal="left" vertical="center"/>
      <protection locked="0"/>
    </xf>
    <xf numFmtId="4" fontId="15" fillId="0" borderId="57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0" xfId="0" applyNumberFormat="1" applyFont="1" applyFill="1" applyAlignment="1" applyProtection="1">
      <alignment horizontal="left" vertical="center" wrapText="1"/>
      <protection locked="0"/>
    </xf>
    <xf numFmtId="1" fontId="15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59" fillId="0" borderId="8" xfId="0" applyFont="1" applyFill="1" applyBorder="1" applyAlignment="1">
      <alignment horizontal="left" vertical="center" wrapText="1"/>
    </xf>
    <xf numFmtId="0" fontId="55" fillId="0" borderId="1" xfId="0" applyFont="1" applyFill="1" applyBorder="1" applyAlignment="1">
      <alignment horizontal="left" vertical="center" wrapText="1"/>
    </xf>
    <xf numFmtId="0" fontId="15" fillId="0" borderId="7" xfId="83" applyFont="1" applyFill="1" applyBorder="1" applyAlignment="1">
      <alignment horizontal="left" vertical="center" wrapText="1"/>
    </xf>
    <xf numFmtId="0" fontId="15" fillId="0" borderId="8" xfId="83" applyFont="1" applyFill="1" applyBorder="1" applyAlignment="1">
      <alignment horizontal="left" vertical="center" wrapText="1"/>
    </xf>
    <xf numFmtId="0" fontId="15" fillId="0" borderId="26" xfId="83" applyFont="1" applyFill="1" applyBorder="1" applyAlignment="1">
      <alignment horizontal="left" vertical="center" wrapText="1"/>
    </xf>
    <xf numFmtId="0" fontId="15" fillId="0" borderId="27" xfId="83" applyFont="1" applyFill="1" applyBorder="1" applyAlignment="1">
      <alignment horizontal="left" vertical="center" wrapText="1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0" fontId="55" fillId="0" borderId="7" xfId="0" applyFont="1" applyFill="1" applyBorder="1" applyAlignment="1" applyProtection="1">
      <alignment horizontal="right" vertical="center" wrapText="1"/>
      <protection locked="0"/>
    </xf>
    <xf numFmtId="0" fontId="15" fillId="0" borderId="1" xfId="1" applyFont="1" applyFill="1" applyBorder="1" applyAlignment="1">
      <alignment horizontal="left" vertical="center" wrapText="1"/>
    </xf>
    <xf numFmtId="0" fontId="83" fillId="0" borderId="53" xfId="0" applyFont="1" applyFill="1" applyBorder="1" applyAlignment="1">
      <alignment horizontal="left" vertical="center" wrapText="1"/>
    </xf>
    <xf numFmtId="0" fontId="84" fillId="0" borderId="58" xfId="0" applyFont="1" applyFill="1" applyBorder="1" applyAlignment="1">
      <alignment horizontal="left" vertical="center" wrapText="1"/>
    </xf>
    <xf numFmtId="0" fontId="84" fillId="0" borderId="59" xfId="0" applyFont="1" applyFill="1" applyBorder="1" applyAlignment="1">
      <alignment horizontal="left" vertical="center" wrapText="1"/>
    </xf>
    <xf numFmtId="4" fontId="15" fillId="0" borderId="9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31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8" xfId="2" applyNumberFormat="1" applyFont="1" applyFill="1" applyBorder="1" applyAlignment="1">
      <alignment horizontal="left" vertical="center" wrapText="1"/>
    </xf>
    <xf numFmtId="49" fontId="15" fillId="0" borderId="4" xfId="2" applyNumberFormat="1" applyFont="1" applyFill="1" applyBorder="1" applyAlignment="1">
      <alignment horizontal="left" vertical="center" wrapText="1"/>
    </xf>
    <xf numFmtId="4" fontId="59" fillId="0" borderId="57" xfId="0" applyNumberFormat="1" applyFont="1" applyFill="1" applyBorder="1" applyAlignment="1" applyProtection="1">
      <alignment horizontal="left" vertical="center" wrapText="1"/>
      <protection locked="0"/>
    </xf>
    <xf numFmtId="4" fontId="59" fillId="0" borderId="58" xfId="0" applyNumberFormat="1" applyFont="1" applyFill="1" applyBorder="1" applyAlignment="1" applyProtection="1">
      <alignment horizontal="left" vertical="center" wrapText="1"/>
      <protection locked="0"/>
    </xf>
    <xf numFmtId="4" fontId="59" fillId="0" borderId="59" xfId="0" applyNumberFormat="1" applyFont="1" applyFill="1" applyBorder="1" applyAlignment="1" applyProtection="1">
      <alignment horizontal="left" vertical="center" wrapText="1"/>
      <protection locked="0"/>
    </xf>
    <xf numFmtId="0" fontId="59" fillId="0" borderId="57" xfId="9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60" xfId="0" applyFont="1" applyFill="1" applyBorder="1" applyAlignment="1">
      <alignment vertical="center" wrapText="1"/>
    </xf>
    <xf numFmtId="0" fontId="83" fillId="0" borderId="14" xfId="0" applyFont="1" applyFill="1" applyBorder="1" applyAlignment="1">
      <alignment vertical="center" wrapText="1"/>
    </xf>
    <xf numFmtId="0" fontId="15" fillId="0" borderId="61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center" wrapText="1"/>
    </xf>
    <xf numFmtId="0" fontId="83" fillId="0" borderId="3" xfId="0" applyFont="1" applyFill="1" applyBorder="1" applyAlignment="1">
      <alignment horizontal="left" vertical="center" wrapText="1"/>
    </xf>
    <xf numFmtId="0" fontId="10" fillId="29" borderId="0" xfId="0" applyFont="1" applyFill="1" applyAlignment="1" applyProtection="1">
      <alignment horizontal="center" vertical="center" wrapText="1"/>
      <protection locked="0"/>
    </xf>
    <xf numFmtId="0" fontId="10" fillId="29" borderId="0" xfId="0" applyFont="1" applyFill="1" applyBorder="1" applyAlignment="1" applyProtection="1">
      <alignment horizontal="center" vertical="center" wrapText="1"/>
      <protection locked="0"/>
    </xf>
    <xf numFmtId="4" fontId="15" fillId="29" borderId="0" xfId="0" applyNumberFormat="1" applyFont="1" applyFill="1" applyBorder="1" applyAlignment="1">
      <alignment horizontal="center" vertical="center"/>
    </xf>
    <xf numFmtId="0" fontId="108" fillId="29" borderId="0" xfId="0" applyFont="1" applyFill="1" applyAlignment="1" applyProtection="1">
      <alignment horizontal="left" vertical="center" wrapText="1"/>
      <protection locked="0"/>
    </xf>
    <xf numFmtId="0" fontId="56" fillId="29" borderId="0" xfId="0" applyFont="1" applyFill="1" applyAlignment="1" applyProtection="1">
      <alignment horizontal="left" vertical="center"/>
      <protection locked="0"/>
    </xf>
    <xf numFmtId="0" fontId="56" fillId="29" borderId="0" xfId="0" applyFont="1" applyFill="1" applyAlignment="1" applyProtection="1">
      <alignment horizontal="left" vertical="center" wrapText="1"/>
      <protection locked="0"/>
    </xf>
    <xf numFmtId="0" fontId="108" fillId="29" borderId="0" xfId="0" applyFont="1" applyFill="1" applyAlignment="1" applyProtection="1">
      <alignment horizontal="left" vertical="center"/>
      <protection locked="0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8" xfId="0" applyBorder="1" applyAlignment="1">
      <alignment horizontal="left" vertical="center" wrapText="1"/>
    </xf>
    <xf numFmtId="0" fontId="0" fillId="0" borderId="58" xfId="0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55" fillId="29" borderId="0" xfId="0" applyFont="1" applyFill="1" applyAlignment="1" applyProtection="1">
      <alignment vertical="center" wrapText="1"/>
      <protection locked="0"/>
    </xf>
    <xf numFmtId="0" fontId="83" fillId="29" borderId="0" xfId="0" applyFont="1" applyFill="1" applyAlignment="1">
      <alignment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15" fillId="29" borderId="61" xfId="0" applyFont="1" applyFill="1" applyBorder="1" applyAlignment="1" applyProtection="1">
      <alignment horizontal="center" vertical="center" wrapText="1"/>
      <protection locked="0"/>
    </xf>
    <xf numFmtId="0" fontId="0" fillId="0" borderId="61" xfId="0" applyBorder="1" applyAlignment="1">
      <alignment vertical="center" wrapText="1"/>
    </xf>
    <xf numFmtId="4" fontId="15" fillId="29" borderId="6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1" xfId="0" applyBorder="1" applyAlignment="1">
      <alignment horizontal="center" vertical="center" wrapText="1"/>
    </xf>
    <xf numFmtId="0" fontId="55" fillId="29" borderId="7" xfId="0" applyFont="1" applyFill="1" applyBorder="1" applyAlignment="1" applyProtection="1">
      <alignment horizontal="center" vertical="center"/>
      <protection locked="0"/>
    </xf>
    <xf numFmtId="0" fontId="55" fillId="29" borderId="26" xfId="0" applyFont="1" applyFill="1" applyBorder="1" applyAlignment="1" applyProtection="1">
      <alignment horizontal="center" vertical="center"/>
      <protection locked="0"/>
    </xf>
    <xf numFmtId="0" fontId="55" fillId="29" borderId="8" xfId="0" applyFont="1" applyFill="1" applyBorder="1" applyAlignment="1" applyProtection="1">
      <alignment horizontal="center" vertical="center"/>
      <protection locked="0"/>
    </xf>
    <xf numFmtId="0" fontId="55" fillId="29" borderId="27" xfId="0" applyFont="1" applyFill="1" applyBorder="1" applyAlignment="1" applyProtection="1">
      <alignment horizontal="center" vertical="center"/>
      <protection locked="0"/>
    </xf>
    <xf numFmtId="0" fontId="15" fillId="29" borderId="0" xfId="0" applyFont="1" applyFill="1" applyAlignment="1" applyProtection="1">
      <alignment horizontal="left" vertical="center" wrapText="1"/>
      <protection locked="0"/>
    </xf>
    <xf numFmtId="0" fontId="15" fillId="29" borderId="59" xfId="0" applyFont="1" applyFill="1" applyBorder="1" applyAlignment="1" applyProtection="1">
      <alignment horizontal="center" vertical="center" wrapText="1"/>
      <protection locked="0"/>
    </xf>
    <xf numFmtId="4" fontId="15" fillId="29" borderId="1" xfId="0" applyNumberFormat="1" applyFont="1" applyFill="1" applyBorder="1" applyAlignment="1" applyProtection="1">
      <alignment horizontal="left" vertical="center" wrapText="1"/>
      <protection locked="0"/>
    </xf>
    <xf numFmtId="0" fontId="55" fillId="29" borderId="1" xfId="0" applyFont="1" applyFill="1" applyBorder="1" applyAlignment="1" applyProtection="1">
      <alignment horizontal="center" vertical="center"/>
      <protection locked="0"/>
    </xf>
    <xf numFmtId="0" fontId="15" fillId="29" borderId="6" xfId="0" applyFont="1" applyFill="1" applyBorder="1" applyAlignment="1" applyProtection="1">
      <alignment horizontal="left" vertical="center" wrapText="1"/>
      <protection locked="0"/>
    </xf>
    <xf numFmtId="0" fontId="15" fillId="29" borderId="1" xfId="0" applyFont="1" applyFill="1" applyBorder="1" applyAlignment="1" applyProtection="1">
      <alignment horizontal="center" vertical="center" wrapText="1"/>
      <protection locked="0"/>
    </xf>
    <xf numFmtId="0" fontId="15" fillId="29" borderId="7" xfId="0" applyFont="1" applyFill="1" applyBorder="1" applyAlignment="1" applyProtection="1">
      <alignment horizontal="center" vertical="center" wrapText="1"/>
      <protection locked="0"/>
    </xf>
    <xf numFmtId="0" fontId="15" fillId="29" borderId="8" xfId="0" applyFont="1" applyFill="1" applyBorder="1" applyAlignment="1" applyProtection="1">
      <alignment horizontal="center" vertical="center" wrapText="1"/>
      <protection locked="0"/>
    </xf>
    <xf numFmtId="0" fontId="15" fillId="29" borderId="4" xfId="0" applyFont="1" applyFill="1" applyBorder="1" applyAlignment="1" applyProtection="1">
      <alignment horizontal="center" vertical="center" wrapText="1"/>
      <protection locked="0"/>
    </xf>
    <xf numFmtId="4" fontId="15" fillId="29" borderId="0" xfId="0" applyNumberFormat="1" applyFont="1" applyFill="1" applyAlignment="1" applyProtection="1">
      <alignment horizontal="left" vertical="center" wrapText="1"/>
      <protection locked="0"/>
    </xf>
    <xf numFmtId="4" fontId="15" fillId="29" borderId="9" xfId="0" applyNumberFormat="1" applyFont="1" applyFill="1" applyBorder="1" applyAlignment="1" applyProtection="1">
      <alignment horizontal="left" vertical="center" wrapText="1"/>
      <protection locked="0"/>
    </xf>
    <xf numFmtId="4" fontId="15" fillId="29" borderId="52" xfId="0" applyNumberFormat="1" applyFont="1" applyFill="1" applyBorder="1" applyAlignment="1" applyProtection="1">
      <alignment horizontal="left" vertical="center" wrapText="1"/>
      <protection locked="0"/>
    </xf>
    <xf numFmtId="4" fontId="15" fillId="29" borderId="31" xfId="0" applyNumberFormat="1" applyFont="1" applyFill="1" applyBorder="1" applyAlignment="1" applyProtection="1">
      <alignment horizontal="left" vertical="center" wrapText="1"/>
      <protection locked="0"/>
    </xf>
    <xf numFmtId="4" fontId="15" fillId="29" borderId="10" xfId="0" applyNumberFormat="1" applyFont="1" applyFill="1" applyBorder="1" applyAlignment="1" applyProtection="1">
      <alignment horizontal="left" vertical="center" wrapText="1"/>
      <protection locked="0"/>
    </xf>
    <xf numFmtId="0" fontId="15" fillId="29" borderId="51" xfId="0" applyFont="1" applyFill="1" applyBorder="1" applyAlignment="1" applyProtection="1">
      <alignment horizontal="center" vertical="center" wrapText="1"/>
      <protection locked="0"/>
    </xf>
    <xf numFmtId="0" fontId="15" fillId="29" borderId="57" xfId="0" applyFont="1" applyFill="1" applyBorder="1" applyAlignment="1" applyProtection="1">
      <alignment horizontal="center" vertical="center" wrapText="1"/>
      <protection locked="0"/>
    </xf>
    <xf numFmtId="0" fontId="55" fillId="29" borderId="7" xfId="0" applyFont="1" applyFill="1" applyBorder="1" applyAlignment="1" applyProtection="1">
      <alignment horizontal="center" vertical="center" wrapText="1"/>
      <protection locked="0"/>
    </xf>
    <xf numFmtId="0" fontId="55" fillId="29" borderId="26" xfId="0" applyFont="1" applyFill="1" applyBorder="1" applyAlignment="1" applyProtection="1">
      <alignment horizontal="center" vertical="center" wrapText="1"/>
      <protection locked="0"/>
    </xf>
    <xf numFmtId="0" fontId="55" fillId="29" borderId="8" xfId="0" applyFont="1" applyFill="1" applyBorder="1" applyAlignment="1" applyProtection="1">
      <alignment horizontal="center" vertical="center" wrapText="1"/>
      <protection locked="0"/>
    </xf>
    <xf numFmtId="0" fontId="83" fillId="29" borderId="26" xfId="0" applyFont="1" applyFill="1" applyBorder="1" applyAlignment="1">
      <alignment horizontal="center" vertical="center" wrapText="1"/>
    </xf>
    <xf numFmtId="0" fontId="83" fillId="29" borderId="27" xfId="0" applyFont="1" applyFill="1" applyBorder="1" applyAlignment="1">
      <alignment horizontal="center" vertical="center" wrapText="1"/>
    </xf>
    <xf numFmtId="0" fontId="15" fillId="29" borderId="2" xfId="0" applyFont="1" applyFill="1" applyBorder="1" applyAlignment="1" applyProtection="1">
      <alignment horizontal="center" vertical="center" wrapText="1"/>
      <protection locked="0"/>
    </xf>
    <xf numFmtId="0" fontId="15" fillId="29" borderId="3" xfId="0" applyFont="1" applyFill="1" applyBorder="1" applyAlignment="1" applyProtection="1">
      <alignment horizontal="center" vertical="center" wrapText="1"/>
      <protection locked="0"/>
    </xf>
    <xf numFmtId="0" fontId="15" fillId="29" borderId="30" xfId="0" applyFont="1" applyFill="1" applyBorder="1" applyAlignment="1" applyProtection="1">
      <alignment horizontal="center" vertical="center" wrapText="1"/>
      <protection locked="0"/>
    </xf>
    <xf numFmtId="0" fontId="15" fillId="29" borderId="52" xfId="0" applyFont="1" applyFill="1" applyBorder="1" applyAlignment="1" applyProtection="1">
      <alignment horizontal="center" vertical="center" wrapText="1"/>
      <protection locked="0"/>
    </xf>
    <xf numFmtId="0" fontId="15" fillId="29" borderId="31" xfId="0" applyFont="1" applyFill="1" applyBorder="1" applyAlignment="1" applyProtection="1">
      <alignment horizontal="center" vertical="center" wrapText="1"/>
      <protection locked="0"/>
    </xf>
    <xf numFmtId="0" fontId="83" fillId="29" borderId="31" xfId="0" applyFont="1" applyFill="1" applyBorder="1" applyAlignment="1">
      <alignment horizontal="center" vertical="center" wrapText="1"/>
    </xf>
    <xf numFmtId="0" fontId="83" fillId="29" borderId="32" xfId="0" applyFont="1" applyFill="1" applyBorder="1" applyAlignment="1">
      <alignment horizontal="center" vertical="center" wrapText="1"/>
    </xf>
    <xf numFmtId="0" fontId="15" fillId="29" borderId="12" xfId="0" applyFont="1" applyFill="1" applyBorder="1" applyAlignment="1" applyProtection="1">
      <alignment horizontal="center" vertical="center" wrapText="1"/>
      <protection locked="0"/>
    </xf>
    <xf numFmtId="0" fontId="15" fillId="29" borderId="6" xfId="0" applyFont="1" applyFill="1" applyBorder="1" applyAlignment="1" applyProtection="1">
      <alignment horizontal="center" vertical="center" wrapText="1"/>
      <protection locked="0"/>
    </xf>
    <xf numFmtId="0" fontId="83" fillId="29" borderId="6" xfId="0" applyFont="1" applyFill="1" applyBorder="1" applyAlignment="1">
      <alignment horizontal="center" vertical="center" wrapText="1"/>
    </xf>
    <xf numFmtId="0" fontId="83" fillId="29" borderId="13" xfId="0" applyFont="1" applyFill="1" applyBorder="1" applyAlignment="1">
      <alignment horizontal="center" vertical="center" wrapText="1"/>
    </xf>
    <xf numFmtId="4" fontId="15" fillId="29" borderId="7" xfId="0" applyNumberFormat="1" applyFont="1" applyFill="1" applyBorder="1" applyAlignment="1" applyProtection="1">
      <alignment horizontal="left" vertical="center" wrapText="1"/>
      <protection locked="0"/>
    </xf>
    <xf numFmtId="4" fontId="15" fillId="29" borderId="8" xfId="0" applyNumberFormat="1" applyFont="1" applyFill="1" applyBorder="1" applyAlignment="1" applyProtection="1">
      <alignment horizontal="left" vertical="center" wrapText="1"/>
      <protection locked="0"/>
    </xf>
    <xf numFmtId="4" fontId="15" fillId="29" borderId="26" xfId="0" applyNumberFormat="1" applyFont="1" applyFill="1" applyBorder="1" applyAlignment="1" applyProtection="1">
      <alignment horizontal="left" vertical="center" wrapText="1"/>
      <protection locked="0"/>
    </xf>
    <xf numFmtId="0" fontId="83" fillId="29" borderId="26" xfId="0" applyFont="1" applyFill="1" applyBorder="1" applyAlignment="1">
      <alignment vertical="center" wrapText="1"/>
    </xf>
    <xf numFmtId="0" fontId="83" fillId="29" borderId="27" xfId="0" applyFont="1" applyFill="1" applyBorder="1" applyAlignment="1">
      <alignment vertical="center" wrapText="1"/>
    </xf>
    <xf numFmtId="1" fontId="15" fillId="29" borderId="61" xfId="0" applyNumberFormat="1" applyFont="1" applyFill="1" applyBorder="1" applyAlignment="1" applyProtection="1">
      <alignment horizontal="center" vertical="center" wrapText="1"/>
      <protection locked="0"/>
    </xf>
    <xf numFmtId="0" fontId="59" fillId="29" borderId="61" xfId="0" applyFont="1" applyFill="1" applyBorder="1" applyAlignment="1" applyProtection="1">
      <alignment horizontal="left" vertical="center" wrapText="1"/>
      <protection locked="0"/>
    </xf>
    <xf numFmtId="0" fontId="113" fillId="0" borderId="61" xfId="0" applyFont="1" applyBorder="1" applyAlignment="1">
      <alignment horizontal="left" vertical="center" wrapText="1"/>
    </xf>
    <xf numFmtId="0" fontId="15" fillId="29" borderId="61" xfId="0" applyFont="1" applyFill="1" applyBorder="1" applyAlignment="1" applyProtection="1">
      <alignment horizontal="left" vertical="center" wrapText="1"/>
      <protection locked="0"/>
    </xf>
    <xf numFmtId="0" fontId="0" fillId="0" borderId="61" xfId="0" applyBorder="1" applyAlignment="1">
      <alignment horizontal="left" vertical="center" wrapText="1"/>
    </xf>
    <xf numFmtId="0" fontId="15" fillId="29" borderId="53" xfId="0" applyFont="1" applyFill="1" applyBorder="1" applyAlignment="1" applyProtection="1">
      <alignment horizontal="center" vertical="center" wrapText="1"/>
      <protection locked="0"/>
    </xf>
    <xf numFmtId="0" fontId="15" fillId="29" borderId="13" xfId="0" applyFont="1" applyFill="1" applyBorder="1" applyAlignment="1" applyProtection="1">
      <alignment horizontal="center" vertical="center" wrapText="1"/>
      <protection locked="0"/>
    </xf>
    <xf numFmtId="0" fontId="59" fillId="29" borderId="57" xfId="0" applyFont="1" applyFill="1" applyBorder="1" applyAlignment="1" applyProtection="1">
      <alignment horizontal="left" vertical="center" wrapText="1"/>
      <protection locked="0"/>
    </xf>
    <xf numFmtId="0" fontId="59" fillId="29" borderId="58" xfId="0" applyFont="1" applyFill="1" applyBorder="1" applyAlignment="1" applyProtection="1">
      <alignment horizontal="left" vertical="center" wrapText="1"/>
      <protection locked="0"/>
    </xf>
    <xf numFmtId="0" fontId="59" fillId="29" borderId="59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15" fillId="29" borderId="28" xfId="0" applyNumberFormat="1" applyFont="1" applyFill="1" applyBorder="1" applyAlignment="1" applyProtection="1">
      <alignment horizontal="center" vertical="center" wrapText="1"/>
      <protection locked="0"/>
    </xf>
    <xf numFmtId="4" fontId="15" fillId="29" borderId="52" xfId="0" applyNumberFormat="1" applyFont="1" applyFill="1" applyBorder="1" applyAlignment="1" applyProtection="1">
      <alignment horizontal="center" vertical="center" wrapText="1"/>
      <protection locked="0"/>
    </xf>
    <xf numFmtId="4" fontId="15" fillId="29" borderId="29" xfId="0" applyNumberFormat="1" applyFont="1" applyFill="1" applyBorder="1" applyAlignment="1" applyProtection="1">
      <alignment horizontal="center" vertical="center" wrapText="1"/>
      <protection locked="0"/>
    </xf>
    <xf numFmtId="4" fontId="15" fillId="29" borderId="12" xfId="0" applyNumberFormat="1" applyFont="1" applyFill="1" applyBorder="1" applyAlignment="1" applyProtection="1">
      <alignment horizontal="center" vertical="center" wrapText="1"/>
      <protection locked="0"/>
    </xf>
    <xf numFmtId="4" fontId="15" fillId="29" borderId="6" xfId="0" applyNumberFormat="1" applyFont="1" applyFill="1" applyBorder="1" applyAlignment="1" applyProtection="1">
      <alignment horizontal="center" vertical="center" wrapText="1"/>
      <protection locked="0"/>
    </xf>
    <xf numFmtId="4" fontId="15" fillId="29" borderId="7" xfId="0" applyNumberFormat="1" applyFont="1" applyFill="1" applyBorder="1" applyAlignment="1" applyProtection="1">
      <alignment horizontal="center" vertical="center" wrapText="1"/>
      <protection locked="0"/>
    </xf>
    <xf numFmtId="4" fontId="15" fillId="29" borderId="27" xfId="0" applyNumberFormat="1" applyFont="1" applyFill="1" applyBorder="1" applyAlignment="1" applyProtection="1">
      <alignment horizontal="center" vertical="center" wrapText="1"/>
      <protection locked="0"/>
    </xf>
    <xf numFmtId="4" fontId="15" fillId="29" borderId="25" xfId="0" applyNumberFormat="1" applyFont="1" applyFill="1" applyBorder="1" applyAlignment="1" applyProtection="1">
      <alignment horizontal="left" vertical="center" wrapText="1"/>
      <protection locked="0"/>
    </xf>
    <xf numFmtId="4" fontId="15" fillId="29" borderId="1" xfId="0" applyNumberFormat="1" applyFont="1" applyFill="1" applyBorder="1" applyAlignment="1" applyProtection="1">
      <alignment horizontal="center" vertical="center" wrapText="1"/>
      <protection locked="0"/>
    </xf>
    <xf numFmtId="0" fontId="55" fillId="29" borderId="57" xfId="0" applyFont="1" applyFill="1" applyBorder="1" applyAlignment="1" applyProtection="1">
      <alignment horizontal="right" vertical="center" wrapText="1"/>
      <protection locked="0"/>
    </xf>
    <xf numFmtId="0" fontId="55" fillId="29" borderId="58" xfId="0" applyFont="1" applyFill="1" applyBorder="1" applyAlignment="1" applyProtection="1">
      <alignment horizontal="right" vertical="center" wrapText="1"/>
      <protection locked="0"/>
    </xf>
    <xf numFmtId="0" fontId="0" fillId="0" borderId="58" xfId="0" applyBorder="1" applyAlignment="1">
      <alignment horizontal="right" vertical="center" wrapText="1"/>
    </xf>
    <xf numFmtId="0" fontId="0" fillId="0" borderId="59" xfId="0" applyBorder="1" applyAlignment="1">
      <alignment horizontal="right" vertical="center" wrapText="1"/>
    </xf>
    <xf numFmtId="0" fontId="15" fillId="29" borderId="58" xfId="0" applyFont="1" applyFill="1" applyBorder="1" applyAlignment="1" applyProtection="1">
      <alignment horizontal="center" vertical="center" wrapText="1"/>
      <protection locked="0"/>
    </xf>
    <xf numFmtId="0" fontId="55" fillId="29" borderId="25" xfId="0" applyFont="1" applyFill="1" applyBorder="1" applyAlignment="1" applyProtection="1">
      <alignment horizontal="center" vertical="center"/>
      <protection locked="0"/>
    </xf>
    <xf numFmtId="4" fontId="55" fillId="29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29" borderId="5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59" xfId="0" applyBorder="1" applyAlignment="1">
      <alignment horizontal="left" vertical="center" wrapText="1"/>
    </xf>
    <xf numFmtId="0" fontId="59" fillId="29" borderId="7" xfId="0" applyFont="1" applyFill="1" applyBorder="1" applyAlignment="1" applyProtection="1">
      <alignment horizontal="left" vertical="center" wrapText="1"/>
      <protection locked="0"/>
    </xf>
    <xf numFmtId="0" fontId="59" fillId="29" borderId="26" xfId="0" applyFont="1" applyFill="1" applyBorder="1" applyAlignment="1" applyProtection="1">
      <alignment horizontal="left" vertical="center" wrapText="1"/>
      <protection locked="0"/>
    </xf>
    <xf numFmtId="0" fontId="59" fillId="29" borderId="8" xfId="0" applyFont="1" applyFill="1" applyBorder="1" applyAlignment="1" applyProtection="1">
      <alignment horizontal="left" vertical="center" wrapText="1"/>
      <protection locked="0"/>
    </xf>
    <xf numFmtId="0" fontId="59" fillId="29" borderId="27" xfId="0" applyFont="1" applyFill="1" applyBorder="1" applyAlignment="1" applyProtection="1">
      <alignment horizontal="left" vertical="center" wrapText="1"/>
      <protection locked="0"/>
    </xf>
    <xf numFmtId="0" fontId="15" fillId="29" borderId="25" xfId="1" applyFont="1" applyFill="1" applyBorder="1" applyAlignment="1">
      <alignment horizontal="left" vertical="center" wrapText="1"/>
    </xf>
    <xf numFmtId="0" fontId="15" fillId="29" borderId="8" xfId="1" applyFont="1" applyFill="1" applyBorder="1" applyAlignment="1">
      <alignment horizontal="left" vertical="center" wrapText="1"/>
    </xf>
    <xf numFmtId="0" fontId="15" fillId="29" borderId="26" xfId="1" applyFont="1" applyFill="1" applyBorder="1" applyAlignment="1">
      <alignment horizontal="left" vertical="center" wrapText="1"/>
    </xf>
    <xf numFmtId="4" fontId="15" fillId="29" borderId="5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52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4" fillId="29" borderId="1" xfId="0" applyFont="1" applyFill="1" applyBorder="1" applyAlignment="1" applyProtection="1">
      <alignment horizontal="left" vertical="center" wrapText="1"/>
      <protection locked="0"/>
    </xf>
    <xf numFmtId="0" fontId="15" fillId="29" borderId="1" xfId="1" applyFont="1" applyFill="1" applyBorder="1" applyAlignment="1">
      <alignment horizontal="left" vertical="center" wrapText="1"/>
    </xf>
    <xf numFmtId="0" fontId="55" fillId="29" borderId="7" xfId="0" applyFont="1" applyFill="1" applyBorder="1" applyAlignment="1" applyProtection="1">
      <alignment horizontal="right" vertical="center" wrapText="1"/>
      <protection locked="0"/>
    </xf>
    <xf numFmtId="0" fontId="85" fillId="29" borderId="26" xfId="0" applyFont="1" applyFill="1" applyBorder="1" applyAlignment="1">
      <alignment horizontal="right" vertical="center" wrapText="1"/>
    </xf>
    <xf numFmtId="0" fontId="85" fillId="29" borderId="8" xfId="0" applyFont="1" applyFill="1" applyBorder="1" applyAlignment="1">
      <alignment horizontal="right" vertical="center" wrapText="1"/>
    </xf>
    <xf numFmtId="0" fontId="85" fillId="29" borderId="27" xfId="0" applyFont="1" applyFill="1" applyBorder="1" applyAlignment="1">
      <alignment horizontal="right" vertical="center" wrapText="1"/>
    </xf>
    <xf numFmtId="0" fontId="107" fillId="29" borderId="7" xfId="0" applyFont="1" applyFill="1" applyBorder="1" applyAlignment="1">
      <alignment horizontal="left" vertical="center" wrapText="1"/>
    </xf>
    <xf numFmtId="0" fontId="107" fillId="29" borderId="26" xfId="0" applyFont="1" applyFill="1" applyBorder="1" applyAlignment="1">
      <alignment horizontal="left" vertical="center" wrapText="1"/>
    </xf>
    <xf numFmtId="0" fontId="4" fillId="29" borderId="1" xfId="0" applyFont="1" applyFill="1" applyBorder="1" applyAlignment="1">
      <alignment horizontal="left" vertical="center" wrapText="1"/>
    </xf>
    <xf numFmtId="0" fontId="4" fillId="29" borderId="7" xfId="0" applyFont="1" applyFill="1" applyBorder="1" applyAlignment="1" applyProtection="1">
      <alignment horizontal="left" vertical="center" wrapText="1"/>
      <protection locked="0"/>
    </xf>
    <xf numFmtId="0" fontId="4" fillId="29" borderId="8" xfId="0" applyFont="1" applyFill="1" applyBorder="1" applyAlignment="1" applyProtection="1">
      <alignment horizontal="left" vertical="center" wrapText="1"/>
      <protection locked="0"/>
    </xf>
    <xf numFmtId="0" fontId="4" fillId="29" borderId="4" xfId="0" applyFont="1" applyFill="1" applyBorder="1" applyAlignment="1" applyProtection="1">
      <alignment horizontal="left" vertical="center" wrapText="1"/>
      <protection locked="0"/>
    </xf>
    <xf numFmtId="0" fontId="15" fillId="29" borderId="7" xfId="1" applyFont="1" applyFill="1" applyBorder="1" applyAlignment="1">
      <alignment horizontal="left" vertical="center" wrapText="1"/>
    </xf>
    <xf numFmtId="0" fontId="55" fillId="29" borderId="25" xfId="0" applyFont="1" applyFill="1" applyBorder="1" applyAlignment="1" applyProtection="1">
      <alignment horizontal="right" vertical="center" wrapText="1"/>
      <protection locked="0"/>
    </xf>
    <xf numFmtId="0" fontId="0" fillId="0" borderId="52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15" fillId="29" borderId="57" xfId="1" applyFont="1" applyFill="1" applyBorder="1" applyAlignment="1">
      <alignment horizontal="left" vertical="center" wrapText="1"/>
    </xf>
    <xf numFmtId="0" fontId="55" fillId="29" borderId="61" xfId="0" applyFont="1" applyFill="1" applyBorder="1" applyAlignment="1" applyProtection="1">
      <alignment horizontal="center" vertical="center"/>
      <protection locked="0"/>
    </xf>
    <xf numFmtId="0" fontId="83" fillId="29" borderId="8" xfId="0" applyFont="1" applyFill="1" applyBorder="1" applyAlignment="1">
      <alignment horizontal="center" vertical="center" wrapText="1"/>
    </xf>
    <xf numFmtId="0" fontId="83" fillId="29" borderId="4" xfId="0" applyFont="1" applyFill="1" applyBorder="1" applyAlignment="1">
      <alignment horizontal="center" vertical="center" wrapText="1"/>
    </xf>
    <xf numFmtId="0" fontId="4" fillId="29" borderId="60" xfId="0" applyFont="1" applyFill="1" applyBorder="1" applyAlignment="1" applyProtection="1">
      <alignment horizontal="left" vertical="center" wrapText="1"/>
      <protection locked="0"/>
    </xf>
    <xf numFmtId="0" fontId="5" fillId="29" borderId="1" xfId="0" applyFont="1" applyFill="1" applyBorder="1" applyAlignment="1" applyProtection="1">
      <alignment horizontal="left" vertical="center" wrapText="1"/>
      <protection locked="0"/>
    </xf>
    <xf numFmtId="4" fontId="15" fillId="29" borderId="61" xfId="0" applyNumberFormat="1" applyFont="1" applyFill="1" applyBorder="1" applyAlignment="1" applyProtection="1">
      <alignment horizontal="left" vertical="center" wrapText="1"/>
      <protection locked="0"/>
    </xf>
    <xf numFmtId="0" fontId="55" fillId="29" borderId="61" xfId="0" applyFont="1" applyFill="1" applyBorder="1" applyAlignment="1" applyProtection="1">
      <alignment horizontal="center" vertical="center" wrapText="1"/>
      <protection locked="0"/>
    </xf>
    <xf numFmtId="0" fontId="15" fillId="29" borderId="33" xfId="0" applyFont="1" applyFill="1" applyBorder="1" applyAlignment="1" applyProtection="1">
      <alignment horizontal="center" vertical="center" wrapText="1"/>
      <protection locked="0"/>
    </xf>
    <xf numFmtId="0" fontId="15" fillId="29" borderId="32" xfId="0" applyFon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4" fontId="15" fillId="29" borderId="33" xfId="0" applyNumberFormat="1" applyFont="1" applyFill="1" applyBorder="1" applyAlignment="1" applyProtection="1">
      <alignment horizontal="center" vertical="center" wrapText="1"/>
      <protection locked="0"/>
    </xf>
    <xf numFmtId="4" fontId="15" fillId="29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3" xfId="0" applyBorder="1" applyAlignment="1">
      <alignment wrapText="1"/>
    </xf>
    <xf numFmtId="0" fontId="0" fillId="0" borderId="61" xfId="0" applyBorder="1" applyAlignment="1">
      <alignment wrapText="1"/>
    </xf>
    <xf numFmtId="0" fontId="4" fillId="29" borderId="26" xfId="0" applyFont="1" applyFill="1" applyBorder="1" applyAlignment="1" applyProtection="1">
      <alignment horizontal="left" vertical="center" wrapText="1"/>
      <protection locked="0"/>
    </xf>
    <xf numFmtId="0" fontId="4" fillId="29" borderId="1" xfId="0" applyFont="1" applyFill="1" applyBorder="1" applyAlignment="1" applyProtection="1">
      <alignment horizontal="center" vertical="center" wrapText="1"/>
      <protection locked="0"/>
    </xf>
    <xf numFmtId="0" fontId="5" fillId="29" borderId="1" xfId="0" applyFont="1" applyFill="1" applyBorder="1" applyAlignment="1" applyProtection="1">
      <alignment horizontal="center" vertical="center"/>
      <protection locked="0"/>
    </xf>
    <xf numFmtId="0" fontId="5" fillId="29" borderId="7" xfId="0" applyFont="1" applyFill="1" applyBorder="1" applyAlignment="1" applyProtection="1">
      <alignment horizontal="center" vertical="center"/>
      <protection locked="0"/>
    </xf>
    <xf numFmtId="0" fontId="5" fillId="29" borderId="26" xfId="0" applyFont="1" applyFill="1" applyBorder="1" applyAlignment="1" applyProtection="1">
      <alignment horizontal="center" vertical="center"/>
      <protection locked="0"/>
    </xf>
    <xf numFmtId="0" fontId="5" fillId="29" borderId="8" xfId="0" applyFont="1" applyFill="1" applyBorder="1" applyAlignment="1" applyProtection="1">
      <alignment horizontal="center" vertical="center"/>
      <protection locked="0"/>
    </xf>
    <xf numFmtId="0" fontId="5" fillId="29" borderId="27" xfId="0" applyFont="1" applyFill="1" applyBorder="1" applyAlignment="1" applyProtection="1">
      <alignment horizontal="center" vertical="center"/>
      <protection locked="0"/>
    </xf>
    <xf numFmtId="0" fontId="4" fillId="29" borderId="12" xfId="0" applyFont="1" applyFill="1" applyBorder="1" applyAlignment="1" applyProtection="1">
      <alignment horizontal="left" vertical="center" wrapText="1"/>
      <protection locked="0"/>
    </xf>
    <xf numFmtId="0" fontId="4" fillId="29" borderId="6" xfId="0" applyFont="1" applyFill="1" applyBorder="1" applyAlignment="1" applyProtection="1">
      <alignment horizontal="left" vertical="center" wrapText="1"/>
      <protection locked="0"/>
    </xf>
    <xf numFmtId="0" fontId="4" fillId="29" borderId="7" xfId="0" applyFont="1" applyFill="1" applyBorder="1" applyAlignment="1" applyProtection="1">
      <alignment horizontal="center" vertical="center" wrapText="1"/>
      <protection locked="0"/>
    </xf>
    <xf numFmtId="0" fontId="4" fillId="29" borderId="27" xfId="0" applyFont="1" applyFill="1" applyBorder="1" applyAlignment="1" applyProtection="1">
      <alignment horizontal="center" vertical="center" wrapText="1"/>
      <protection locked="0"/>
    </xf>
    <xf numFmtId="0" fontId="15" fillId="29" borderId="7" xfId="83" applyFont="1" applyFill="1" applyBorder="1" applyAlignment="1">
      <alignment horizontal="left" vertical="center" wrapText="1"/>
    </xf>
    <xf numFmtId="0" fontId="15" fillId="29" borderId="8" xfId="83" applyFont="1" applyFill="1" applyBorder="1" applyAlignment="1">
      <alignment horizontal="left" vertical="center" wrapText="1"/>
    </xf>
    <xf numFmtId="0" fontId="15" fillId="29" borderId="26" xfId="83" applyFont="1" applyFill="1" applyBorder="1" applyAlignment="1">
      <alignment horizontal="left" vertical="center" wrapText="1"/>
    </xf>
    <xf numFmtId="0" fontId="15" fillId="29" borderId="27" xfId="83" applyFont="1" applyFill="1" applyBorder="1" applyAlignment="1">
      <alignment horizontal="left" vertical="center" wrapText="1"/>
    </xf>
    <xf numFmtId="0" fontId="107" fillId="29" borderId="8" xfId="0" applyFont="1" applyFill="1" applyBorder="1" applyAlignment="1">
      <alignment horizontal="left" vertical="center" wrapText="1"/>
    </xf>
    <xf numFmtId="0" fontId="5" fillId="29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4" fontId="15" fillId="29" borderId="57" xfId="0" applyNumberFormat="1" applyFont="1" applyFill="1" applyBorder="1" applyAlignment="1" applyProtection="1">
      <alignment vertical="center" wrapText="1"/>
      <protection locked="0"/>
    </xf>
    <xf numFmtId="4" fontId="15" fillId="29" borderId="58" xfId="0" applyNumberFormat="1" applyFont="1" applyFill="1" applyBorder="1" applyAlignment="1" applyProtection="1">
      <alignment vertical="center" wrapText="1"/>
      <protection locked="0"/>
    </xf>
    <xf numFmtId="4" fontId="15" fillId="29" borderId="59" xfId="0" applyNumberFormat="1" applyFont="1" applyFill="1" applyBorder="1" applyAlignment="1" applyProtection="1">
      <alignment vertical="center" wrapText="1"/>
      <protection locked="0"/>
    </xf>
    <xf numFmtId="0" fontId="15" fillId="29" borderId="60" xfId="0" applyFont="1" applyFill="1" applyBorder="1" applyAlignment="1" applyProtection="1">
      <alignment horizontal="center" vertical="center" wrapText="1"/>
      <protection locked="0"/>
    </xf>
    <xf numFmtId="0" fontId="113" fillId="0" borderId="58" xfId="0" applyFont="1" applyBorder="1" applyAlignment="1">
      <alignment horizontal="left" vertical="center" wrapText="1"/>
    </xf>
    <xf numFmtId="0" fontId="113" fillId="0" borderId="59" xfId="0" applyFont="1" applyBorder="1" applyAlignment="1">
      <alignment horizontal="left" vertical="center" wrapText="1"/>
    </xf>
    <xf numFmtId="4" fontId="58" fillId="29" borderId="57" xfId="0" applyNumberFormat="1" applyFont="1" applyFill="1" applyBorder="1" applyAlignment="1" applyProtection="1">
      <alignment horizontal="left" vertical="center" wrapText="1"/>
      <protection locked="0"/>
    </xf>
    <xf numFmtId="0" fontId="121" fillId="0" borderId="58" xfId="0" applyFont="1" applyBorder="1" applyAlignment="1">
      <alignment vertical="center" wrapText="1"/>
    </xf>
    <xf numFmtId="0" fontId="121" fillId="0" borderId="59" xfId="0" applyFont="1" applyBorder="1" applyAlignment="1">
      <alignment vertical="center" wrapText="1"/>
    </xf>
    <xf numFmtId="0" fontId="4" fillId="29" borderId="61" xfId="0" applyFont="1" applyFill="1" applyBorder="1" applyAlignment="1" applyProtection="1">
      <alignment horizontal="center" vertical="center" wrapText="1"/>
      <protection locked="0"/>
    </xf>
    <xf numFmtId="0" fontId="0" fillId="0" borderId="61" xfId="0" applyFill="1" applyBorder="1" applyAlignment="1">
      <alignment horizontal="left" vertical="center" wrapText="1"/>
    </xf>
    <xf numFmtId="0" fontId="55" fillId="29" borderId="1" xfId="0" applyFont="1" applyFill="1" applyBorder="1" applyAlignment="1" applyProtection="1">
      <alignment horizontal="right" vertical="center"/>
      <protection locked="0"/>
    </xf>
    <xf numFmtId="0" fontId="113" fillId="0" borderId="26" xfId="0" applyFont="1" applyBorder="1" applyAlignment="1">
      <alignment horizontal="left" vertical="center" wrapText="1"/>
    </xf>
    <xf numFmtId="0" fontId="113" fillId="0" borderId="27" xfId="0" applyFont="1" applyBorder="1" applyAlignment="1">
      <alignment horizontal="left" vertical="center" wrapText="1"/>
    </xf>
    <xf numFmtId="0" fontId="15" fillId="29" borderId="1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113" fillId="0" borderId="58" xfId="0" applyFont="1" applyBorder="1" applyAlignment="1">
      <alignment vertical="center" wrapText="1"/>
    </xf>
    <xf numFmtId="0" fontId="113" fillId="0" borderId="59" xfId="0" applyFont="1" applyBorder="1" applyAlignment="1">
      <alignment vertical="center" wrapText="1"/>
    </xf>
    <xf numFmtId="4" fontId="15" fillId="29" borderId="4" xfId="0" applyNumberFormat="1" applyFont="1" applyFill="1" applyBorder="1" applyAlignment="1" applyProtection="1">
      <alignment horizontal="left" vertical="center" wrapText="1"/>
      <protection locked="0"/>
    </xf>
    <xf numFmtId="0" fontId="15" fillId="29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5" fillId="29" borderId="26" xfId="0" applyFont="1" applyFill="1" applyBorder="1" applyAlignment="1" applyProtection="1">
      <alignment horizontal="center" vertical="center" wrapText="1"/>
      <protection locked="0"/>
    </xf>
    <xf numFmtId="0" fontId="15" fillId="29" borderId="27" xfId="0" applyFont="1" applyFill="1" applyBorder="1" applyAlignment="1" applyProtection="1">
      <alignment horizontal="center" vertical="center" wrapText="1"/>
      <protection locked="0"/>
    </xf>
    <xf numFmtId="4" fontId="15" fillId="29" borderId="27" xfId="0" applyNumberFormat="1" applyFont="1" applyFill="1" applyBorder="1" applyAlignment="1" applyProtection="1">
      <alignment horizontal="left" vertical="center" wrapText="1"/>
      <protection locked="0"/>
    </xf>
    <xf numFmtId="49" fontId="15" fillId="29" borderId="7" xfId="2" applyNumberFormat="1" applyFont="1" applyFill="1" applyBorder="1" applyAlignment="1">
      <alignment horizontal="left" vertical="center" wrapText="1"/>
    </xf>
    <xf numFmtId="49" fontId="15" fillId="29" borderId="8" xfId="2" applyNumberFormat="1" applyFont="1" applyFill="1" applyBorder="1" applyAlignment="1">
      <alignment horizontal="left" vertical="center" wrapText="1"/>
    </xf>
    <xf numFmtId="49" fontId="15" fillId="29" borderId="4" xfId="2" applyNumberFormat="1" applyFont="1" applyFill="1" applyBorder="1" applyAlignment="1">
      <alignment horizontal="left" vertical="center" wrapText="1"/>
    </xf>
    <xf numFmtId="0" fontId="15" fillId="0" borderId="61" xfId="0" applyNumberFormat="1" applyFont="1" applyBorder="1" applyAlignment="1">
      <alignment horizontal="left" vertical="center" wrapText="1"/>
    </xf>
    <xf numFmtId="0" fontId="55" fillId="29" borderId="57" xfId="0" applyFont="1" applyFill="1" applyBorder="1" applyAlignment="1" applyProtection="1">
      <alignment horizontal="center" vertical="center"/>
      <protection locked="0"/>
    </xf>
    <xf numFmtId="0" fontId="55" fillId="29" borderId="58" xfId="0" applyFont="1" applyFill="1" applyBorder="1" applyAlignment="1" applyProtection="1">
      <alignment horizontal="center" vertical="center"/>
      <protection locked="0"/>
    </xf>
    <xf numFmtId="0" fontId="55" fillId="29" borderId="59" xfId="0" applyFont="1" applyFill="1" applyBorder="1" applyAlignment="1" applyProtection="1">
      <alignment horizontal="center" vertical="center"/>
      <protection locked="0"/>
    </xf>
    <xf numFmtId="0" fontId="15" fillId="29" borderId="7" xfId="0" applyFont="1" applyFill="1" applyBorder="1" applyAlignment="1">
      <alignment horizontal="left" vertical="center" wrapText="1"/>
    </xf>
    <xf numFmtId="0" fontId="15" fillId="29" borderId="58" xfId="0" applyFont="1" applyFill="1" applyBorder="1" applyAlignment="1">
      <alignment horizontal="left" vertical="center" wrapText="1"/>
    </xf>
    <xf numFmtId="0" fontId="15" fillId="29" borderId="59" xfId="0" applyFont="1" applyFill="1" applyBorder="1" applyAlignment="1">
      <alignment horizontal="left" vertical="center" wrapText="1"/>
    </xf>
    <xf numFmtId="4" fontId="15" fillId="29" borderId="58" xfId="0" applyNumberFormat="1" applyFont="1" applyFill="1" applyBorder="1" applyAlignment="1" applyProtection="1">
      <alignment horizontal="left" vertical="center" wrapText="1"/>
      <protection locked="0"/>
    </xf>
    <xf numFmtId="4" fontId="15" fillId="29" borderId="59" xfId="0" applyNumberFormat="1" applyFont="1" applyFill="1" applyBorder="1" applyAlignment="1" applyProtection="1">
      <alignment horizontal="left" vertical="center" wrapText="1"/>
      <protection locked="0"/>
    </xf>
    <xf numFmtId="0" fontId="4" fillId="0" borderId="61" xfId="0" applyFont="1" applyFill="1" applyBorder="1" applyAlignment="1">
      <alignment horizontal="left" vertical="top" wrapText="1"/>
    </xf>
    <xf numFmtId="0" fontId="0" fillId="0" borderId="52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107" fillId="0" borderId="7" xfId="0" applyFont="1" applyFill="1" applyBorder="1" applyAlignment="1">
      <alignment horizontal="left" vertical="center" wrapText="1"/>
    </xf>
    <xf numFmtId="0" fontId="107" fillId="0" borderId="2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52" xfId="0" applyFill="1" applyBorder="1" applyAlignment="1">
      <alignment horizontal="left" vertical="center" wrapText="1"/>
    </xf>
    <xf numFmtId="0" fontId="0" fillId="0" borderId="53" xfId="0" applyFill="1" applyBorder="1" applyAlignment="1">
      <alignment horizontal="left" vertical="center" wrapText="1"/>
    </xf>
    <xf numFmtId="0" fontId="0" fillId="0" borderId="61" xfId="0" applyFill="1" applyBorder="1" applyAlignment="1">
      <alignment horizontal="center" vertical="center" wrapText="1"/>
    </xf>
    <xf numFmtId="4" fontId="15" fillId="29" borderId="0" xfId="3" applyNumberFormat="1" applyFont="1" applyFill="1" applyAlignment="1">
      <alignment horizontal="right" vertical="center"/>
    </xf>
    <xf numFmtId="0" fontId="4" fillId="29" borderId="61" xfId="0" applyFont="1" applyFill="1" applyBorder="1" applyAlignment="1">
      <alignment horizontal="left" vertical="center" wrapText="1"/>
    </xf>
    <xf numFmtId="0" fontId="10" fillId="29" borderId="0" xfId="3" applyFont="1" applyFill="1" applyAlignment="1">
      <alignment horizontal="center" vertical="center"/>
    </xf>
    <xf numFmtId="0" fontId="15" fillId="0" borderId="7" xfId="0" applyFont="1" applyFill="1" applyBorder="1" applyAlignment="1">
      <alignment horizontal="left" vertical="top" wrapText="1"/>
    </xf>
    <xf numFmtId="0" fontId="15" fillId="0" borderId="26" xfId="0" applyFont="1" applyFill="1" applyBorder="1" applyAlignment="1">
      <alignment horizontal="left" vertical="top" wrapText="1"/>
    </xf>
    <xf numFmtId="0" fontId="59" fillId="0" borderId="7" xfId="0" applyFont="1" applyFill="1" applyBorder="1" applyAlignment="1" applyProtection="1">
      <alignment horizontal="left" vertical="center"/>
      <protection locked="0"/>
    </xf>
    <xf numFmtId="0" fontId="59" fillId="0" borderId="26" xfId="0" applyFont="1" applyFill="1" applyBorder="1" applyAlignment="1" applyProtection="1">
      <alignment horizontal="left" vertical="center"/>
      <protection locked="0"/>
    </xf>
    <xf numFmtId="0" fontId="59" fillId="0" borderId="27" xfId="0" applyFont="1" applyFill="1" applyBorder="1" applyAlignment="1" applyProtection="1">
      <alignment horizontal="left" vertical="center"/>
      <protection locked="0"/>
    </xf>
    <xf numFmtId="0" fontId="9" fillId="0" borderId="57" xfId="0" applyFont="1" applyFill="1" applyBorder="1" applyAlignment="1">
      <alignment horizontal="left" vertical="center" wrapText="1"/>
    </xf>
    <xf numFmtId="0" fontId="131" fillId="0" borderId="58" xfId="0" applyFont="1" applyFill="1" applyBorder="1" applyAlignment="1">
      <alignment horizontal="left" wrapText="1"/>
    </xf>
    <xf numFmtId="0" fontId="131" fillId="0" borderId="59" xfId="0" applyFont="1" applyFill="1" applyBorder="1" applyAlignment="1">
      <alignment horizontal="left" wrapText="1"/>
    </xf>
    <xf numFmtId="0" fontId="9" fillId="0" borderId="57" xfId="0" applyFont="1" applyFill="1" applyBorder="1" applyAlignment="1">
      <alignment vertical="top" wrapText="1"/>
    </xf>
    <xf numFmtId="0" fontId="83" fillId="0" borderId="59" xfId="0" applyFont="1" applyFill="1" applyBorder="1" applyAlignment="1">
      <alignment vertical="top" wrapText="1"/>
    </xf>
    <xf numFmtId="0" fontId="15" fillId="0" borderId="57" xfId="0" applyFont="1" applyFill="1" applyBorder="1" applyAlignment="1">
      <alignment vertical="top" wrapText="1"/>
    </xf>
    <xf numFmtId="0" fontId="15" fillId="0" borderId="6" xfId="0" applyFont="1" applyFill="1" applyBorder="1" applyAlignment="1">
      <alignment horizontal="left" vertical="center" wrapText="1"/>
    </xf>
    <xf numFmtId="49" fontId="55" fillId="0" borderId="7" xfId="0" applyNumberFormat="1" applyFont="1" applyFill="1" applyBorder="1" applyAlignment="1">
      <alignment horizontal="right" vertical="center" wrapText="1"/>
    </xf>
    <xf numFmtId="49" fontId="55" fillId="0" borderId="58" xfId="0" applyNumberFormat="1" applyFont="1" applyFill="1" applyBorder="1" applyAlignment="1">
      <alignment horizontal="right" vertical="center" wrapText="1"/>
    </xf>
    <xf numFmtId="49" fontId="55" fillId="0" borderId="59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 applyProtection="1">
      <alignment horizontal="center" vertical="center"/>
      <protection locked="0"/>
    </xf>
    <xf numFmtId="0" fontId="56" fillId="0" borderId="0" xfId="0" applyFont="1" applyFill="1" applyAlignment="1">
      <alignment horizontal="left" vertical="center" wrapText="1"/>
    </xf>
    <xf numFmtId="0" fontId="126" fillId="0" borderId="0" xfId="0" applyFont="1" applyFill="1" applyAlignment="1">
      <alignment horizontal="left" vertical="center" wrapText="1"/>
    </xf>
    <xf numFmtId="0" fontId="84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5" fillId="0" borderId="57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15" fillId="0" borderId="26" xfId="0" applyFont="1" applyFill="1" applyBorder="1" applyAlignment="1" applyProtection="1">
      <alignment horizontal="center" vertical="center"/>
      <protection locked="0"/>
    </xf>
    <xf numFmtId="0" fontId="15" fillId="0" borderId="27" xfId="0" applyFont="1" applyFill="1" applyBorder="1" applyAlignment="1" applyProtection="1">
      <alignment horizontal="center" vertical="center"/>
      <protection locked="0"/>
    </xf>
    <xf numFmtId="0" fontId="15" fillId="0" borderId="57" xfId="0" applyFont="1" applyFill="1" applyBorder="1" applyAlignment="1">
      <alignment horizontal="center" vertical="center" wrapText="1"/>
    </xf>
    <xf numFmtId="0" fontId="15" fillId="0" borderId="58" xfId="0" applyFont="1" applyFill="1" applyBorder="1" applyAlignment="1">
      <alignment horizontal="center" vertical="center" wrapText="1"/>
    </xf>
    <xf numFmtId="0" fontId="15" fillId="0" borderId="59" xfId="0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horizontal="left" vertical="center" wrapText="1" shrinkToFit="1"/>
      <protection locked="0"/>
    </xf>
    <xf numFmtId="49" fontId="55" fillId="0" borderId="0" xfId="0" applyNumberFormat="1" applyFont="1" applyFill="1" applyAlignment="1" applyProtection="1">
      <alignment horizontal="left" vertical="center" wrapText="1"/>
      <protection locked="0"/>
    </xf>
    <xf numFmtId="0" fontId="85" fillId="0" borderId="0" xfId="0" applyFont="1" applyFill="1" applyAlignment="1">
      <alignment horizontal="left" vertical="center" wrapText="1"/>
    </xf>
    <xf numFmtId="0" fontId="55" fillId="0" borderId="57" xfId="0" applyFont="1" applyFill="1" applyBorder="1" applyAlignment="1">
      <alignment horizontal="center" vertical="center" wrapText="1"/>
    </xf>
    <xf numFmtId="0" fontId="55" fillId="0" borderId="58" xfId="0" applyFont="1" applyFill="1" applyBorder="1" applyAlignment="1">
      <alignment horizontal="center" vertical="center" wrapText="1"/>
    </xf>
    <xf numFmtId="0" fontId="55" fillId="0" borderId="59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 applyProtection="1">
      <alignment horizontal="left" vertical="center"/>
      <protection locked="0"/>
    </xf>
    <xf numFmtId="49" fontId="55" fillId="0" borderId="57" xfId="0" applyNumberFormat="1" applyFont="1" applyFill="1" applyBorder="1" applyAlignment="1">
      <alignment horizontal="right" vertical="center" wrapText="1"/>
    </xf>
    <xf numFmtId="0" fontId="15" fillId="0" borderId="57" xfId="0" applyFont="1" applyFill="1" applyBorder="1" applyAlignment="1" applyProtection="1">
      <alignment horizontal="left" vertical="center" wrapText="1"/>
      <protection locked="0"/>
    </xf>
    <xf numFmtId="4" fontId="15" fillId="0" borderId="58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10" fillId="29" borderId="0" xfId="0" applyFont="1" applyFill="1" applyAlignment="1" applyProtection="1">
      <alignment horizontal="center" vertical="center"/>
      <protection locked="0"/>
    </xf>
    <xf numFmtId="0" fontId="113" fillId="0" borderId="0" xfId="0" applyFont="1" applyFill="1" applyAlignment="1">
      <alignment horizontal="left" vertical="center" wrapText="1"/>
    </xf>
    <xf numFmtId="0" fontId="9" fillId="29" borderId="0" xfId="0" applyFont="1" applyFill="1" applyAlignment="1" applyProtection="1">
      <alignment horizontal="left" vertical="center" wrapText="1" shrinkToFit="1"/>
      <protection locked="0"/>
    </xf>
    <xf numFmtId="0" fontId="20" fillId="0" borderId="57" xfId="0" applyFont="1" applyFill="1" applyBorder="1" applyAlignment="1">
      <alignment horizontal="center" vertical="center" wrapText="1"/>
    </xf>
    <xf numFmtId="0" fontId="20" fillId="0" borderId="58" xfId="0" applyFont="1" applyFill="1" applyBorder="1" applyAlignment="1">
      <alignment horizontal="center" vertical="center" wrapText="1"/>
    </xf>
    <xf numFmtId="0" fontId="20" fillId="0" borderId="59" xfId="0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center" vertical="center" wrapText="1"/>
    </xf>
    <xf numFmtId="0" fontId="19" fillId="0" borderId="59" xfId="0" applyFont="1" applyFill="1" applyBorder="1" applyAlignment="1">
      <alignment horizontal="center" vertical="center" wrapText="1"/>
    </xf>
    <xf numFmtId="0" fontId="121" fillId="0" borderId="0" xfId="0" applyFont="1" applyAlignment="1">
      <alignment horizontal="left" vertical="center" wrapText="1"/>
    </xf>
    <xf numFmtId="0" fontId="0" fillId="0" borderId="6" xfId="0" applyFill="1" applyBorder="1" applyAlignment="1">
      <alignment vertical="center" wrapText="1"/>
    </xf>
    <xf numFmtId="0" fontId="15" fillId="29" borderId="57" xfId="0" applyFont="1" applyFill="1" applyBorder="1" applyAlignment="1">
      <alignment horizontal="left" vertical="center" wrapText="1"/>
    </xf>
    <xf numFmtId="0" fontId="55" fillId="29" borderId="57" xfId="0" applyFont="1" applyFill="1" applyBorder="1" applyAlignment="1" applyProtection="1">
      <alignment horizontal="right" vertical="center"/>
      <protection locked="0"/>
    </xf>
    <xf numFmtId="0" fontId="55" fillId="29" borderId="58" xfId="0" applyFont="1" applyFill="1" applyBorder="1" applyAlignment="1" applyProtection="1">
      <alignment horizontal="right" vertical="center"/>
      <protection locked="0"/>
    </xf>
    <xf numFmtId="0" fontId="55" fillId="29" borderId="59" xfId="0" applyFont="1" applyFill="1" applyBorder="1" applyAlignment="1" applyProtection="1">
      <alignment horizontal="right" vertical="center"/>
      <protection locked="0"/>
    </xf>
    <xf numFmtId="4" fontId="15" fillId="29" borderId="57" xfId="0" applyNumberFormat="1" applyFont="1" applyFill="1" applyBorder="1" applyAlignment="1" applyProtection="1">
      <alignment horizontal="center" vertical="center" wrapText="1"/>
      <protection locked="0"/>
    </xf>
    <xf numFmtId="4" fontId="15" fillId="29" borderId="58" xfId="0" applyNumberFormat="1" applyFont="1" applyFill="1" applyBorder="1" applyAlignment="1" applyProtection="1">
      <alignment horizontal="center" vertical="center" wrapText="1"/>
      <protection locked="0"/>
    </xf>
    <xf numFmtId="4" fontId="15" fillId="29" borderId="5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58" xfId="0" applyFont="1" applyFill="1" applyBorder="1" applyAlignment="1">
      <alignment horizontal="left" vertical="center" wrapText="1"/>
    </xf>
    <xf numFmtId="0" fontId="15" fillId="29" borderId="57" xfId="0" applyFont="1" applyFill="1" applyBorder="1" applyAlignment="1" applyProtection="1">
      <alignment horizontal="left" vertical="center" wrapText="1"/>
      <protection locked="0"/>
    </xf>
    <xf numFmtId="0" fontId="106" fillId="29" borderId="6" xfId="0" applyFont="1" applyFill="1" applyBorder="1" applyAlignment="1" applyProtection="1">
      <alignment horizontal="left" vertical="center" wrapText="1"/>
      <protection locked="0"/>
    </xf>
    <xf numFmtId="0" fontId="106" fillId="29" borderId="1" xfId="0" applyFont="1" applyFill="1" applyBorder="1" applyAlignment="1" applyProtection="1">
      <alignment horizontal="center" vertical="center" wrapText="1"/>
      <protection locked="0"/>
    </xf>
    <xf numFmtId="0" fontId="106" fillId="29" borderId="1" xfId="0" applyFont="1" applyFill="1" applyBorder="1" applyAlignment="1" applyProtection="1">
      <alignment horizontal="center" vertical="center"/>
      <protection locked="0"/>
    </xf>
    <xf numFmtId="0" fontId="106" fillId="29" borderId="7" xfId="0" applyFont="1" applyFill="1" applyBorder="1" applyAlignment="1" applyProtection="1">
      <alignment horizontal="center" vertical="center"/>
      <protection locked="0"/>
    </xf>
    <xf numFmtId="0" fontId="106" fillId="29" borderId="26" xfId="0" applyFont="1" applyFill="1" applyBorder="1" applyAlignment="1" applyProtection="1">
      <alignment horizontal="center" vertical="center"/>
      <protection locked="0"/>
    </xf>
    <xf numFmtId="0" fontId="106" fillId="29" borderId="27" xfId="0" applyFont="1" applyFill="1" applyBorder="1" applyAlignment="1" applyProtection="1">
      <alignment horizontal="center" vertical="center"/>
      <protection locked="0"/>
    </xf>
    <xf numFmtId="0" fontId="106" fillId="29" borderId="0" xfId="0" applyFont="1" applyFill="1" applyAlignment="1" applyProtection="1">
      <alignment horizontal="left" vertical="center" wrapText="1"/>
      <protection locked="0"/>
    </xf>
    <xf numFmtId="0" fontId="106" fillId="29" borderId="7" xfId="0" applyFont="1" applyFill="1" applyBorder="1" applyAlignment="1" applyProtection="1">
      <alignment horizontal="center" vertical="center" wrapText="1"/>
      <protection locked="0"/>
    </xf>
    <xf numFmtId="0" fontId="106" fillId="29" borderId="26" xfId="0" applyFont="1" applyFill="1" applyBorder="1" applyAlignment="1" applyProtection="1">
      <alignment horizontal="center" vertical="center" wrapText="1"/>
      <protection locked="0"/>
    </xf>
    <xf numFmtId="0" fontId="106" fillId="29" borderId="27" xfId="0" applyFont="1" applyFill="1" applyBorder="1" applyAlignment="1" applyProtection="1">
      <alignment horizontal="center" vertical="center" wrapText="1"/>
      <protection locked="0"/>
    </xf>
    <xf numFmtId="0" fontId="106" fillId="29" borderId="7" xfId="0" applyFont="1" applyFill="1" applyBorder="1" applyAlignment="1" applyProtection="1">
      <alignment horizontal="left" vertical="center" wrapText="1"/>
      <protection locked="0"/>
    </xf>
    <xf numFmtId="0" fontId="106" fillId="29" borderId="26" xfId="0" applyFont="1" applyFill="1" applyBorder="1" applyAlignment="1" applyProtection="1">
      <alignment horizontal="left" vertical="center"/>
      <protection locked="0"/>
    </xf>
    <xf numFmtId="0" fontId="20" fillId="0" borderId="6" xfId="0" applyFont="1" applyFill="1" applyBorder="1" applyAlignment="1">
      <alignment horizontal="left" vertical="center" wrapText="1"/>
    </xf>
    <xf numFmtId="49" fontId="15" fillId="0" borderId="61" xfId="0" applyNumberFormat="1" applyFont="1" applyFill="1" applyBorder="1" applyAlignment="1">
      <alignment horizontal="left" vertical="center" wrapText="1"/>
    </xf>
    <xf numFmtId="0" fontId="59" fillId="29" borderId="7" xfId="0" applyFont="1" applyFill="1" applyBorder="1" applyAlignment="1" applyProtection="1">
      <alignment horizontal="left" vertical="center"/>
      <protection locked="0"/>
    </xf>
    <xf numFmtId="0" fontId="59" fillId="29" borderId="26" xfId="0" applyFont="1" applyFill="1" applyBorder="1" applyAlignment="1" applyProtection="1">
      <alignment horizontal="left" vertical="center"/>
      <protection locked="0"/>
    </xf>
    <xf numFmtId="0" fontId="59" fillId="29" borderId="27" xfId="0" applyFont="1" applyFill="1" applyBorder="1" applyAlignment="1" applyProtection="1">
      <alignment horizontal="left" vertical="center"/>
      <protection locked="0"/>
    </xf>
    <xf numFmtId="0" fontId="15" fillId="29" borderId="7" xfId="0" applyFont="1" applyFill="1" applyBorder="1" applyAlignment="1" applyProtection="1">
      <alignment horizontal="left" vertical="center" wrapText="1"/>
      <protection locked="0"/>
    </xf>
    <xf numFmtId="0" fontId="15" fillId="29" borderId="26" xfId="0" applyFont="1" applyFill="1" applyBorder="1" applyAlignment="1" applyProtection="1">
      <alignment horizontal="left" vertical="center" wrapText="1"/>
      <protection locked="0"/>
    </xf>
    <xf numFmtId="0" fontId="9" fillId="0" borderId="57" xfId="0" applyFont="1" applyBorder="1" applyAlignment="1">
      <alignment vertical="top" wrapText="1"/>
    </xf>
    <xf numFmtId="0" fontId="0" fillId="0" borderId="59" xfId="0" applyBorder="1" applyAlignment="1">
      <alignment vertical="top" wrapText="1"/>
    </xf>
    <xf numFmtId="0" fontId="15" fillId="0" borderId="57" xfId="0" applyFont="1" applyBorder="1" applyAlignment="1">
      <alignment vertical="top" wrapText="1"/>
    </xf>
    <xf numFmtId="0" fontId="0" fillId="0" borderId="59" xfId="0" applyFont="1" applyBorder="1" applyAlignment="1">
      <alignment vertical="top" wrapText="1"/>
    </xf>
    <xf numFmtId="0" fontId="120" fillId="0" borderId="58" xfId="0" applyFont="1" applyBorder="1" applyAlignment="1">
      <alignment horizontal="left" wrapText="1"/>
    </xf>
    <xf numFmtId="0" fontId="120" fillId="0" borderId="59" xfId="0" applyFont="1" applyBorder="1" applyAlignment="1">
      <alignment horizontal="left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26" xfId="0" applyFont="1" applyFill="1" applyBorder="1" applyAlignment="1">
      <alignment horizontal="left" vertical="top" wrapText="1"/>
    </xf>
    <xf numFmtId="0" fontId="59" fillId="0" borderId="57" xfId="0" applyFont="1" applyFill="1" applyBorder="1" applyAlignment="1">
      <alignment horizontal="left" vertical="center" wrapText="1"/>
    </xf>
    <xf numFmtId="0" fontId="59" fillId="0" borderId="58" xfId="0" applyFont="1" applyFill="1" applyBorder="1" applyAlignment="1">
      <alignment horizontal="left" vertical="center" wrapText="1"/>
    </xf>
    <xf numFmtId="0" fontId="55" fillId="0" borderId="4" xfId="0" applyFont="1" applyFill="1" applyBorder="1" applyAlignment="1" applyProtection="1">
      <alignment horizontal="center" vertical="center"/>
      <protection locked="0"/>
    </xf>
    <xf numFmtId="0" fontId="59" fillId="0" borderId="59" xfId="0" applyFont="1" applyFill="1" applyBorder="1" applyAlignment="1">
      <alignment horizontal="left" vertical="center" wrapText="1"/>
    </xf>
    <xf numFmtId="4" fontId="15" fillId="0" borderId="7" xfId="0" applyNumberFormat="1" applyFont="1" applyFill="1" applyBorder="1" applyAlignment="1" applyProtection="1">
      <alignment horizontal="left" vertical="center"/>
      <protection locked="0"/>
    </xf>
    <xf numFmtId="4" fontId="15" fillId="0" borderId="8" xfId="0" applyNumberFormat="1" applyFont="1" applyFill="1" applyBorder="1" applyAlignment="1" applyProtection="1">
      <alignment horizontal="left" vertical="center"/>
      <protection locked="0"/>
    </xf>
    <xf numFmtId="4" fontId="15" fillId="0" borderId="26" xfId="0" applyNumberFormat="1" applyFont="1" applyFill="1" applyBorder="1" applyAlignment="1" applyProtection="1">
      <alignment horizontal="left" vertical="center"/>
      <protection locked="0"/>
    </xf>
    <xf numFmtId="4" fontId="15" fillId="0" borderId="27" xfId="0" applyNumberFormat="1" applyFont="1" applyFill="1" applyBorder="1" applyAlignment="1" applyProtection="1">
      <alignment horizontal="left" vertical="center"/>
      <protection locked="0"/>
    </xf>
    <xf numFmtId="0" fontId="83" fillId="0" borderId="8" xfId="0" applyFont="1" applyFill="1" applyBorder="1" applyAlignment="1">
      <alignment vertical="center" wrapText="1"/>
    </xf>
    <xf numFmtId="0" fontId="83" fillId="0" borderId="4" xfId="0" applyFont="1" applyFill="1" applyBorder="1" applyAlignment="1">
      <alignment vertical="center" wrapText="1"/>
    </xf>
    <xf numFmtId="0" fontId="83" fillId="0" borderId="5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 applyProtection="1">
      <alignment horizontal="left" vertical="center"/>
      <protection locked="0"/>
    </xf>
    <xf numFmtId="4" fontId="9" fillId="0" borderId="1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Fill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55" fillId="0" borderId="0" xfId="7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left" vertical="center"/>
      <protection locked="0"/>
    </xf>
    <xf numFmtId="0" fontId="56" fillId="0" borderId="0" xfId="0" applyFont="1" applyFill="1" applyAlignment="1">
      <alignment horizontal="left" vertical="center"/>
    </xf>
    <xf numFmtId="0" fontId="9" fillId="0" borderId="7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26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vertical="center" wrapText="1"/>
    </xf>
    <xf numFmtId="0" fontId="56" fillId="0" borderId="7" xfId="0" applyFont="1" applyFill="1" applyBorder="1" applyAlignment="1">
      <alignment horizontal="center" vertical="center" wrapText="1"/>
    </xf>
    <xf numFmtId="0" fontId="56" fillId="0" borderId="26" xfId="0" applyFont="1" applyFill="1" applyBorder="1" applyAlignment="1">
      <alignment horizontal="center" vertical="center" wrapText="1"/>
    </xf>
    <xf numFmtId="0" fontId="56" fillId="0" borderId="8" xfId="0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6" fillId="0" borderId="0" xfId="7" applyFont="1" applyFill="1" applyBorder="1" applyAlignment="1">
      <alignment horizontal="left" vertical="center" wrapText="1"/>
    </xf>
    <xf numFmtId="0" fontId="56" fillId="0" borderId="0" xfId="7" applyFont="1" applyFill="1" applyBorder="1" applyAlignment="1">
      <alignment horizontal="left" vertical="center"/>
    </xf>
    <xf numFmtId="0" fontId="15" fillId="0" borderId="27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8" xfId="0" applyFont="1" applyFill="1" applyBorder="1" applyAlignment="1">
      <alignment horizontal="left" vertical="center" wrapText="1"/>
    </xf>
    <xf numFmtId="4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6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55" fillId="0" borderId="0" xfId="0" applyFont="1" applyFill="1" applyAlignment="1">
      <alignment horizontal="left" vertical="center"/>
    </xf>
    <xf numFmtId="0" fontId="15" fillId="0" borderId="0" xfId="7" applyFont="1" applyFill="1" applyBorder="1" applyAlignment="1">
      <alignment horizontal="left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55" fillId="0" borderId="7" xfId="0" applyFont="1" applyFill="1" applyBorder="1" applyAlignment="1">
      <alignment horizontal="center" vertical="center" wrapText="1"/>
    </xf>
    <xf numFmtId="0" fontId="55" fillId="0" borderId="26" xfId="0" applyFont="1" applyFill="1" applyBorder="1" applyAlignment="1">
      <alignment horizontal="center" vertical="center" wrapText="1"/>
    </xf>
    <xf numFmtId="0" fontId="55" fillId="0" borderId="8" xfId="0" applyFont="1" applyFill="1" applyBorder="1" applyAlignment="1">
      <alignment horizontal="center" vertical="center" wrapText="1"/>
    </xf>
    <xf numFmtId="0" fontId="55" fillId="0" borderId="27" xfId="0" applyFont="1" applyFill="1" applyBorder="1" applyAlignment="1">
      <alignment horizontal="center" vertical="center" wrapText="1"/>
    </xf>
    <xf numFmtId="0" fontId="15" fillId="0" borderId="1" xfId="745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55" fillId="0" borderId="0" xfId="0" applyFont="1" applyFill="1" applyAlignment="1">
      <alignment horizontal="left" vertical="center" wrapText="1"/>
    </xf>
    <xf numFmtId="0" fontId="56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5" fillId="0" borderId="9" xfId="745" applyFont="1" applyFill="1" applyBorder="1" applyAlignment="1">
      <alignment horizontal="center" vertical="center" wrapText="1"/>
    </xf>
    <xf numFmtId="0" fontId="15" fillId="0" borderId="53" xfId="745" applyFont="1" applyFill="1" applyBorder="1" applyAlignment="1">
      <alignment horizontal="center" vertical="center" wrapText="1"/>
    </xf>
    <xf numFmtId="0" fontId="15" fillId="0" borderId="12" xfId="745" applyFont="1" applyFill="1" applyBorder="1" applyAlignment="1">
      <alignment horizontal="center" vertical="center" wrapText="1"/>
    </xf>
    <xf numFmtId="0" fontId="15" fillId="0" borderId="13" xfId="745" applyFont="1" applyFill="1" applyBorder="1" applyAlignment="1">
      <alignment horizontal="center" vertical="center" wrapText="1"/>
    </xf>
    <xf numFmtId="0" fontId="15" fillId="0" borderId="7" xfId="5" applyFont="1" applyFill="1" applyBorder="1" applyAlignment="1">
      <alignment horizontal="left" vertical="center" wrapText="1"/>
    </xf>
    <xf numFmtId="0" fontId="15" fillId="0" borderId="4" xfId="5" applyFont="1" applyFill="1" applyBorder="1" applyAlignment="1">
      <alignment horizontal="left" vertical="center" wrapText="1"/>
    </xf>
    <xf numFmtId="0" fontId="55" fillId="0" borderId="0" xfId="0" applyFont="1" applyFill="1" applyAlignment="1" applyProtection="1">
      <alignment vertical="center"/>
      <protection locked="0"/>
    </xf>
    <xf numFmtId="4" fontId="15" fillId="0" borderId="7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0" borderId="8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0" borderId="26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0" borderId="27" xfId="0" applyNumberFormat="1" applyFont="1" applyFill="1" applyBorder="1" applyAlignment="1" applyProtection="1">
      <alignment horizontal="left" vertical="center" wrapText="1" shrinkToFit="1"/>
      <protection locked="0"/>
    </xf>
    <xf numFmtId="0" fontId="55" fillId="0" borderId="0" xfId="7" applyFont="1" applyFill="1" applyBorder="1" applyAlignment="1">
      <alignment horizontal="left" vertical="center"/>
    </xf>
    <xf numFmtId="0" fontId="15" fillId="0" borderId="6" xfId="0" applyFont="1" applyFill="1" applyBorder="1" applyAlignment="1" applyProtection="1">
      <alignment horizontal="left" wrapText="1"/>
      <protection locked="0"/>
    </xf>
    <xf numFmtId="0" fontId="56" fillId="0" borderId="0" xfId="83" applyFont="1" applyFill="1" applyAlignment="1">
      <alignment horizontal="center" vertical="center"/>
    </xf>
    <xf numFmtId="0" fontId="15" fillId="0" borderId="3" xfId="0" applyFont="1" applyFill="1" applyBorder="1" applyAlignment="1" applyProtection="1">
      <alignment horizontal="left" vertical="center" wrapText="1"/>
      <protection locked="0"/>
    </xf>
    <xf numFmtId="0" fontId="15" fillId="0" borderId="58" xfId="0" applyFont="1" applyFill="1" applyBorder="1" applyAlignment="1" applyProtection="1">
      <alignment horizontal="left" vertical="center" wrapText="1"/>
      <protection locked="0"/>
    </xf>
    <xf numFmtId="0" fontId="15" fillId="0" borderId="59" xfId="0" applyFont="1" applyFill="1" applyBorder="1" applyAlignment="1" applyProtection="1">
      <alignment horizontal="left" vertical="center" wrapText="1"/>
      <protection locked="0"/>
    </xf>
    <xf numFmtId="4" fontId="15" fillId="0" borderId="4" xfId="0" applyNumberFormat="1" applyFont="1" applyFill="1" applyBorder="1" applyAlignment="1" applyProtection="1">
      <alignment horizontal="left" vertical="center"/>
      <protection locked="0"/>
    </xf>
    <xf numFmtId="0" fontId="15" fillId="0" borderId="57" xfId="9" applyFont="1" applyFill="1" applyBorder="1" applyAlignment="1">
      <alignment horizontal="left" vertical="center" wrapText="1"/>
    </xf>
    <xf numFmtId="49" fontId="15" fillId="0" borderId="57" xfId="0" applyNumberFormat="1" applyFont="1" applyFill="1" applyBorder="1" applyAlignment="1">
      <alignment horizontal="left" vertical="center" wrapText="1"/>
    </xf>
    <xf numFmtId="49" fontId="15" fillId="0" borderId="58" xfId="0" applyNumberFormat="1" applyFont="1" applyFill="1" applyBorder="1" applyAlignment="1">
      <alignment horizontal="left" vertical="center" wrapText="1"/>
    </xf>
    <xf numFmtId="49" fontId="15" fillId="0" borderId="59" xfId="0" applyNumberFormat="1" applyFont="1" applyFill="1" applyBorder="1" applyAlignment="1">
      <alignment horizontal="left" vertical="center" wrapText="1"/>
    </xf>
    <xf numFmtId="49" fontId="55" fillId="0" borderId="57" xfId="0" applyNumberFormat="1" applyFont="1" applyFill="1" applyBorder="1" applyAlignment="1">
      <alignment horizontal="center" vertical="center" wrapText="1"/>
    </xf>
    <xf numFmtId="49" fontId="55" fillId="0" borderId="58" xfId="0" applyNumberFormat="1" applyFont="1" applyFill="1" applyBorder="1" applyAlignment="1">
      <alignment horizontal="center" vertical="center" wrapText="1"/>
    </xf>
    <xf numFmtId="49" fontId="55" fillId="0" borderId="59" xfId="0" applyNumberFormat="1" applyFont="1" applyFill="1" applyBorder="1" applyAlignment="1">
      <alignment horizontal="center" vertical="center" wrapText="1"/>
    </xf>
    <xf numFmtId="4" fontId="15" fillId="0" borderId="7" xfId="0" applyNumberFormat="1" applyFont="1" applyFill="1" applyBorder="1" applyAlignment="1" applyProtection="1">
      <alignment vertical="center"/>
      <protection locked="0"/>
    </xf>
    <xf numFmtId="4" fontId="15" fillId="0" borderId="8" xfId="0" applyNumberFormat="1" applyFont="1" applyFill="1" applyBorder="1" applyAlignment="1" applyProtection="1">
      <alignment vertical="center"/>
      <protection locked="0"/>
    </xf>
    <xf numFmtId="4" fontId="15" fillId="0" borderId="4" xfId="0" applyNumberFormat="1" applyFont="1" applyFill="1" applyBorder="1" applyAlignment="1" applyProtection="1">
      <alignment vertical="center"/>
      <protection locked="0"/>
    </xf>
    <xf numFmtId="0" fontId="19" fillId="0" borderId="1" xfId="0" applyFont="1" applyFill="1" applyBorder="1" applyAlignment="1">
      <alignment horizontal="right" vertical="center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86" fillId="0" borderId="0" xfId="0" applyFont="1" applyFill="1" applyAlignment="1">
      <alignment horizontal="center" vertical="center"/>
    </xf>
    <xf numFmtId="0" fontId="1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wrapText="1"/>
    </xf>
    <xf numFmtId="0" fontId="111" fillId="4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right" vertical="center"/>
    </xf>
    <xf numFmtId="0" fontId="0" fillId="0" borderId="3" xfId="0" applyBorder="1" applyAlignment="1">
      <alignment horizontal="left" vertical="center" wrapText="1"/>
    </xf>
    <xf numFmtId="0" fontId="19" fillId="0" borderId="61" xfId="0" applyFont="1" applyFill="1" applyBorder="1" applyAlignment="1">
      <alignment horizontal="center" vertical="center" wrapText="1"/>
    </xf>
    <xf numFmtId="0" fontId="20" fillId="0" borderId="60" xfId="0" applyFont="1" applyFill="1" applyBorder="1" applyAlignment="1">
      <alignment vertical="center" wrapText="1"/>
    </xf>
    <xf numFmtId="0" fontId="19" fillId="0" borderId="61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right" vertical="center" wrapText="1"/>
    </xf>
    <xf numFmtId="0" fontId="19" fillId="0" borderId="58" xfId="0" applyFont="1" applyFill="1" applyBorder="1" applyAlignment="1">
      <alignment horizontal="right" vertical="center" wrapText="1"/>
    </xf>
    <xf numFmtId="0" fontId="19" fillId="0" borderId="59" xfId="0" applyFont="1" applyFill="1" applyBorder="1" applyAlignment="1">
      <alignment horizontal="right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6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right" vertical="center"/>
    </xf>
    <xf numFmtId="0" fontId="19" fillId="0" borderId="8" xfId="0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0" fontId="19" fillId="29" borderId="0" xfId="0" applyFont="1" applyFill="1" applyAlignment="1">
      <alignment vertical="center"/>
    </xf>
    <xf numFmtId="0" fontId="20" fillId="29" borderId="0" xfId="0" applyFont="1" applyFill="1" applyAlignment="1">
      <alignment horizontal="left"/>
    </xf>
    <xf numFmtId="0" fontId="20" fillId="0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9" fillId="0" borderId="7" xfId="0" applyFont="1" applyFill="1" applyBorder="1" applyAlignment="1">
      <alignment horizontal="right"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20" fillId="29" borderId="0" xfId="0" applyFont="1" applyFill="1" applyAlignment="1"/>
    <xf numFmtId="0" fontId="19" fillId="0" borderId="26" xfId="0" applyFont="1" applyFill="1" applyBorder="1" applyAlignment="1">
      <alignment horizontal="righ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20" fillId="0" borderId="33" xfId="0" applyFont="1" applyFill="1" applyBorder="1" applyAlignment="1">
      <alignment horizontal="left" vertical="center" wrapText="1"/>
    </xf>
    <xf numFmtId="0" fontId="105" fillId="29" borderId="7" xfId="0" applyFont="1" applyFill="1" applyBorder="1" applyAlignment="1">
      <alignment horizontal="left" vertical="center" wrapText="1"/>
    </xf>
    <xf numFmtId="0" fontId="105" fillId="29" borderId="26" xfId="0" applyFont="1" applyFill="1" applyBorder="1" applyAlignment="1">
      <alignment horizontal="left" vertical="center" wrapText="1"/>
    </xf>
    <xf numFmtId="0" fontId="105" fillId="29" borderId="27" xfId="0" applyFont="1" applyFill="1" applyBorder="1" applyAlignment="1">
      <alignment horizontal="left" vertical="center" wrapText="1"/>
    </xf>
    <xf numFmtId="0" fontId="20" fillId="0" borderId="33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0" fontId="60" fillId="0" borderId="7" xfId="0" applyFont="1" applyFill="1" applyBorder="1" applyAlignment="1">
      <alignment horizontal="center" vertical="center" wrapText="1"/>
    </xf>
    <xf numFmtId="0" fontId="118" fillId="0" borderId="8" xfId="0" applyFont="1" applyBorder="1" applyAlignment="1">
      <alignment horizontal="center" vertical="center" wrapText="1"/>
    </xf>
    <xf numFmtId="0" fontId="118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6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 wrapText="1"/>
    </xf>
    <xf numFmtId="0" fontId="111" fillId="0" borderId="1" xfId="0" applyFont="1" applyFill="1" applyBorder="1" applyAlignment="1">
      <alignment horizontal="center" vertical="center"/>
    </xf>
    <xf numFmtId="0" fontId="111" fillId="40" borderId="61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 wrapText="1"/>
    </xf>
    <xf numFmtId="167" fontId="13" fillId="3" borderId="0" xfId="9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wrapText="1"/>
    </xf>
    <xf numFmtId="0" fontId="60" fillId="0" borderId="0" xfId="9" applyFont="1" applyFill="1" applyBorder="1" applyAlignment="1">
      <alignment horizontal="center" vertical="center" wrapText="1"/>
    </xf>
    <xf numFmtId="0" fontId="72" fillId="0" borderId="0" xfId="0" applyFont="1" applyAlignment="1">
      <alignment wrapText="1"/>
    </xf>
    <xf numFmtId="0" fontId="28" fillId="0" borderId="1" xfId="9" applyFont="1" applyFill="1" applyBorder="1" applyAlignment="1">
      <alignment horizontal="center" vertical="center" wrapText="1"/>
    </xf>
    <xf numFmtId="0" fontId="19" fillId="0" borderId="1" xfId="9" applyFont="1" applyFill="1" applyBorder="1" applyAlignment="1">
      <alignment horizontal="center" vertical="center" textRotation="90" wrapText="1"/>
    </xf>
    <xf numFmtId="0" fontId="19" fillId="0" borderId="7" xfId="9" applyFont="1" applyFill="1" applyBorder="1" applyAlignment="1">
      <alignment horizontal="center" vertical="center" textRotation="90" wrapText="1"/>
    </xf>
    <xf numFmtId="0" fontId="19" fillId="0" borderId="8" xfId="9" applyFont="1" applyFill="1" applyBorder="1" applyAlignment="1">
      <alignment horizontal="center" vertical="center" textRotation="90" wrapText="1"/>
    </xf>
    <xf numFmtId="0" fontId="19" fillId="0" borderId="4" xfId="9" applyFont="1" applyFill="1" applyBorder="1" applyAlignment="1">
      <alignment horizontal="center" vertical="center" textRotation="90" wrapText="1"/>
    </xf>
    <xf numFmtId="49" fontId="19" fillId="0" borderId="1" xfId="9" applyNumberFormat="1" applyFont="1" applyFill="1" applyBorder="1" applyAlignment="1">
      <alignment horizontal="center" vertical="center" wrapText="1"/>
    </xf>
    <xf numFmtId="0" fontId="13" fillId="3" borderId="0" xfId="9" applyFont="1" applyFill="1" applyBorder="1" applyAlignment="1">
      <alignment horizontal="left" vertical="center" wrapText="1"/>
    </xf>
    <xf numFmtId="0" fontId="19" fillId="0" borderId="2" xfId="9" applyFont="1" applyFill="1" applyBorder="1" applyAlignment="1">
      <alignment horizontal="center" vertical="center" wrapText="1"/>
    </xf>
    <xf numFmtId="0" fontId="19" fillId="0" borderId="3" xfId="9" applyFont="1" applyFill="1" applyBorder="1" applyAlignment="1">
      <alignment horizontal="center" vertical="center" wrapText="1"/>
    </xf>
    <xf numFmtId="0" fontId="19" fillId="0" borderId="1" xfId="9" applyFont="1" applyFill="1" applyBorder="1" applyAlignment="1">
      <alignment horizontal="center" vertical="center" wrapText="1"/>
    </xf>
    <xf numFmtId="0" fontId="19" fillId="0" borderId="14" xfId="9" applyFont="1" applyFill="1" applyBorder="1" applyAlignment="1">
      <alignment horizontal="center" vertical="center" wrapText="1"/>
    </xf>
    <xf numFmtId="4" fontId="16" fillId="0" borderId="1" xfId="3" applyNumberFormat="1" applyFont="1" applyFill="1" applyBorder="1" applyAlignment="1" applyProtection="1">
      <alignment horizontal="center" vertical="center"/>
    </xf>
    <xf numFmtId="49" fontId="27" fillId="0" borderId="7" xfId="0" applyNumberFormat="1" applyFont="1" applyFill="1" applyBorder="1" applyAlignment="1" applyProtection="1">
      <alignment horizontal="right" vertical="center" wrapText="1"/>
    </xf>
    <xf numFmtId="49" fontId="27" fillId="0" borderId="26" xfId="0" applyNumberFormat="1" applyFont="1" applyFill="1" applyBorder="1" applyAlignment="1" applyProtection="1">
      <alignment horizontal="right" vertical="center" wrapText="1"/>
    </xf>
    <xf numFmtId="49" fontId="27" fillId="0" borderId="27" xfId="0" applyNumberFormat="1" applyFont="1" applyFill="1" applyBorder="1" applyAlignment="1" applyProtection="1">
      <alignment horizontal="right" vertical="center" wrapText="1"/>
    </xf>
    <xf numFmtId="0" fontId="7" fillId="0" borderId="1" xfId="3" applyFont="1" applyFill="1" applyBorder="1" applyAlignment="1">
      <alignment horizontal="center" vertical="center" wrapText="1"/>
    </xf>
    <xf numFmtId="49" fontId="94" fillId="0" borderId="1" xfId="3" applyNumberFormat="1" applyFont="1" applyFill="1" applyBorder="1" applyAlignment="1">
      <alignment horizontal="center" vertical="center" wrapText="1"/>
    </xf>
    <xf numFmtId="4" fontId="16" fillId="35" borderId="7" xfId="3" applyNumberFormat="1" applyFont="1" applyFill="1" applyBorder="1" applyAlignment="1" applyProtection="1">
      <alignment horizontal="center" vertical="center"/>
    </xf>
    <xf numFmtId="4" fontId="16" fillId="35" borderId="26" xfId="3" applyNumberFormat="1" applyFont="1" applyFill="1" applyBorder="1" applyAlignment="1" applyProtection="1">
      <alignment horizontal="center" vertical="center"/>
    </xf>
    <xf numFmtId="4" fontId="16" fillId="35" borderId="27" xfId="3" applyNumberFormat="1" applyFont="1" applyFill="1" applyBorder="1" applyAlignment="1" applyProtection="1">
      <alignment horizontal="center" vertical="center"/>
    </xf>
    <xf numFmtId="49" fontId="27" fillId="29" borderId="7" xfId="0" applyNumberFormat="1" applyFont="1" applyFill="1" applyBorder="1" applyAlignment="1" applyProtection="1">
      <alignment horizontal="right" vertical="center" wrapText="1"/>
    </xf>
    <xf numFmtId="49" fontId="27" fillId="29" borderId="26" xfId="0" applyNumberFormat="1" applyFont="1" applyFill="1" applyBorder="1" applyAlignment="1" applyProtection="1">
      <alignment horizontal="right" vertical="center" wrapText="1"/>
    </xf>
    <xf numFmtId="49" fontId="27" fillId="29" borderId="27" xfId="0" applyNumberFormat="1" applyFont="1" applyFill="1" applyBorder="1" applyAlignment="1" applyProtection="1">
      <alignment horizontal="right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5" fillId="0" borderId="0" xfId="0" applyFont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center" vertical="center" wrapText="1"/>
    </xf>
    <xf numFmtId="0" fontId="7" fillId="0" borderId="31" xfId="0" applyFont="1" applyBorder="1" applyAlignment="1" applyProtection="1">
      <alignment horizontal="center" vertical="center" wrapText="1"/>
    </xf>
    <xf numFmtId="0" fontId="7" fillId="0" borderId="32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64" fillId="0" borderId="33" xfId="0" applyFont="1" applyFill="1" applyBorder="1" applyAlignment="1">
      <alignment horizontal="center" vertical="center" wrapText="1"/>
    </xf>
    <xf numFmtId="0" fontId="67" fillId="0" borderId="14" xfId="0" applyFont="1" applyBorder="1" applyAlignment="1">
      <alignment horizontal="center" vertical="center" wrapText="1"/>
    </xf>
    <xf numFmtId="0" fontId="67" fillId="0" borderId="3" xfId="0" applyFont="1" applyBorder="1" applyAlignment="1">
      <alignment horizontal="center" vertical="center" wrapText="1"/>
    </xf>
    <xf numFmtId="0" fontId="74" fillId="0" borderId="33" xfId="0" applyFont="1" applyFill="1" applyBorder="1" applyAlignment="1">
      <alignment horizontal="center" vertical="center" wrapText="1"/>
    </xf>
    <xf numFmtId="0" fontId="90" fillId="0" borderId="14" xfId="0" applyFont="1" applyBorder="1" applyAlignment="1">
      <alignment horizontal="center" vertical="center" wrapText="1"/>
    </xf>
    <xf numFmtId="0" fontId="90" fillId="0" borderId="3" xfId="0" applyFont="1" applyBorder="1" applyAlignment="1">
      <alignment horizontal="center" vertical="center" wrapText="1"/>
    </xf>
    <xf numFmtId="0" fontId="7" fillId="0" borderId="27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7" fillId="31" borderId="33" xfId="0" applyFont="1" applyFill="1" applyBorder="1" applyAlignment="1">
      <alignment horizontal="center" vertical="center" wrapText="1"/>
    </xf>
    <xf numFmtId="0" fontId="4" fillId="31" borderId="14" xfId="0" applyFont="1" applyFill="1" applyBorder="1" applyAlignment="1">
      <alignment horizontal="center" vertical="center" wrapText="1"/>
    </xf>
    <xf numFmtId="0" fontId="4" fillId="31" borderId="3" xfId="0" applyFont="1" applyFill="1" applyBorder="1" applyAlignment="1">
      <alignment horizontal="center" vertical="center" wrapText="1"/>
    </xf>
    <xf numFmtId="14" fontId="7" fillId="0" borderId="33" xfId="0" applyNumberFormat="1" applyFont="1" applyBorder="1" applyAlignment="1" applyProtection="1">
      <alignment horizontal="center" vertical="center" wrapText="1"/>
    </xf>
    <xf numFmtId="14" fontId="7" fillId="31" borderId="33" xfId="0" applyNumberFormat="1" applyFont="1" applyFill="1" applyBorder="1" applyAlignment="1" applyProtection="1">
      <alignment horizontal="center" vertical="center" wrapText="1"/>
    </xf>
    <xf numFmtId="0" fontId="0" fillId="31" borderId="14" xfId="0" applyFill="1" applyBorder="1" applyAlignment="1">
      <alignment horizontal="center" vertical="center" wrapText="1"/>
    </xf>
    <xf numFmtId="0" fontId="0" fillId="31" borderId="3" xfId="0" applyFill="1" applyBorder="1" applyAlignment="1">
      <alignment horizontal="center" vertical="center" wrapText="1"/>
    </xf>
    <xf numFmtId="0" fontId="7" fillId="31" borderId="25" xfId="0" applyFont="1" applyFill="1" applyBorder="1" applyAlignment="1" applyProtection="1">
      <alignment horizontal="center" vertical="center" wrapText="1"/>
    </xf>
    <xf numFmtId="0" fontId="0" fillId="31" borderId="26" xfId="0" applyFill="1" applyBorder="1" applyAlignment="1">
      <alignment horizontal="center" vertical="center" wrapText="1"/>
    </xf>
    <xf numFmtId="0" fontId="0" fillId="31" borderId="27" xfId="0" applyFill="1" applyBorder="1" applyAlignment="1">
      <alignment horizontal="center" vertical="center" wrapText="1"/>
    </xf>
    <xf numFmtId="0" fontId="6" fillId="31" borderId="25" xfId="0" applyFont="1" applyFill="1" applyBorder="1" applyAlignment="1" applyProtection="1">
      <alignment horizontal="center" vertical="center" wrapText="1"/>
    </xf>
    <xf numFmtId="0" fontId="6" fillId="31" borderId="27" xfId="0" applyFont="1" applyFill="1" applyBorder="1" applyAlignment="1" applyProtection="1">
      <alignment horizontal="center" vertical="center" wrapText="1"/>
    </xf>
    <xf numFmtId="0" fontId="64" fillId="0" borderId="24" xfId="0" applyFont="1" applyBorder="1" applyAlignment="1" applyProtection="1">
      <alignment horizontal="center"/>
    </xf>
    <xf numFmtId="0" fontId="16" fillId="0" borderId="6" xfId="0" applyFont="1" applyBorder="1" applyAlignment="1" applyProtection="1">
      <alignment horizontal="left" vertical="top" wrapText="1"/>
    </xf>
    <xf numFmtId="0" fontId="16" fillId="0" borderId="13" xfId="0" applyFont="1" applyBorder="1" applyAlignment="1" applyProtection="1">
      <alignment horizontal="left" vertical="top" wrapText="1"/>
    </xf>
    <xf numFmtId="0" fontId="7" fillId="0" borderId="26" xfId="0" applyFont="1" applyBorder="1" applyAlignment="1" applyProtection="1">
      <alignment horizontal="left" vertical="top" wrapText="1"/>
    </xf>
    <xf numFmtId="0" fontId="7" fillId="0" borderId="27" xfId="0" applyFont="1" applyBorder="1" applyAlignment="1" applyProtection="1">
      <alignment horizontal="left" vertical="top" wrapText="1"/>
    </xf>
    <xf numFmtId="0" fontId="7" fillId="31" borderId="27" xfId="0" applyFont="1" applyFill="1" applyBorder="1" applyAlignment="1" applyProtection="1">
      <alignment horizontal="center" vertical="center" wrapText="1"/>
    </xf>
    <xf numFmtId="0" fontId="6" fillId="32" borderId="25" xfId="0" applyFont="1" applyFill="1" applyBorder="1" applyAlignment="1" applyProtection="1">
      <alignment horizontal="center" vertical="center" wrapText="1"/>
    </xf>
    <xf numFmtId="0" fontId="6" fillId="32" borderId="27" xfId="0" applyFont="1" applyFill="1" applyBorder="1" applyAlignment="1" applyProtection="1">
      <alignment horizontal="center" vertical="center" wrapText="1"/>
    </xf>
    <xf numFmtId="0" fontId="7" fillId="32" borderId="25" xfId="0" applyFont="1" applyFill="1" applyBorder="1" applyAlignment="1" applyProtection="1">
      <alignment horizontal="center" vertical="center" wrapText="1"/>
    </xf>
    <xf numFmtId="0" fontId="7" fillId="32" borderId="27" xfId="0" applyFont="1" applyFill="1" applyBorder="1" applyAlignment="1" applyProtection="1">
      <alignment horizontal="center" vertical="center" wrapText="1"/>
    </xf>
    <xf numFmtId="14" fontId="75" fillId="0" borderId="33" xfId="0" applyNumberFormat="1" applyFont="1" applyBorder="1" applyAlignment="1" applyProtection="1">
      <alignment horizontal="center" vertical="center" wrapText="1"/>
    </xf>
    <xf numFmtId="0" fontId="76" fillId="0" borderId="14" xfId="0" applyFont="1" applyBorder="1" applyAlignment="1">
      <alignment horizontal="center" vertical="center" wrapText="1"/>
    </xf>
    <xf numFmtId="0" fontId="76" fillId="0" borderId="3" xfId="0" applyFont="1" applyBorder="1" applyAlignment="1">
      <alignment horizontal="center" vertical="center" wrapText="1"/>
    </xf>
    <xf numFmtId="0" fontId="7" fillId="0" borderId="26" xfId="0" applyFont="1" applyBorder="1" applyAlignment="1">
      <alignment wrapText="1"/>
    </xf>
    <xf numFmtId="0" fontId="64" fillId="0" borderId="33" xfId="0" applyFont="1" applyBorder="1" applyAlignment="1" applyProtection="1">
      <alignment horizontal="center" vertical="center" wrapText="1"/>
    </xf>
    <xf numFmtId="0" fontId="16" fillId="31" borderId="33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center" vertical="center" wrapText="1"/>
    </xf>
    <xf numFmtId="14" fontId="7" fillId="32" borderId="33" xfId="0" applyNumberFormat="1" applyFont="1" applyFill="1" applyBorder="1" applyAlignment="1" applyProtection="1">
      <alignment horizontal="center" vertical="center" wrapText="1"/>
    </xf>
    <xf numFmtId="0" fontId="0" fillId="32" borderId="14" xfId="0" applyFill="1" applyBorder="1" applyAlignment="1">
      <alignment horizontal="center" vertical="center" wrapText="1"/>
    </xf>
    <xf numFmtId="0" fontId="0" fillId="32" borderId="3" xfId="0" applyFill="1" applyBorder="1" applyAlignment="1">
      <alignment horizontal="center" vertical="center" wrapText="1"/>
    </xf>
    <xf numFmtId="0" fontId="0" fillId="32" borderId="26" xfId="0" applyFill="1" applyBorder="1" applyAlignment="1">
      <alignment horizontal="center" vertical="center" wrapText="1"/>
    </xf>
    <xf numFmtId="0" fontId="0" fillId="32" borderId="27" xfId="0" applyFill="1" applyBorder="1" applyAlignment="1">
      <alignment horizontal="center" vertical="center" wrapText="1"/>
    </xf>
    <xf numFmtId="0" fontId="7" fillId="32" borderId="33" xfId="0" applyFont="1" applyFill="1" applyBorder="1" applyAlignment="1">
      <alignment horizontal="center" vertical="center" wrapText="1"/>
    </xf>
    <xf numFmtId="0" fontId="4" fillId="32" borderId="14" xfId="0" applyFont="1" applyFill="1" applyBorder="1" applyAlignment="1">
      <alignment horizontal="center" vertical="center" wrapText="1"/>
    </xf>
    <xf numFmtId="0" fontId="4" fillId="32" borderId="3" xfId="0" applyFont="1" applyFill="1" applyBorder="1" applyAlignment="1">
      <alignment horizontal="center" vertical="center" wrapText="1"/>
    </xf>
    <xf numFmtId="0" fontId="16" fillId="32" borderId="33" xfId="0" applyFont="1" applyFill="1" applyBorder="1" applyAlignment="1">
      <alignment horizontal="center" vertical="center" wrapText="1"/>
    </xf>
    <xf numFmtId="0" fontId="5" fillId="32" borderId="14" xfId="0" applyFont="1" applyFill="1" applyBorder="1" applyAlignment="1">
      <alignment horizontal="center" vertical="center" wrapText="1"/>
    </xf>
    <xf numFmtId="0" fontId="5" fillId="32" borderId="3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 applyProtection="1">
      <alignment horizontal="left" vertical="top" wrapText="1"/>
    </xf>
    <xf numFmtId="0" fontId="7" fillId="0" borderId="27" xfId="0" applyFont="1" applyFill="1" applyBorder="1" applyAlignment="1" applyProtection="1">
      <alignment horizontal="left" vertical="top" wrapText="1"/>
    </xf>
    <xf numFmtId="0" fontId="7" fillId="0" borderId="8" xfId="0" applyFont="1" applyBorder="1" applyAlignment="1" applyProtection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</xf>
    <xf numFmtId="0" fontId="7" fillId="0" borderId="13" xfId="0" applyFont="1" applyBorder="1" applyAlignment="1" applyProtection="1">
      <alignment horizontal="left" vertical="top" wrapText="1"/>
    </xf>
    <xf numFmtId="0" fontId="7" fillId="0" borderId="36" xfId="0" applyFont="1" applyBorder="1" applyAlignment="1" applyProtection="1">
      <alignment horizontal="left" vertical="top" wrapText="1"/>
    </xf>
    <xf numFmtId="0" fontId="7" fillId="0" borderId="37" xfId="0" applyFont="1" applyBorder="1" applyAlignment="1" applyProtection="1">
      <alignment horizontal="left" vertical="top" wrapText="1"/>
    </xf>
    <xf numFmtId="0" fontId="7" fillId="0" borderId="44" xfId="0" applyFont="1" applyBorder="1" applyAlignment="1" applyProtection="1">
      <alignment horizontal="left" vertical="top" wrapText="1"/>
    </xf>
    <xf numFmtId="0" fontId="7" fillId="0" borderId="45" xfId="0" applyFont="1" applyBorder="1" applyAlignment="1" applyProtection="1">
      <alignment horizontal="left" vertical="top" wrapText="1"/>
    </xf>
    <xf numFmtId="4" fontId="16" fillId="0" borderId="25" xfId="0" applyNumberFormat="1" applyFont="1" applyFill="1" applyBorder="1" applyAlignment="1" applyProtection="1">
      <alignment horizontal="center" vertical="center" wrapText="1"/>
    </xf>
    <xf numFmtId="4" fontId="16" fillId="0" borderId="27" xfId="0" applyNumberFormat="1" applyFont="1" applyFill="1" applyBorder="1" applyAlignment="1" applyProtection="1">
      <alignment horizontal="center" vertical="center" wrapText="1"/>
    </xf>
    <xf numFmtId="0" fontId="6" fillId="0" borderId="31" xfId="0" applyFont="1" applyBorder="1" applyAlignment="1">
      <alignment horizontal="center" wrapText="1"/>
    </xf>
    <xf numFmtId="4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4" fontId="16" fillId="31" borderId="0" xfId="0" applyNumberFormat="1" applyFont="1" applyFill="1" applyAlignment="1">
      <alignment horizontal="center" wrapText="1"/>
    </xf>
    <xf numFmtId="0" fontId="16" fillId="31" borderId="0" xfId="0" applyFont="1" applyFill="1" applyAlignment="1">
      <alignment horizontal="center" wrapText="1"/>
    </xf>
    <xf numFmtId="4" fontId="75" fillId="31" borderId="25" xfId="0" applyNumberFormat="1" applyFont="1" applyFill="1" applyBorder="1" applyAlignment="1" applyProtection="1">
      <alignment horizontal="center" vertical="center" wrapText="1"/>
    </xf>
    <xf numFmtId="4" fontId="75" fillId="31" borderId="27" xfId="0" applyNumberFormat="1" applyFont="1" applyFill="1" applyBorder="1" applyAlignment="1" applyProtection="1">
      <alignment horizontal="center" vertical="center" wrapText="1"/>
    </xf>
    <xf numFmtId="4" fontId="16" fillId="31" borderId="25" xfId="0" applyNumberFormat="1" applyFont="1" applyFill="1" applyBorder="1" applyAlignment="1" applyProtection="1">
      <alignment horizontal="center" vertical="center" wrapText="1"/>
    </xf>
    <xf numFmtId="4" fontId="16" fillId="31" borderId="27" xfId="0" applyNumberFormat="1" applyFont="1" applyFill="1" applyBorder="1" applyAlignment="1" applyProtection="1">
      <alignment horizontal="center" vertical="center" wrapText="1"/>
    </xf>
    <xf numFmtId="4" fontId="75" fillId="32" borderId="25" xfId="0" applyNumberFormat="1" applyFont="1" applyFill="1" applyBorder="1" applyAlignment="1" applyProtection="1">
      <alignment horizontal="center" vertical="center" wrapText="1"/>
    </xf>
    <xf numFmtId="4" fontId="75" fillId="32" borderId="27" xfId="0" applyNumberFormat="1" applyFont="1" applyFill="1" applyBorder="1" applyAlignment="1" applyProtection="1">
      <alignment horizontal="center" vertical="center" wrapText="1"/>
    </xf>
    <xf numFmtId="4" fontId="16" fillId="32" borderId="25" xfId="0" applyNumberFormat="1" applyFont="1" applyFill="1" applyBorder="1" applyAlignment="1" applyProtection="1">
      <alignment horizontal="center" vertical="center" wrapText="1"/>
    </xf>
    <xf numFmtId="4" fontId="16" fillId="32" borderId="27" xfId="0" applyNumberFormat="1" applyFont="1" applyFill="1" applyBorder="1" applyAlignment="1" applyProtection="1">
      <alignment horizontal="center" vertical="center" wrapText="1"/>
    </xf>
    <xf numFmtId="4" fontId="75" fillId="34" borderId="25" xfId="0" applyNumberFormat="1" applyFont="1" applyFill="1" applyBorder="1" applyAlignment="1" applyProtection="1">
      <alignment horizontal="center" vertical="center" wrapText="1"/>
    </xf>
    <xf numFmtId="4" fontId="75" fillId="34" borderId="27" xfId="0" applyNumberFormat="1" applyFont="1" applyFill="1" applyBorder="1" applyAlignment="1" applyProtection="1">
      <alignment horizontal="center" vertical="center" wrapText="1"/>
    </xf>
    <xf numFmtId="4" fontId="16" fillId="34" borderId="25" xfId="0" applyNumberFormat="1" applyFont="1" applyFill="1" applyBorder="1" applyAlignment="1" applyProtection="1">
      <alignment horizontal="center" vertical="center" wrapText="1"/>
    </xf>
    <xf numFmtId="4" fontId="16" fillId="34" borderId="27" xfId="0" applyNumberFormat="1" applyFont="1" applyFill="1" applyBorder="1" applyAlignment="1" applyProtection="1">
      <alignment horizontal="center" vertical="center" wrapText="1"/>
    </xf>
    <xf numFmtId="4" fontId="75" fillId="0" borderId="25" xfId="0" applyNumberFormat="1" applyFont="1" applyFill="1" applyBorder="1" applyAlignment="1" applyProtection="1">
      <alignment horizontal="center" vertical="center" wrapText="1"/>
    </xf>
    <xf numFmtId="4" fontId="75" fillId="0" borderId="27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4" fontId="16" fillId="32" borderId="0" xfId="0" applyNumberFormat="1" applyFont="1" applyFill="1" applyAlignment="1">
      <alignment horizontal="center" wrapText="1"/>
    </xf>
    <xf numFmtId="0" fontId="16" fillId="32" borderId="0" xfId="0" applyFont="1" applyFill="1" applyAlignment="1">
      <alignment horizontal="center" wrapText="1"/>
    </xf>
    <xf numFmtId="0" fontId="16" fillId="0" borderId="26" xfId="0" applyFont="1" applyBorder="1" applyAlignment="1">
      <alignment wrapText="1"/>
    </xf>
    <xf numFmtId="4" fontId="79" fillId="32" borderId="0" xfId="0" applyNumberFormat="1" applyFont="1" applyFill="1" applyAlignment="1">
      <alignment horizontal="center" wrapText="1"/>
    </xf>
    <xf numFmtId="0" fontId="79" fillId="32" borderId="0" xfId="0" applyFont="1" applyFill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31" borderId="0" xfId="0" applyNumberFormat="1" applyFont="1" applyFill="1" applyAlignment="1">
      <alignment horizontal="center" wrapText="1"/>
    </xf>
    <xf numFmtId="0" fontId="7" fillId="31" borderId="0" xfId="0" applyFont="1" applyFill="1" applyAlignment="1">
      <alignment horizontal="center" wrapText="1"/>
    </xf>
    <xf numFmtId="4" fontId="16" fillId="0" borderId="30" xfId="0" applyNumberFormat="1" applyFont="1" applyBorder="1" applyAlignment="1" applyProtection="1">
      <alignment horizontal="right" vertical="center" wrapText="1"/>
    </xf>
    <xf numFmtId="0" fontId="0" fillId="0" borderId="31" xfId="0" applyBorder="1" applyAlignment="1">
      <alignment horizontal="right" wrapText="1"/>
    </xf>
    <xf numFmtId="4" fontId="16" fillId="0" borderId="0" xfId="0" applyNumberFormat="1" applyFont="1" applyBorder="1" applyAlignment="1" applyProtection="1">
      <alignment horizontal="right" vertical="center" wrapText="1"/>
    </xf>
    <xf numFmtId="0" fontId="0" fillId="0" borderId="0" xfId="0" applyBorder="1" applyAlignment="1">
      <alignment horizontal="right" wrapText="1"/>
    </xf>
    <xf numFmtId="4" fontId="16" fillId="33" borderId="25" xfId="0" applyNumberFormat="1" applyFont="1" applyFill="1" applyBorder="1" applyAlignment="1" applyProtection="1">
      <alignment horizontal="center" vertical="center" wrapText="1"/>
    </xf>
    <xf numFmtId="4" fontId="16" fillId="33" borderId="27" xfId="0" applyNumberFormat="1" applyFont="1" applyFill="1" applyBorder="1" applyAlignment="1" applyProtection="1">
      <alignment horizontal="center" vertical="center" wrapText="1"/>
    </xf>
  </cellXfs>
  <cellStyles count="750">
    <cellStyle name="_182 по платным оу8" xfId="692"/>
    <cellStyle name="_182 развернутая для тарифов оу 40" xfId="10"/>
    <cellStyle name="_баллы осош1" xfId="11"/>
    <cellStyle name="_Бюджет, внебюджет, доля" xfId="693"/>
    <cellStyle name="_Годовой отчет 2010 форма по ОУ 15" xfId="12"/>
    <cellStyle name="_Дельфин тариф 26 сент подпись+++" xfId="13"/>
    <cellStyle name="_МОУ ОСОШ-2 (1) готово" xfId="14"/>
    <cellStyle name="_нац проект ДО 10.12.08г." xfId="15"/>
    <cellStyle name="_отчет за год 2009 оу 40" xfId="16"/>
    <cellStyle name="_Тарификация МОУ СОШ 46++" xfId="17"/>
    <cellStyle name="_тарификация на 01.01.12 оу 15 по внебюджету к ФХД 2012" xfId="18"/>
    <cellStyle name="_Тарифы ОУ №13 посл.вар." xfId="694"/>
    <cellStyle name="_Тарифы ЦДТ последний вариант" xfId="695"/>
    <cellStyle name="_ф 182 Иван  6,8,13,30,34,45" xfId="696"/>
    <cellStyle name="_Форма тарификации" xfId="19"/>
    <cellStyle name="_Форма тарификации МВ(с)ОУ о(с)ОШ №1" xfId="20"/>
    <cellStyle name="_Форма тарификации учителя (МВ(с)ОУ О(с)ОШ №2)" xfId="21"/>
    <cellStyle name="_Форма тарификации учителя МВ(с)ОУ О(с)ОШ №2" xfId="697"/>
    <cellStyle name="_Форма тарификации учителя МВ(с)ОУ О(с)ОШ №2+++" xfId="698"/>
    <cellStyle name="20% - Акцент1 2" xfId="22"/>
    <cellStyle name="20% - Акцент2 2" xfId="23"/>
    <cellStyle name="20% - Акцент3 2" xfId="24"/>
    <cellStyle name="20% - Акцент4 2" xfId="25"/>
    <cellStyle name="20% - Акцент5 2" xfId="26"/>
    <cellStyle name="20% - Акцент6 2" xfId="27"/>
    <cellStyle name="40% - Акцент1 2" xfId="28"/>
    <cellStyle name="40% - Акцент2 2" xfId="29"/>
    <cellStyle name="40% - Акцент3 2" xfId="30"/>
    <cellStyle name="40% - Акцент4 2" xfId="31"/>
    <cellStyle name="40% - Акцент5 2" xfId="32"/>
    <cellStyle name="40% - Акцент6 2" xfId="33"/>
    <cellStyle name="60% - Акцент1 2" xfId="34"/>
    <cellStyle name="60% - Акцент2 2" xfId="35"/>
    <cellStyle name="60% - Акцент3 2" xfId="36"/>
    <cellStyle name="60% - Акцент4 2" xfId="37"/>
    <cellStyle name="60% - Акцент5 2" xfId="38"/>
    <cellStyle name="60% - Акцент6 2" xfId="39"/>
    <cellStyle name="Excel Built-in Normal" xfId="699"/>
    <cellStyle name="Excel Built-in Normal 2" xfId="720"/>
    <cellStyle name="Normal" xfId="40"/>
    <cellStyle name="Normal 2" xfId="700"/>
    <cellStyle name="TableStyleLight1" xfId="41"/>
    <cellStyle name="Акцент1 2" xfId="42"/>
    <cellStyle name="Акцент2 2" xfId="43"/>
    <cellStyle name="Акцент3 2" xfId="44"/>
    <cellStyle name="Акцент4 2" xfId="45"/>
    <cellStyle name="Акцент5 2" xfId="46"/>
    <cellStyle name="Акцент6 2" xfId="47"/>
    <cellStyle name="Ввод  2" xfId="48"/>
    <cellStyle name="Ввод  2 2" xfId="721"/>
    <cellStyle name="Вывод 2" xfId="49"/>
    <cellStyle name="Вывод 2 2" xfId="722"/>
    <cellStyle name="Вычисление 2" xfId="50"/>
    <cellStyle name="Вычисление 2 2" xfId="723"/>
    <cellStyle name="Гиперссылка 2" xfId="51"/>
    <cellStyle name="Денежный 2" xfId="52"/>
    <cellStyle name="Денежный 3" xfId="53"/>
    <cellStyle name="Денежный 3 2" xfId="244"/>
    <cellStyle name="Денежный 4" xfId="245"/>
    <cellStyle name="Денежный 5" xfId="246"/>
    <cellStyle name="Денежный 6" xfId="247"/>
    <cellStyle name="Денежный 7" xfId="248"/>
    <cellStyle name="Заголовок 1 2" xfId="54"/>
    <cellStyle name="Заголовок 2 2" xfId="55"/>
    <cellStyle name="Заголовок 3 2" xfId="56"/>
    <cellStyle name="Заголовок 4 2" xfId="57"/>
    <cellStyle name="Итог 2" xfId="58"/>
    <cellStyle name="Итог 2 2" xfId="724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10" xfId="8"/>
    <cellStyle name="Обычный 10 10" xfId="249"/>
    <cellStyle name="Обычный 10 2" xfId="62"/>
    <cellStyle name="Обычный 10 2 2" xfId="63"/>
    <cellStyle name="Обычный 10 2 2 2" xfId="250"/>
    <cellStyle name="Обычный 10 2 3" xfId="251"/>
    <cellStyle name="Обычный 10 2 3 2" xfId="725"/>
    <cellStyle name="Обычный 10 2 4" xfId="726"/>
    <cellStyle name="Обычный 10 3" xfId="64"/>
    <cellStyle name="Обычный 10 4" xfId="252"/>
    <cellStyle name="Обычный 10 5" xfId="253"/>
    <cellStyle name="Обычный 10 6" xfId="254"/>
    <cellStyle name="Обычный 10 7" xfId="255"/>
    <cellStyle name="Обычный 10 8" xfId="256"/>
    <cellStyle name="Обычный 10 9" xfId="257"/>
    <cellStyle name="Обычный 10_план ФХД 32" xfId="65"/>
    <cellStyle name="Обычный 11" xfId="66"/>
    <cellStyle name="Обычный 11 2" xfId="67"/>
    <cellStyle name="Обычный 11 2 2" xfId="68"/>
    <cellStyle name="Обычный 11 3" xfId="69"/>
    <cellStyle name="Обычный 11 4" xfId="701"/>
    <cellStyle name="Обычный 11_22 ФХД 2013 с остатками" xfId="70"/>
    <cellStyle name="Обычный 12" xfId="71"/>
    <cellStyle name="Обычный 12 2" xfId="72"/>
    <cellStyle name="Обычный 12 3" xfId="702"/>
    <cellStyle name="Обычный 13" xfId="73"/>
    <cellStyle name="Обычный 13 2" xfId="74"/>
    <cellStyle name="Обычный 13 2 2" xfId="258"/>
    <cellStyle name="Обычный 13 3" xfId="259"/>
    <cellStyle name="Обычный 13 4" xfId="260"/>
    <cellStyle name="Обычный 13 5" xfId="261"/>
    <cellStyle name="Обычный 14" xfId="75"/>
    <cellStyle name="Обычный 14 2" xfId="262"/>
    <cellStyle name="Обычный 15" xfId="76"/>
    <cellStyle name="Обычный 15 2" xfId="77"/>
    <cellStyle name="Обычный 15 3" xfId="703"/>
    <cellStyle name="Обычный 16" xfId="78"/>
    <cellStyle name="Обычный 16 2" xfId="704"/>
    <cellStyle name="Обычный 17" xfId="79"/>
    <cellStyle name="Обычный 17 2" xfId="705"/>
    <cellStyle name="Обычный 18" xfId="80"/>
    <cellStyle name="Обычный 18 2" xfId="263"/>
    <cellStyle name="Обычный 19" xfId="81"/>
    <cellStyle name="Обычный 19 2" xfId="264"/>
    <cellStyle name="Обычный 2" xfId="3"/>
    <cellStyle name="Обычный 2 10" xfId="82"/>
    <cellStyle name="Обычный 2 11" xfId="83"/>
    <cellStyle name="Обычный 2 11 2" xfId="265"/>
    <cellStyle name="Обычный 2 12" xfId="266"/>
    <cellStyle name="Обычный 2 12 2" xfId="267"/>
    <cellStyle name="Обычный 2 13" xfId="727"/>
    <cellStyle name="Обычный 2 2" xfId="84"/>
    <cellStyle name="Обычный 2 2 10" xfId="85"/>
    <cellStyle name="Обычный 2 2 10 2" xfId="268"/>
    <cellStyle name="Обычный 2 2 10 2 2" xfId="269"/>
    <cellStyle name="Обычный 2 2 11" xfId="270"/>
    <cellStyle name="Обычный 2 2 12" xfId="271"/>
    <cellStyle name="Обычный 2 2 13" xfId="272"/>
    <cellStyle name="Обычный 2 2 14" xfId="273"/>
    <cellStyle name="Обычный 2 2 15" xfId="274"/>
    <cellStyle name="Обычный 2 2 16" xfId="275"/>
    <cellStyle name="Обычный 2 2 17" xfId="276"/>
    <cellStyle name="Обычный 2 2 18" xfId="277"/>
    <cellStyle name="Обычный 2 2 2" xfId="5"/>
    <cellStyle name="Обычный 2 2 2 10" xfId="278"/>
    <cellStyle name="Обычный 2 2 2 11" xfId="279"/>
    <cellStyle name="Обычный 2 2 2 12" xfId="280"/>
    <cellStyle name="Обычный 2 2 2 13" xfId="281"/>
    <cellStyle name="Обычный 2 2 2 14" xfId="282"/>
    <cellStyle name="Обычный 2 2 2 15" xfId="283"/>
    <cellStyle name="Обычный 2 2 2 16" xfId="284"/>
    <cellStyle name="Обычный 2 2 2 2" xfId="86"/>
    <cellStyle name="Обычный 2 2 2 2 2" xfId="706"/>
    <cellStyle name="Обычный 2 2 2 3" xfId="87"/>
    <cellStyle name="Обычный 2 2 2 3 2" xfId="88"/>
    <cellStyle name="Обычный 2 2 2 3 3" xfId="728"/>
    <cellStyle name="Обычный 2 2 2 4" xfId="89"/>
    <cellStyle name="Обычный 2 2 2 5" xfId="90"/>
    <cellStyle name="Обычный 2 2 2 6" xfId="91"/>
    <cellStyle name="Обычный 2 2 2 7" xfId="92"/>
    <cellStyle name="Обычный 2 2 2 8" xfId="93"/>
    <cellStyle name="Обычный 2 2 2 9" xfId="94"/>
    <cellStyle name="Обычный 2 2 2_Изменения в бюджет!!!!!!!!!!!!!" xfId="95"/>
    <cellStyle name="Обычный 2 2 3" xfId="96"/>
    <cellStyle name="Обычный 2 2 3 2" xfId="285"/>
    <cellStyle name="Обычный 2 2 3 3" xfId="286"/>
    <cellStyle name="Обычный 2 2 3 3 2" xfId="746"/>
    <cellStyle name="Обычный 2 2 3 4" xfId="707"/>
    <cellStyle name="Обычный 2 2 4" xfId="97"/>
    <cellStyle name="Обычный 2 2 4 2" xfId="287"/>
    <cellStyle name="Обычный 2 2 4 2 2" xfId="288"/>
    <cellStyle name="Обычный 2 2 4 3" xfId="289"/>
    <cellStyle name="Обычный 2 2 4 4" xfId="290"/>
    <cellStyle name="Обычный 2 2 4 5" xfId="291"/>
    <cellStyle name="Обычный 2 2 4 6" xfId="292"/>
    <cellStyle name="Обычный 2 2 4 7" xfId="293"/>
    <cellStyle name="Обычный 2 2 4 8" xfId="294"/>
    <cellStyle name="Обычный 2 2 4 9" xfId="295"/>
    <cellStyle name="Обычный 2 2 5" xfId="98"/>
    <cellStyle name="Обычный 2 2 5 2" xfId="296"/>
    <cellStyle name="Обычный 2 2 6" xfId="99"/>
    <cellStyle name="Обычный 2 2 6 2" xfId="297"/>
    <cellStyle name="Обычный 2 2 7" xfId="100"/>
    <cellStyle name="Обычный 2 2 7 2" xfId="298"/>
    <cellStyle name="Обычный 2 2 8" xfId="101"/>
    <cellStyle name="Обычный 2 2 8 2" xfId="299"/>
    <cellStyle name="Обычный 2 2 9" xfId="102"/>
    <cellStyle name="Обычный 2 2 9 2" xfId="300"/>
    <cellStyle name="Обычный 2 2_310" xfId="103"/>
    <cellStyle name="Обычный 2 3" xfId="104"/>
    <cellStyle name="Обычный 2 3 10" xfId="301"/>
    <cellStyle name="Обычный 2 3 11" xfId="302"/>
    <cellStyle name="Обычный 2 3 12" xfId="303"/>
    <cellStyle name="Обычный 2 3 13" xfId="304"/>
    <cellStyle name="Обычный 2 3 2" xfId="105"/>
    <cellStyle name="Обычный 2 3 2 2" xfId="106"/>
    <cellStyle name="Обычный 2 3 2 2 2" xfId="107"/>
    <cellStyle name="Обычный 2 3 2 3" xfId="108"/>
    <cellStyle name="Обычный 2 3 2 4" xfId="708"/>
    <cellStyle name="Обычный 2 3 3" xfId="109"/>
    <cellStyle name="Обычный 2 3 4" xfId="2"/>
    <cellStyle name="Обычный 2 3 5" xfId="305"/>
    <cellStyle name="Обычный 2 3 6" xfId="306"/>
    <cellStyle name="Обычный 2 3 7" xfId="307"/>
    <cellStyle name="Обычный 2 3 8" xfId="308"/>
    <cellStyle name="Обычный 2 3 9" xfId="309"/>
    <cellStyle name="Обычный 2 3_план ФХД 32" xfId="110"/>
    <cellStyle name="Обычный 2 4" xfId="111"/>
    <cellStyle name="Обычный 2 4 2" xfId="112"/>
    <cellStyle name="Обычный 2 4 3" xfId="310"/>
    <cellStyle name="Обычный 2 4 4" xfId="311"/>
    <cellStyle name="Обычный 2 4 5" xfId="312"/>
    <cellStyle name="Обычный 2 4 6" xfId="313"/>
    <cellStyle name="Обычный 2 4 7" xfId="314"/>
    <cellStyle name="Обычный 2 4 8" xfId="315"/>
    <cellStyle name="Обычный 2 5" xfId="113"/>
    <cellStyle name="Обычный 2 5 2" xfId="316"/>
    <cellStyle name="Обычный 2 5 3" xfId="317"/>
    <cellStyle name="Обычный 2 5 4" xfId="318"/>
    <cellStyle name="Обычный 2 5 5" xfId="319"/>
    <cellStyle name="Обычный 2 5 6" xfId="320"/>
    <cellStyle name="Обычный 2 5 7" xfId="321"/>
    <cellStyle name="Обычный 2 5 8" xfId="322"/>
    <cellStyle name="Обычный 2 6" xfId="114"/>
    <cellStyle name="Обычный 2 7" xfId="115"/>
    <cellStyle name="Обычный 2 8" xfId="116"/>
    <cellStyle name="Обычный 2 9" xfId="117"/>
    <cellStyle name="Обычный 2_182 развернутая для тарифов оу 40" xfId="118"/>
    <cellStyle name="Обычный 20" xfId="119"/>
    <cellStyle name="Обычный 20 2" xfId="120"/>
    <cellStyle name="Обычный 20 3" xfId="323"/>
    <cellStyle name="Обычный 20 4" xfId="324"/>
    <cellStyle name="Обычный 20 5" xfId="325"/>
    <cellStyle name="Обычный 20 6" xfId="326"/>
    <cellStyle name="Обычный 20 7" xfId="327"/>
    <cellStyle name="Обычный 20 8" xfId="328"/>
    <cellStyle name="Обычный 20 9" xfId="329"/>
    <cellStyle name="Обычный 21" xfId="121"/>
    <cellStyle name="Обычный 21 10" xfId="330"/>
    <cellStyle name="Обычный 21 2" xfId="9"/>
    <cellStyle name="Обычный 21 2 2" xfId="243"/>
    <cellStyle name="Обычный 21 2 2 2" xfId="729"/>
    <cellStyle name="Обычный 21 3" xfId="331"/>
    <cellStyle name="Обычный 21 4" xfId="332"/>
    <cellStyle name="Обычный 21 5" xfId="333"/>
    <cellStyle name="Обычный 21 6" xfId="334"/>
    <cellStyle name="Обычный 21 7" xfId="335"/>
    <cellStyle name="Обычный 21 8" xfId="336"/>
    <cellStyle name="Обычный 21 9" xfId="337"/>
    <cellStyle name="Обычный 22" xfId="122"/>
    <cellStyle name="Обычный 22 2" xfId="338"/>
    <cellStyle name="Обычный 22 3" xfId="339"/>
    <cellStyle name="Обычный 22 4" xfId="340"/>
    <cellStyle name="Обычный 22 5" xfId="341"/>
    <cellStyle name="Обычный 22 6" xfId="342"/>
    <cellStyle name="Обычный 22 7" xfId="343"/>
    <cellStyle name="Обычный 22 8" xfId="344"/>
    <cellStyle name="Обычный 22 9" xfId="345"/>
    <cellStyle name="Обычный 23" xfId="123"/>
    <cellStyle name="Обычный 23 10" xfId="346"/>
    <cellStyle name="Обычный 23 2" xfId="124"/>
    <cellStyle name="Обычный 23 3" xfId="347"/>
    <cellStyle name="Обычный 23 3 2" xfId="348"/>
    <cellStyle name="Обычный 23 4" xfId="349"/>
    <cellStyle name="Обычный 23 5" xfId="350"/>
    <cellStyle name="Обычный 23 6" xfId="351"/>
    <cellStyle name="Обычный 23 7" xfId="352"/>
    <cellStyle name="Обычный 23 8" xfId="353"/>
    <cellStyle name="Обычный 23 9" xfId="354"/>
    <cellStyle name="Обычный 24" xfId="125"/>
    <cellStyle name="Обычный 24 2" xfId="126"/>
    <cellStyle name="Обычный 24 3" xfId="355"/>
    <cellStyle name="Обычный 24 4" xfId="356"/>
    <cellStyle name="Обычный 24 5" xfId="357"/>
    <cellStyle name="Обычный 24 6" xfId="358"/>
    <cellStyle name="Обычный 24 7" xfId="359"/>
    <cellStyle name="Обычный 24 8" xfId="360"/>
    <cellStyle name="Обычный 24 9" xfId="361"/>
    <cellStyle name="Обычный 25" xfId="127"/>
    <cellStyle name="Обычный 25 2" xfId="128"/>
    <cellStyle name="Обычный 25 3" xfId="362"/>
    <cellStyle name="Обычный 25 4" xfId="363"/>
    <cellStyle name="Обычный 25 5" xfId="364"/>
    <cellStyle name="Обычный 25 6" xfId="365"/>
    <cellStyle name="Обычный 25 7" xfId="366"/>
    <cellStyle name="Обычный 25 8" xfId="367"/>
    <cellStyle name="Обычный 25 9" xfId="368"/>
    <cellStyle name="Обычный 26" xfId="129"/>
    <cellStyle name="Обычный 26 2" xfId="369"/>
    <cellStyle name="Обычный 26 3" xfId="370"/>
    <cellStyle name="Обычный 26 4" xfId="371"/>
    <cellStyle name="Обычный 26 5" xfId="372"/>
    <cellStyle name="Обычный 26 6" xfId="373"/>
    <cellStyle name="Обычный 26 7" xfId="374"/>
    <cellStyle name="Обычный 26 8" xfId="375"/>
    <cellStyle name="Обычный 26 9" xfId="376"/>
    <cellStyle name="Обычный 27" xfId="130"/>
    <cellStyle name="Обычный 27 2" xfId="377"/>
    <cellStyle name="Обычный 27 3" xfId="378"/>
    <cellStyle name="Обычный 27 4" xfId="379"/>
    <cellStyle name="Обычный 27 5" xfId="380"/>
    <cellStyle name="Обычный 27 6" xfId="381"/>
    <cellStyle name="Обычный 27 7" xfId="382"/>
    <cellStyle name="Обычный 27 8" xfId="383"/>
    <cellStyle name="Обычный 27 9" xfId="384"/>
    <cellStyle name="Обычный 28" xfId="131"/>
    <cellStyle name="Обычный 28 10" xfId="385"/>
    <cellStyle name="Обычный 28 2" xfId="386"/>
    <cellStyle name="Обычный 28 3" xfId="387"/>
    <cellStyle name="Обычный 28 4" xfId="388"/>
    <cellStyle name="Обычный 28 5" xfId="389"/>
    <cellStyle name="Обычный 28 6" xfId="390"/>
    <cellStyle name="Обычный 28 7" xfId="391"/>
    <cellStyle name="Обычный 28 8" xfId="392"/>
    <cellStyle name="Обычный 28 9" xfId="393"/>
    <cellStyle name="Обычный 29" xfId="132"/>
    <cellStyle name="Обычный 29 2" xfId="394"/>
    <cellStyle name="Обычный 29 3" xfId="395"/>
    <cellStyle name="Обычный 29 4" xfId="396"/>
    <cellStyle name="Обычный 3" xfId="133"/>
    <cellStyle name="Обычный 3 10" xfId="397"/>
    <cellStyle name="Обычный 3 11" xfId="398"/>
    <cellStyle name="Обычный 3 2" xfId="4"/>
    <cellStyle name="Обычный 3 2 2" xfId="134"/>
    <cellStyle name="Обычный 3 2 2 2" xfId="399"/>
    <cellStyle name="Обычный 3 2 3" xfId="135"/>
    <cellStyle name="Обычный 3 2 4" xfId="400"/>
    <cellStyle name="Обычный 3 2 5" xfId="401"/>
    <cellStyle name="Обычный 3 2 6" xfId="402"/>
    <cellStyle name="Обычный 3 2 7" xfId="403"/>
    <cellStyle name="Обычный 3 2 8" xfId="404"/>
    <cellStyle name="Обычный 3 2 9" xfId="405"/>
    <cellStyle name="Обычный 3 3" xfId="136"/>
    <cellStyle name="Обычный 3 3 10" xfId="406"/>
    <cellStyle name="Обычный 3 3 2" xfId="137"/>
    <cellStyle name="Обычный 3 3 2 2" xfId="138"/>
    <cellStyle name="Обычный 3 3 2 3" xfId="407"/>
    <cellStyle name="Обычный 3 3 2 4" xfId="408"/>
    <cellStyle name="Обычный 3 3 2 5" xfId="409"/>
    <cellStyle name="Обычный 3 3 2 6" xfId="410"/>
    <cellStyle name="Обычный 3 3 2 7" xfId="411"/>
    <cellStyle name="Обычный 3 3 2 8" xfId="412"/>
    <cellStyle name="Обычный 3 3 2 9" xfId="413"/>
    <cellStyle name="Обычный 3 3 3" xfId="414"/>
    <cellStyle name="Обычный 3 3 3 2" xfId="415"/>
    <cellStyle name="Обычный 3 3 4" xfId="416"/>
    <cellStyle name="Обычный 3 3 5" xfId="417"/>
    <cellStyle name="Обычный 3 3 6" xfId="418"/>
    <cellStyle name="Обычный 3 3 7" xfId="419"/>
    <cellStyle name="Обычный 3 3 8" xfId="420"/>
    <cellStyle name="Обычный 3 3 9" xfId="421"/>
    <cellStyle name="Обычный 3 4" xfId="139"/>
    <cellStyle name="Обычный 3 5" xfId="422"/>
    <cellStyle name="Обычный 3 6" xfId="423"/>
    <cellStyle name="Обычный 3 7" xfId="424"/>
    <cellStyle name="Обычный 3 8" xfId="425"/>
    <cellStyle name="Обычный 3 9" xfId="426"/>
    <cellStyle name="Обычный 3_2" xfId="140"/>
    <cellStyle name="Обычный 30" xfId="141"/>
    <cellStyle name="Обычный 30 2" xfId="142"/>
    <cellStyle name="Обычный 30 3" xfId="427"/>
    <cellStyle name="Обычный 30 4" xfId="428"/>
    <cellStyle name="Обычный 30 5" xfId="429"/>
    <cellStyle name="Обычный 30 6" xfId="430"/>
    <cellStyle name="Обычный 30 7" xfId="431"/>
    <cellStyle name="Обычный 30 8" xfId="432"/>
    <cellStyle name="Обычный 30 9" xfId="433"/>
    <cellStyle name="Обычный 31" xfId="143"/>
    <cellStyle name="Обычный 31 2" xfId="434"/>
    <cellStyle name="Обычный 31 2 2" xfId="435"/>
    <cellStyle name="Обычный 31 3" xfId="436"/>
    <cellStyle name="Обычный 31 4" xfId="437"/>
    <cellStyle name="Обычный 31 5" xfId="438"/>
    <cellStyle name="Обычный 31 6" xfId="439"/>
    <cellStyle name="Обычный 31 7" xfId="440"/>
    <cellStyle name="Обычный 31 8" xfId="441"/>
    <cellStyle name="Обычный 31 9" xfId="442"/>
    <cellStyle name="Обычный 32" xfId="144"/>
    <cellStyle name="Обычный 32 2" xfId="443"/>
    <cellStyle name="Обычный 32 3" xfId="444"/>
    <cellStyle name="Обычный 32 4" xfId="445"/>
    <cellStyle name="Обычный 33" xfId="145"/>
    <cellStyle name="Обычный 33 2" xfId="446"/>
    <cellStyle name="Обычный 33 3" xfId="447"/>
    <cellStyle name="Обычный 33 4" xfId="448"/>
    <cellStyle name="Обычный 34" xfId="449"/>
    <cellStyle name="Обычный 34 2" xfId="709"/>
    <cellStyle name="Обычный 35" xfId="450"/>
    <cellStyle name="Обычный 35 2" xfId="146"/>
    <cellStyle name="Обычный 36" xfId="147"/>
    <cellStyle name="Обычный 36 2" xfId="451"/>
    <cellStyle name="Обычный 37" xfId="148"/>
    <cellStyle name="Обычный 38" xfId="149"/>
    <cellStyle name="Обычный 38 2" xfId="710"/>
    <cellStyle name="Обычный 39" xfId="452"/>
    <cellStyle name="Обычный 39 2" xfId="150"/>
    <cellStyle name="Обычный 39 2 2" xfId="453"/>
    <cellStyle name="Обычный 4" xfId="151"/>
    <cellStyle name="Обычный 4 2" xfId="152"/>
    <cellStyle name="Обычный 4 2 2" xfId="153"/>
    <cellStyle name="Обычный 4 2 3" xfId="454"/>
    <cellStyle name="Обычный 4 2 4" xfId="455"/>
    <cellStyle name="Обычный 4 2 5" xfId="456"/>
    <cellStyle name="Обычный 4 2 6" xfId="457"/>
    <cellStyle name="Обычный 4 2 7" xfId="458"/>
    <cellStyle name="Обычный 4 2 8" xfId="459"/>
    <cellStyle name="Обычный 4 2 9" xfId="460"/>
    <cellStyle name="Обычный 4 3" xfId="461"/>
    <cellStyle name="Обычный 4 4" xfId="462"/>
    <cellStyle name="Обычный 4 5" xfId="463"/>
    <cellStyle name="Обычный 4 6" xfId="464"/>
    <cellStyle name="Обычный 4 7" xfId="465"/>
    <cellStyle name="Обычный 4 8" xfId="466"/>
    <cellStyle name="Обычный 4 9" xfId="467"/>
    <cellStyle name="Обычный 4_план ФХД 32" xfId="154"/>
    <cellStyle name="Обычный 40" xfId="155"/>
    <cellStyle name="Обычный 40 2" xfId="711"/>
    <cellStyle name="Обычный 40 3" xfId="712"/>
    <cellStyle name="Обычный 41" xfId="468"/>
    <cellStyle name="Обычный 42" xfId="469"/>
    <cellStyle name="Обычный 42 2" xfId="730"/>
    <cellStyle name="Обычный 43" xfId="470"/>
    <cellStyle name="Обычный 44" xfId="471"/>
    <cellStyle name="Обычный 44 2" xfId="713"/>
    <cellStyle name="Обычный 45" xfId="472"/>
    <cellStyle name="Обычный 46" xfId="473"/>
    <cellStyle name="Обычный 46 2" xfId="474"/>
    <cellStyle name="Обычный 46 3" xfId="731"/>
    <cellStyle name="Обычный 47" xfId="475"/>
    <cellStyle name="Обычный 47 2" xfId="714"/>
    <cellStyle name="Обычный 47 3" xfId="476"/>
    <cellStyle name="Обычный 48" xfId="477"/>
    <cellStyle name="Обычный 48 2" xfId="732"/>
    <cellStyle name="Обычный 49" xfId="478"/>
    <cellStyle name="Обычный 5" xfId="156"/>
    <cellStyle name="Обычный 5 2" xfId="157"/>
    <cellStyle name="Обычный 5 3" xfId="479"/>
    <cellStyle name="Обычный 5 3 2" xfId="480"/>
    <cellStyle name="Обычный 5 3 3" xfId="481"/>
    <cellStyle name="Обычный 5 3 4" xfId="482"/>
    <cellStyle name="Обычный 5 3 5" xfId="483"/>
    <cellStyle name="Обычный 5 3 6" xfId="484"/>
    <cellStyle name="Обычный 5 3 7" xfId="485"/>
    <cellStyle name="Обычный 5 3 8" xfId="486"/>
    <cellStyle name="Обычный 5_план ФХД 32" xfId="158"/>
    <cellStyle name="Обычный 50" xfId="487"/>
    <cellStyle name="Обычный 50 2" xfId="488"/>
    <cellStyle name="Обычный 50 2 2" xfId="489"/>
    <cellStyle name="Обычный 51" xfId="490"/>
    <cellStyle name="Обычный 51 2" xfId="491"/>
    <cellStyle name="Обычный 52" xfId="492"/>
    <cellStyle name="Обычный 52 2" xfId="493"/>
    <cellStyle name="Обычный 53" xfId="494"/>
    <cellStyle name="Обычный 53 2" xfId="495"/>
    <cellStyle name="Обычный 54" xfId="496"/>
    <cellStyle name="Обычный 54 2" xfId="497"/>
    <cellStyle name="Обычный 55" xfId="498"/>
    <cellStyle name="Обычный 56" xfId="499"/>
    <cellStyle name="Обычный 56 2" xfId="500"/>
    <cellStyle name="Обычный 57" xfId="501"/>
    <cellStyle name="Обычный 57 2" xfId="502"/>
    <cellStyle name="Обычный 58" xfId="503"/>
    <cellStyle name="Обычный 59" xfId="504"/>
    <cellStyle name="Обычный 6" xfId="159"/>
    <cellStyle name="Обычный 6 2" xfId="6"/>
    <cellStyle name="Обычный 6 2 2" xfId="505"/>
    <cellStyle name="Обычный 6 2 2 2" xfId="733"/>
    <cellStyle name="Обычный 6 3" xfId="160"/>
    <cellStyle name="Обычный 6 4" xfId="506"/>
    <cellStyle name="Обычный 6 5" xfId="507"/>
    <cellStyle name="Обычный 6 6" xfId="508"/>
    <cellStyle name="Обычный 6 7" xfId="509"/>
    <cellStyle name="Обычный 6_Изменения в бюджет!!!!!!!!!!!!!" xfId="161"/>
    <cellStyle name="Обычный 60" xfId="510"/>
    <cellStyle name="Обычный 61" xfId="511"/>
    <cellStyle name="Обычный 62" xfId="512"/>
    <cellStyle name="Обычный 63" xfId="513"/>
    <cellStyle name="Обычный 63 2" xfId="691"/>
    <cellStyle name="Обычный 64" xfId="514"/>
    <cellStyle name="Обычный 65" xfId="734"/>
    <cellStyle name="Обычный 66" xfId="735"/>
    <cellStyle name="Обычный 7" xfId="162"/>
    <cellStyle name="Обычный 7 2" xfId="163"/>
    <cellStyle name="Обычный 7 2 2" xfId="715"/>
    <cellStyle name="Обычный 7 3" xfId="164"/>
    <cellStyle name="Обычный 7 3 2" xfId="515"/>
    <cellStyle name="Обычный 7 3 3" xfId="516"/>
    <cellStyle name="Обычный 7 3 4" xfId="517"/>
    <cellStyle name="Обычный 7 3 5" xfId="518"/>
    <cellStyle name="Обычный 7 3 6" xfId="519"/>
    <cellStyle name="Обычный 7 3 7" xfId="520"/>
    <cellStyle name="Обычный 7 3 8" xfId="521"/>
    <cellStyle name="Обычный 7 4" xfId="165"/>
    <cellStyle name="Обычный 7 5" xfId="736"/>
    <cellStyle name="Обычный 7_22 ФХД 2013 с остатками" xfId="166"/>
    <cellStyle name="Обычный 8" xfId="167"/>
    <cellStyle name="Обычный 8 2" xfId="168"/>
    <cellStyle name="Обычный 8 3" xfId="169"/>
    <cellStyle name="Обычный 8 4" xfId="737"/>
    <cellStyle name="Обычный 9" xfId="170"/>
    <cellStyle name="Обычный 9 2" xfId="171"/>
    <cellStyle name="Обычный 9_25 на 01.01.2013 изм" xfId="172"/>
    <cellStyle name="Обычный_Приложение Уралсвязьинформ, Югрател2008" xfId="1"/>
    <cellStyle name="Обычный_проект 2008 внебюджет" xfId="745"/>
    <cellStyle name="Обычный_расчет арендной платы" xfId="747"/>
    <cellStyle name="Обычный_Смета  ОУ №38 2007  2" xfId="749"/>
    <cellStyle name="Плохой 2" xfId="173"/>
    <cellStyle name="Пояснение 2" xfId="174"/>
    <cellStyle name="Примечание 2" xfId="175"/>
    <cellStyle name="Примечание 2 2" xfId="738"/>
    <cellStyle name="Процентный" xfId="748" builtinId="5"/>
    <cellStyle name="Процентный 2" xfId="176"/>
    <cellStyle name="Процентный 2 2" xfId="177"/>
    <cellStyle name="Процентный 2 2 2" xfId="522"/>
    <cellStyle name="Процентный 3" xfId="178"/>
    <cellStyle name="Процентный 3 10" xfId="523"/>
    <cellStyle name="Процентный 3 11" xfId="524"/>
    <cellStyle name="Процентный 3 2" xfId="179"/>
    <cellStyle name="Процентный 3 2 2" xfId="525"/>
    <cellStyle name="Процентный 3 2 3" xfId="526"/>
    <cellStyle name="Процентный 3 2 4" xfId="527"/>
    <cellStyle name="Процентный 3 2 5" xfId="528"/>
    <cellStyle name="Процентный 3 2 6" xfId="529"/>
    <cellStyle name="Процентный 3 2 7" xfId="530"/>
    <cellStyle name="Процентный 3 2 8" xfId="531"/>
    <cellStyle name="Процентный 3 3" xfId="180"/>
    <cellStyle name="Процентный 3 3 2" xfId="532"/>
    <cellStyle name="Процентный 3 3 2 2" xfId="533"/>
    <cellStyle name="Процентный 3 3 2 3" xfId="534"/>
    <cellStyle name="Процентный 3 3 2 4" xfId="535"/>
    <cellStyle name="Процентный 3 3 2 5" xfId="536"/>
    <cellStyle name="Процентный 3 3 2 6" xfId="537"/>
    <cellStyle name="Процентный 3 3 2 7" xfId="538"/>
    <cellStyle name="Процентный 3 3 2 8" xfId="539"/>
    <cellStyle name="Процентный 3 3 3" xfId="540"/>
    <cellStyle name="Процентный 3 3 4" xfId="541"/>
    <cellStyle name="Процентный 3 3 5" xfId="542"/>
    <cellStyle name="Процентный 3 3 6" xfId="543"/>
    <cellStyle name="Процентный 3 3 7" xfId="544"/>
    <cellStyle name="Процентный 3 3 8" xfId="545"/>
    <cellStyle name="Процентный 3 3 9" xfId="546"/>
    <cellStyle name="Процентный 3 4" xfId="547"/>
    <cellStyle name="Процентный 3 5" xfId="548"/>
    <cellStyle name="Процентный 3 6" xfId="549"/>
    <cellStyle name="Процентный 3 7" xfId="550"/>
    <cellStyle name="Процентный 3 8" xfId="551"/>
    <cellStyle name="Процентный 3 9" xfId="552"/>
    <cellStyle name="Процентный 4" xfId="181"/>
    <cellStyle name="Процентный 4 2" xfId="182"/>
    <cellStyle name="Процентный 4 3" xfId="183"/>
    <cellStyle name="Процентный 4 4" xfId="553"/>
    <cellStyle name="Процентный 4 5" xfId="554"/>
    <cellStyle name="Процентный 4 6" xfId="555"/>
    <cellStyle name="Процентный 4 7" xfId="556"/>
    <cellStyle name="Процентный 4 8" xfId="557"/>
    <cellStyle name="Процентный 4 9" xfId="558"/>
    <cellStyle name="Процентный 5" xfId="184"/>
    <cellStyle name="Процентный 5 2" xfId="559"/>
    <cellStyle name="Процентный 6" xfId="560"/>
    <cellStyle name="Процентный 7" xfId="561"/>
    <cellStyle name="Связанная ячейка 2" xfId="185"/>
    <cellStyle name="Стиль 1" xfId="7"/>
    <cellStyle name="Стиль 1 2" xfId="186"/>
    <cellStyle name="Стиль 1 2 2" xfId="716"/>
    <cellStyle name="Стиль 1 3" xfId="717"/>
    <cellStyle name="Стиль 1_182 по платным оу8" xfId="718"/>
    <cellStyle name="Текст предупреждения 2" xfId="187"/>
    <cellStyle name="Финансовый 10" xfId="188"/>
    <cellStyle name="Финансовый 10 2" xfId="562"/>
    <cellStyle name="Финансовый 10 3" xfId="563"/>
    <cellStyle name="Финансовый 10 4" xfId="564"/>
    <cellStyle name="Финансовый 10 5" xfId="565"/>
    <cellStyle name="Финансовый 10 6" xfId="566"/>
    <cellStyle name="Финансовый 10 7" xfId="567"/>
    <cellStyle name="Финансовый 10 8" xfId="568"/>
    <cellStyle name="Финансовый 11" xfId="189"/>
    <cellStyle name="Финансовый 11 2" xfId="190"/>
    <cellStyle name="Финансовый 11 2 2" xfId="191"/>
    <cellStyle name="Финансовый 11 3" xfId="739"/>
    <cellStyle name="Финансовый 12" xfId="192"/>
    <cellStyle name="Финансовый 12 2" xfId="193"/>
    <cellStyle name="Финансовый 12 2 10" xfId="569"/>
    <cellStyle name="Финансовый 12 2 2" xfId="570"/>
    <cellStyle name="Финансовый 12 2 3" xfId="571"/>
    <cellStyle name="Финансовый 12 2 4" xfId="572"/>
    <cellStyle name="Финансовый 12 2 5" xfId="573"/>
    <cellStyle name="Финансовый 12 2 6" xfId="574"/>
    <cellStyle name="Финансовый 12 2 7" xfId="575"/>
    <cellStyle name="Финансовый 12 2 8" xfId="576"/>
    <cellStyle name="Финансовый 12 2 9" xfId="577"/>
    <cellStyle name="Финансовый 12 3" xfId="578"/>
    <cellStyle name="Финансовый 12 4" xfId="579"/>
    <cellStyle name="Финансовый 12 5" xfId="194"/>
    <cellStyle name="Финансовый 12 5 2" xfId="740"/>
    <cellStyle name="Финансовый 12 6" xfId="741"/>
    <cellStyle name="Финансовый 13" xfId="195"/>
    <cellStyle name="Финансовый 13 2" xfId="196"/>
    <cellStyle name="Финансовый 13 2 2" xfId="742"/>
    <cellStyle name="Финансовый 13 3" xfId="743"/>
    <cellStyle name="Финансовый 14" xfId="197"/>
    <cellStyle name="Финансовый 14 2" xfId="719"/>
    <cellStyle name="Финансовый 15" xfId="198"/>
    <cellStyle name="Финансовый 16" xfId="199"/>
    <cellStyle name="Финансовый 17" xfId="200"/>
    <cellStyle name="Финансовый 18" xfId="201"/>
    <cellStyle name="Финансовый 19" xfId="202"/>
    <cellStyle name="Финансовый 2" xfId="203"/>
    <cellStyle name="Финансовый 2 10" xfId="580"/>
    <cellStyle name="Финансовый 2 11" xfId="581"/>
    <cellStyle name="Финансовый 2 12" xfId="582"/>
    <cellStyle name="Финансовый 2 2" xfId="204"/>
    <cellStyle name="Финансовый 2 2 10" xfId="583"/>
    <cellStyle name="Финансовый 2 2 11" xfId="584"/>
    <cellStyle name="Финансовый 2 2 12" xfId="585"/>
    <cellStyle name="Финансовый 2 2 13" xfId="586"/>
    <cellStyle name="Финансовый 2 2 2" xfId="205"/>
    <cellStyle name="Финансовый 2 2 2 2" xfId="587"/>
    <cellStyle name="Финансовый 2 2 2 3" xfId="588"/>
    <cellStyle name="Финансовый 2 2 2 4" xfId="589"/>
    <cellStyle name="Финансовый 2 2 2 5" xfId="590"/>
    <cellStyle name="Финансовый 2 2 2 6" xfId="591"/>
    <cellStyle name="Финансовый 2 2 2 7" xfId="592"/>
    <cellStyle name="Финансовый 2 2 2 8" xfId="593"/>
    <cellStyle name="Финансовый 2 2 2 9" xfId="594"/>
    <cellStyle name="Финансовый 2 2 3" xfId="206"/>
    <cellStyle name="Финансовый 2 2 3 2" xfId="595"/>
    <cellStyle name="Финансовый 2 2 4" xfId="207"/>
    <cellStyle name="Финансовый 2 2 4 2" xfId="596"/>
    <cellStyle name="Финансовый 2 2 5" xfId="208"/>
    <cellStyle name="Финансовый 2 2 5 2" xfId="597"/>
    <cellStyle name="Финансовый 2 2 6" xfId="598"/>
    <cellStyle name="Финансовый 2 2 7" xfId="599"/>
    <cellStyle name="Финансовый 2 2 8" xfId="600"/>
    <cellStyle name="Финансовый 2 2 9" xfId="601"/>
    <cellStyle name="Финансовый 2 2_план ФХД 32" xfId="209"/>
    <cellStyle name="Финансовый 2 3" xfId="210"/>
    <cellStyle name="Финансовый 2 3 2" xfId="602"/>
    <cellStyle name="Финансовый 2 3 2 2" xfId="603"/>
    <cellStyle name="Финансовый 2 3 3" xfId="604"/>
    <cellStyle name="Финансовый 2 3 4" xfId="605"/>
    <cellStyle name="Финансовый 2 3 5" xfId="606"/>
    <cellStyle name="Финансовый 2 3 6" xfId="607"/>
    <cellStyle name="Финансовый 2 3 7" xfId="608"/>
    <cellStyle name="Финансовый 2 3 8" xfId="609"/>
    <cellStyle name="Финансовый 2 3 9" xfId="610"/>
    <cellStyle name="Финансовый 2 4" xfId="211"/>
    <cellStyle name="Финансовый 2 4 2" xfId="611"/>
    <cellStyle name="Финансовый 2 5" xfId="212"/>
    <cellStyle name="Финансовый 2 5 2" xfId="612"/>
    <cellStyle name="Финансовый 2 5 3" xfId="613"/>
    <cellStyle name="Финансовый 2 5 4" xfId="614"/>
    <cellStyle name="Финансовый 2 5 5" xfId="615"/>
    <cellStyle name="Финансовый 2 5 6" xfId="616"/>
    <cellStyle name="Финансовый 2 5 7" xfId="617"/>
    <cellStyle name="Финансовый 2 5 8" xfId="618"/>
    <cellStyle name="Финансовый 2 5 9" xfId="619"/>
    <cellStyle name="Финансовый 2 6" xfId="620"/>
    <cellStyle name="Финансовый 2 7" xfId="621"/>
    <cellStyle name="Финансовый 2 8" xfId="622"/>
    <cellStyle name="Финансовый 2 9" xfId="623"/>
    <cellStyle name="Финансовый 2_38" xfId="624"/>
    <cellStyle name="Финансовый 20" xfId="213"/>
    <cellStyle name="Финансовый 21" xfId="214"/>
    <cellStyle name="Финансовый 22" xfId="215"/>
    <cellStyle name="Финансовый 23" xfId="216"/>
    <cellStyle name="Финансовый 24" xfId="217"/>
    <cellStyle name="Финансовый 25" xfId="218"/>
    <cellStyle name="Финансовый 26" xfId="219"/>
    <cellStyle name="Финансовый 27" xfId="625"/>
    <cellStyle name="Финансовый 3" xfId="220"/>
    <cellStyle name="Финансовый 3 10" xfId="626"/>
    <cellStyle name="Финансовый 3 2" xfId="221"/>
    <cellStyle name="Финансовый 3 2 10" xfId="627"/>
    <cellStyle name="Финансовый 3 2 2" xfId="222"/>
    <cellStyle name="Финансовый 3 2 2 2" xfId="628"/>
    <cellStyle name="Финансовый 3 2 2 3" xfId="629"/>
    <cellStyle name="Финансовый 3 2 2 4" xfId="630"/>
    <cellStyle name="Финансовый 3 2 2 5" xfId="631"/>
    <cellStyle name="Финансовый 3 2 2 6" xfId="632"/>
    <cellStyle name="Финансовый 3 2 2 7" xfId="633"/>
    <cellStyle name="Финансовый 3 2 2 8" xfId="634"/>
    <cellStyle name="Финансовый 3 2 2 9" xfId="635"/>
    <cellStyle name="Финансовый 3 2 3" xfId="636"/>
    <cellStyle name="Финансовый 3 2 4" xfId="637"/>
    <cellStyle name="Финансовый 3 2 5" xfId="638"/>
    <cellStyle name="Финансовый 3 2 6" xfId="639"/>
    <cellStyle name="Финансовый 3 2 7" xfId="640"/>
    <cellStyle name="Финансовый 3 2 8" xfId="641"/>
    <cellStyle name="Финансовый 3 2 9" xfId="642"/>
    <cellStyle name="Финансовый 3 3" xfId="223"/>
    <cellStyle name="Финансовый 3 3 2" xfId="224"/>
    <cellStyle name="Финансовый 3 3 2 2" xfId="643"/>
    <cellStyle name="Финансовый 3 3 2 3" xfId="644"/>
    <cellStyle name="Финансовый 3 3 2 4" xfId="645"/>
    <cellStyle name="Финансовый 3 3 2 5" xfId="646"/>
    <cellStyle name="Финансовый 3 3 2 6" xfId="647"/>
    <cellStyle name="Финансовый 3 3 2 7" xfId="648"/>
    <cellStyle name="Финансовый 3 3 2 8" xfId="649"/>
    <cellStyle name="Финансовый 3 3 3" xfId="650"/>
    <cellStyle name="Финансовый 3 3 4" xfId="651"/>
    <cellStyle name="Финансовый 3 3 5" xfId="652"/>
    <cellStyle name="Финансовый 3 3 6" xfId="653"/>
    <cellStyle name="Финансовый 3 3 7" xfId="654"/>
    <cellStyle name="Финансовый 3 3 8" xfId="655"/>
    <cellStyle name="Финансовый 3 3 9" xfId="656"/>
    <cellStyle name="Финансовый 3 4" xfId="657"/>
    <cellStyle name="Финансовый 3 4 2" xfId="658"/>
    <cellStyle name="Финансовый 3 5" xfId="659"/>
    <cellStyle name="Финансовый 3 6" xfId="660"/>
    <cellStyle name="Финансовый 3 7" xfId="661"/>
    <cellStyle name="Финансовый 3 8" xfId="662"/>
    <cellStyle name="Финансовый 3 9" xfId="663"/>
    <cellStyle name="Финансовый 3_ФХД оу 15 на 2012год" xfId="225"/>
    <cellStyle name="Финансовый 4" xfId="226"/>
    <cellStyle name="Финансовый 4 2" xfId="227"/>
    <cellStyle name="Финансовый 4 3" xfId="228"/>
    <cellStyle name="Финансовый 4 4" xfId="664"/>
    <cellStyle name="Финансовый 4 5" xfId="665"/>
    <cellStyle name="Финансовый 4 6" xfId="666"/>
    <cellStyle name="Финансовый 4 7" xfId="667"/>
    <cellStyle name="Финансовый 4 8" xfId="668"/>
    <cellStyle name="Финансовый 5" xfId="229"/>
    <cellStyle name="Финансовый 5 10" xfId="669"/>
    <cellStyle name="Финансовый 5 2" xfId="230"/>
    <cellStyle name="Финансовый 5 2 2" xfId="231"/>
    <cellStyle name="Финансовый 5 2 3" xfId="670"/>
    <cellStyle name="Финансовый 5 2 4" xfId="671"/>
    <cellStyle name="Финансовый 5 2 5" xfId="672"/>
    <cellStyle name="Финансовый 5 2 6" xfId="673"/>
    <cellStyle name="Финансовый 5 2 7" xfId="674"/>
    <cellStyle name="Финансовый 5 2 8" xfId="675"/>
    <cellStyle name="Финансовый 5 2 9" xfId="676"/>
    <cellStyle name="Финансовый 5 3" xfId="232"/>
    <cellStyle name="Финансовый 5 3 2" xfId="677"/>
    <cellStyle name="Финансовый 5 3 3" xfId="678"/>
    <cellStyle name="Финансовый 5 3 4" xfId="679"/>
    <cellStyle name="Финансовый 5 3 5" xfId="680"/>
    <cellStyle name="Финансовый 5 3 6" xfId="681"/>
    <cellStyle name="Финансовый 5 3 7" xfId="682"/>
    <cellStyle name="Финансовый 5 3 8" xfId="683"/>
    <cellStyle name="Финансовый 5 4" xfId="233"/>
    <cellStyle name="Финансовый 5 5" xfId="684"/>
    <cellStyle name="Финансовый 5 6" xfId="685"/>
    <cellStyle name="Финансовый 5 7" xfId="686"/>
    <cellStyle name="Финансовый 5 8" xfId="687"/>
    <cellStyle name="Финансовый 5 9" xfId="688"/>
    <cellStyle name="Финансовый 6" xfId="234"/>
    <cellStyle name="Финансовый 6 2" xfId="235"/>
    <cellStyle name="Финансовый 6 2 2" xfId="236"/>
    <cellStyle name="Финансовый 6 3" xfId="237"/>
    <cellStyle name="Финансовый 6 4" xfId="744"/>
    <cellStyle name="Финансовый 7" xfId="238"/>
    <cellStyle name="Финансовый 7 2" xfId="239"/>
    <cellStyle name="Финансовый 8" xfId="240"/>
    <cellStyle name="Финансовый 8 2" xfId="689"/>
    <cellStyle name="Финансовый 9" xfId="241"/>
    <cellStyle name="Финансовый 9 2" xfId="690"/>
    <cellStyle name="Хороший 2" xfId="2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745</xdr:row>
      <xdr:rowOff>0</xdr:rowOff>
    </xdr:from>
    <xdr:to>
      <xdr:col>1</xdr:col>
      <xdr:colOff>304800</xdr:colOff>
      <xdr:row>755</xdr:row>
      <xdr:rowOff>23812</xdr:rowOff>
    </xdr:to>
    <xdr:sp macro="" textlink="">
      <xdr:nvSpPr>
        <xdr:cNvPr id="2" name="AutoShape 12" descr="Пирамидка 8 дет."/>
        <xdr:cNvSpPr>
          <a:spLocks noChangeAspect="1" noChangeArrowheads="1"/>
        </xdr:cNvSpPr>
      </xdr:nvSpPr>
      <xdr:spPr bwMode="auto">
        <a:xfrm>
          <a:off x="533400" y="18716625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1</xdr:col>
      <xdr:colOff>304800</xdr:colOff>
      <xdr:row>755</xdr:row>
      <xdr:rowOff>23812</xdr:rowOff>
    </xdr:to>
    <xdr:sp macro="" textlink="">
      <xdr:nvSpPr>
        <xdr:cNvPr id="3" name="AutoShape 13" descr="Пирамидка 8 дет."/>
        <xdr:cNvSpPr>
          <a:spLocks noChangeAspect="1" noChangeArrowheads="1"/>
        </xdr:cNvSpPr>
      </xdr:nvSpPr>
      <xdr:spPr bwMode="auto">
        <a:xfrm>
          <a:off x="533400" y="18716625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1</xdr:col>
      <xdr:colOff>304800</xdr:colOff>
      <xdr:row>755</xdr:row>
      <xdr:rowOff>23812</xdr:rowOff>
    </xdr:to>
    <xdr:sp macro="" textlink="">
      <xdr:nvSpPr>
        <xdr:cNvPr id="4" name="AutoShape 28" descr="Стенд информационный Информация, 4 отд., 500х750, красный, настенный  #1"/>
        <xdr:cNvSpPr>
          <a:spLocks noChangeAspect="1" noChangeArrowheads="1"/>
        </xdr:cNvSpPr>
      </xdr:nvSpPr>
      <xdr:spPr bwMode="auto">
        <a:xfrm>
          <a:off x="533400" y="18716625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148167</xdr:colOff>
      <xdr:row>745</xdr:row>
      <xdr:rowOff>0</xdr:rowOff>
    </xdr:from>
    <xdr:to>
      <xdr:col>1</xdr:col>
      <xdr:colOff>452967</xdr:colOff>
      <xdr:row>755</xdr:row>
      <xdr:rowOff>33338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433917" y="143922750"/>
          <a:ext cx="3048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1</xdr:col>
      <xdr:colOff>304800</xdr:colOff>
      <xdr:row>755</xdr:row>
      <xdr:rowOff>33337</xdr:rowOff>
    </xdr:to>
    <xdr:sp macro="" textlink="">
      <xdr:nvSpPr>
        <xdr:cNvPr id="6" name="AutoShape 2"/>
        <xdr:cNvSpPr>
          <a:spLocks noChangeAspect="1" noChangeArrowheads="1"/>
        </xdr:cNvSpPr>
      </xdr:nvSpPr>
      <xdr:spPr bwMode="auto">
        <a:xfrm>
          <a:off x="533400" y="187166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1</xdr:col>
      <xdr:colOff>304800</xdr:colOff>
      <xdr:row>755</xdr:row>
      <xdr:rowOff>33337</xdr:rowOff>
    </xdr:to>
    <xdr:sp macro="" textlink="">
      <xdr:nvSpPr>
        <xdr:cNvPr id="7" name="AutoShape 4"/>
        <xdr:cNvSpPr>
          <a:spLocks noChangeAspect="1" noChangeArrowheads="1"/>
        </xdr:cNvSpPr>
      </xdr:nvSpPr>
      <xdr:spPr bwMode="auto">
        <a:xfrm>
          <a:off x="533400" y="187166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1</xdr:col>
      <xdr:colOff>304800</xdr:colOff>
      <xdr:row>755</xdr:row>
      <xdr:rowOff>33337</xdr:rowOff>
    </xdr:to>
    <xdr:sp macro="" textlink="">
      <xdr:nvSpPr>
        <xdr:cNvPr id="8" name="AutoShape 5"/>
        <xdr:cNvSpPr>
          <a:spLocks noChangeAspect="1" noChangeArrowheads="1"/>
        </xdr:cNvSpPr>
      </xdr:nvSpPr>
      <xdr:spPr bwMode="auto">
        <a:xfrm>
          <a:off x="533400" y="187166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1</xdr:col>
      <xdr:colOff>304800</xdr:colOff>
      <xdr:row>755</xdr:row>
      <xdr:rowOff>33337</xdr:rowOff>
    </xdr:to>
    <xdr:sp macro="" textlink="">
      <xdr:nvSpPr>
        <xdr:cNvPr id="9" name="AutoShape 2"/>
        <xdr:cNvSpPr>
          <a:spLocks noChangeAspect="1" noChangeArrowheads="1"/>
        </xdr:cNvSpPr>
      </xdr:nvSpPr>
      <xdr:spPr bwMode="auto">
        <a:xfrm>
          <a:off x="533400" y="187166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10" name="AutoShape 2"/>
        <xdr:cNvSpPr>
          <a:spLocks noChangeAspect="1" noChangeArrowheads="1"/>
        </xdr:cNvSpPr>
      </xdr:nvSpPr>
      <xdr:spPr bwMode="auto">
        <a:xfrm>
          <a:off x="285750" y="11490721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11" name="AutoShape 4"/>
        <xdr:cNvSpPr>
          <a:spLocks noChangeAspect="1" noChangeArrowheads="1"/>
        </xdr:cNvSpPr>
      </xdr:nvSpPr>
      <xdr:spPr bwMode="auto">
        <a:xfrm>
          <a:off x="285750" y="11490721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12" name="AutoShape 5"/>
        <xdr:cNvSpPr>
          <a:spLocks noChangeAspect="1" noChangeArrowheads="1"/>
        </xdr:cNvSpPr>
      </xdr:nvSpPr>
      <xdr:spPr bwMode="auto">
        <a:xfrm>
          <a:off x="285750" y="11490721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13" name="AutoShape 2"/>
        <xdr:cNvSpPr>
          <a:spLocks noChangeAspect="1" noChangeArrowheads="1"/>
        </xdr:cNvSpPr>
      </xdr:nvSpPr>
      <xdr:spPr bwMode="auto">
        <a:xfrm>
          <a:off x="285750" y="11490721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745</xdr:row>
      <xdr:rowOff>0</xdr:rowOff>
    </xdr:from>
    <xdr:ext cx="304800" cy="214312"/>
    <xdr:sp macro="" textlink="">
      <xdr:nvSpPr>
        <xdr:cNvPr id="14" name="AutoShape 12" descr="Пирамидка 8 дет."/>
        <xdr:cNvSpPr>
          <a:spLocks noChangeAspect="1" noChangeArrowheads="1"/>
        </xdr:cNvSpPr>
      </xdr:nvSpPr>
      <xdr:spPr bwMode="auto">
        <a:xfrm>
          <a:off x="285750" y="119574469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745</xdr:row>
      <xdr:rowOff>0</xdr:rowOff>
    </xdr:from>
    <xdr:ext cx="304800" cy="214312"/>
    <xdr:sp macro="" textlink="">
      <xdr:nvSpPr>
        <xdr:cNvPr id="15" name="AutoShape 13" descr="Пирамидка 8 дет."/>
        <xdr:cNvSpPr>
          <a:spLocks noChangeAspect="1" noChangeArrowheads="1"/>
        </xdr:cNvSpPr>
      </xdr:nvSpPr>
      <xdr:spPr bwMode="auto">
        <a:xfrm>
          <a:off x="285750" y="119574469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745</xdr:row>
      <xdr:rowOff>0</xdr:rowOff>
    </xdr:from>
    <xdr:ext cx="304800" cy="214312"/>
    <xdr:sp macro="" textlink="">
      <xdr:nvSpPr>
        <xdr:cNvPr id="16" name="AutoShape 28" descr="Стенд информационный Информация, 4 отд., 500х750, красный, настенный  #1"/>
        <xdr:cNvSpPr>
          <a:spLocks noChangeAspect="1" noChangeArrowheads="1"/>
        </xdr:cNvSpPr>
      </xdr:nvSpPr>
      <xdr:spPr bwMode="auto">
        <a:xfrm>
          <a:off x="285750" y="119574469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148167</xdr:colOff>
      <xdr:row>745</xdr:row>
      <xdr:rowOff>0</xdr:rowOff>
    </xdr:from>
    <xdr:ext cx="304800" cy="223838"/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433917" y="119574469"/>
          <a:ext cx="304800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18" name="AutoShape 2"/>
        <xdr:cNvSpPr>
          <a:spLocks noChangeAspect="1" noChangeArrowheads="1"/>
        </xdr:cNvSpPr>
      </xdr:nvSpPr>
      <xdr:spPr bwMode="auto">
        <a:xfrm>
          <a:off x="285750" y="12397978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19" name="AutoShape 4"/>
        <xdr:cNvSpPr>
          <a:spLocks noChangeAspect="1" noChangeArrowheads="1"/>
        </xdr:cNvSpPr>
      </xdr:nvSpPr>
      <xdr:spPr bwMode="auto">
        <a:xfrm>
          <a:off x="285750" y="12397978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0" name="AutoShape 5"/>
        <xdr:cNvSpPr>
          <a:spLocks noChangeAspect="1" noChangeArrowheads="1"/>
        </xdr:cNvSpPr>
      </xdr:nvSpPr>
      <xdr:spPr bwMode="auto">
        <a:xfrm>
          <a:off x="285750" y="12397978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1" name="AutoShape 2"/>
        <xdr:cNvSpPr>
          <a:spLocks noChangeAspect="1" noChangeArrowheads="1"/>
        </xdr:cNvSpPr>
      </xdr:nvSpPr>
      <xdr:spPr bwMode="auto">
        <a:xfrm>
          <a:off x="285750" y="12397978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2" name="AutoShape 2"/>
        <xdr:cNvSpPr>
          <a:spLocks noChangeAspect="1" noChangeArrowheads="1"/>
        </xdr:cNvSpPr>
      </xdr:nvSpPr>
      <xdr:spPr bwMode="auto">
        <a:xfrm>
          <a:off x="285750" y="12588478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3" name="AutoShape 4"/>
        <xdr:cNvSpPr>
          <a:spLocks noChangeAspect="1" noChangeArrowheads="1"/>
        </xdr:cNvSpPr>
      </xdr:nvSpPr>
      <xdr:spPr bwMode="auto">
        <a:xfrm>
          <a:off x="285750" y="12588478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4" name="AutoShape 5"/>
        <xdr:cNvSpPr>
          <a:spLocks noChangeAspect="1" noChangeArrowheads="1"/>
        </xdr:cNvSpPr>
      </xdr:nvSpPr>
      <xdr:spPr bwMode="auto">
        <a:xfrm>
          <a:off x="285750" y="12588478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5" name="AutoShape 2"/>
        <xdr:cNvSpPr>
          <a:spLocks noChangeAspect="1" noChangeArrowheads="1"/>
        </xdr:cNvSpPr>
      </xdr:nvSpPr>
      <xdr:spPr bwMode="auto">
        <a:xfrm>
          <a:off x="285750" y="12588478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911</xdr:row>
      <xdr:rowOff>0</xdr:rowOff>
    </xdr:from>
    <xdr:ext cx="304800" cy="223837"/>
    <xdr:sp macro="" textlink="">
      <xdr:nvSpPr>
        <xdr:cNvPr id="26" name="AutoShape 2"/>
        <xdr:cNvSpPr>
          <a:spLocks noChangeAspect="1" noChangeArrowheads="1"/>
        </xdr:cNvSpPr>
      </xdr:nvSpPr>
      <xdr:spPr bwMode="auto">
        <a:xfrm>
          <a:off x="285750" y="12588478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911</xdr:row>
      <xdr:rowOff>0</xdr:rowOff>
    </xdr:from>
    <xdr:ext cx="304800" cy="223837"/>
    <xdr:sp macro="" textlink="">
      <xdr:nvSpPr>
        <xdr:cNvPr id="27" name="AutoShape 4"/>
        <xdr:cNvSpPr>
          <a:spLocks noChangeAspect="1" noChangeArrowheads="1"/>
        </xdr:cNvSpPr>
      </xdr:nvSpPr>
      <xdr:spPr bwMode="auto">
        <a:xfrm>
          <a:off x="285750" y="12588478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911</xdr:row>
      <xdr:rowOff>0</xdr:rowOff>
    </xdr:from>
    <xdr:ext cx="304800" cy="223837"/>
    <xdr:sp macro="" textlink="">
      <xdr:nvSpPr>
        <xdr:cNvPr id="28" name="AutoShape 5"/>
        <xdr:cNvSpPr>
          <a:spLocks noChangeAspect="1" noChangeArrowheads="1"/>
        </xdr:cNvSpPr>
      </xdr:nvSpPr>
      <xdr:spPr bwMode="auto">
        <a:xfrm>
          <a:off x="285750" y="12588478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911</xdr:row>
      <xdr:rowOff>0</xdr:rowOff>
    </xdr:from>
    <xdr:ext cx="304800" cy="223837"/>
    <xdr:sp macro="" textlink="">
      <xdr:nvSpPr>
        <xdr:cNvPr id="29" name="AutoShape 2"/>
        <xdr:cNvSpPr>
          <a:spLocks noChangeAspect="1" noChangeArrowheads="1"/>
        </xdr:cNvSpPr>
      </xdr:nvSpPr>
      <xdr:spPr bwMode="auto">
        <a:xfrm>
          <a:off x="285750" y="12588478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975</xdr:row>
      <xdr:rowOff>0</xdr:rowOff>
    </xdr:from>
    <xdr:ext cx="304800" cy="223837"/>
    <xdr:sp macro="" textlink="">
      <xdr:nvSpPr>
        <xdr:cNvPr id="30" name="AutoShape 2"/>
        <xdr:cNvSpPr>
          <a:spLocks noChangeAspect="1" noChangeArrowheads="1"/>
        </xdr:cNvSpPr>
      </xdr:nvSpPr>
      <xdr:spPr bwMode="auto">
        <a:xfrm>
          <a:off x="285750" y="12397978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975</xdr:row>
      <xdr:rowOff>0</xdr:rowOff>
    </xdr:from>
    <xdr:ext cx="304800" cy="223837"/>
    <xdr:sp macro="" textlink="">
      <xdr:nvSpPr>
        <xdr:cNvPr id="31" name="AutoShape 4"/>
        <xdr:cNvSpPr>
          <a:spLocks noChangeAspect="1" noChangeArrowheads="1"/>
        </xdr:cNvSpPr>
      </xdr:nvSpPr>
      <xdr:spPr bwMode="auto">
        <a:xfrm>
          <a:off x="285750" y="12397978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975</xdr:row>
      <xdr:rowOff>0</xdr:rowOff>
    </xdr:from>
    <xdr:ext cx="304800" cy="223837"/>
    <xdr:sp macro="" textlink="">
      <xdr:nvSpPr>
        <xdr:cNvPr id="32" name="AutoShape 5"/>
        <xdr:cNvSpPr>
          <a:spLocks noChangeAspect="1" noChangeArrowheads="1"/>
        </xdr:cNvSpPr>
      </xdr:nvSpPr>
      <xdr:spPr bwMode="auto">
        <a:xfrm>
          <a:off x="285750" y="12397978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975</xdr:row>
      <xdr:rowOff>0</xdr:rowOff>
    </xdr:from>
    <xdr:ext cx="304800" cy="223837"/>
    <xdr:sp macro="" textlink="">
      <xdr:nvSpPr>
        <xdr:cNvPr id="33" name="AutoShape 2"/>
        <xdr:cNvSpPr>
          <a:spLocks noChangeAspect="1" noChangeArrowheads="1"/>
        </xdr:cNvSpPr>
      </xdr:nvSpPr>
      <xdr:spPr bwMode="auto">
        <a:xfrm>
          <a:off x="285750" y="12397978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975</xdr:row>
      <xdr:rowOff>0</xdr:rowOff>
    </xdr:from>
    <xdr:ext cx="304800" cy="223837"/>
    <xdr:sp macro="" textlink="">
      <xdr:nvSpPr>
        <xdr:cNvPr id="34" name="AutoShape 2"/>
        <xdr:cNvSpPr>
          <a:spLocks noChangeAspect="1" noChangeArrowheads="1"/>
        </xdr:cNvSpPr>
      </xdr:nvSpPr>
      <xdr:spPr bwMode="auto">
        <a:xfrm>
          <a:off x="285750" y="11509771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975</xdr:row>
      <xdr:rowOff>0</xdr:rowOff>
    </xdr:from>
    <xdr:ext cx="304800" cy="223837"/>
    <xdr:sp macro="" textlink="">
      <xdr:nvSpPr>
        <xdr:cNvPr id="35" name="AutoShape 4"/>
        <xdr:cNvSpPr>
          <a:spLocks noChangeAspect="1" noChangeArrowheads="1"/>
        </xdr:cNvSpPr>
      </xdr:nvSpPr>
      <xdr:spPr bwMode="auto">
        <a:xfrm>
          <a:off x="285750" y="11509771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975</xdr:row>
      <xdr:rowOff>0</xdr:rowOff>
    </xdr:from>
    <xdr:ext cx="304800" cy="223837"/>
    <xdr:sp macro="" textlink="">
      <xdr:nvSpPr>
        <xdr:cNvPr id="36" name="AutoShape 5"/>
        <xdr:cNvSpPr>
          <a:spLocks noChangeAspect="1" noChangeArrowheads="1"/>
        </xdr:cNvSpPr>
      </xdr:nvSpPr>
      <xdr:spPr bwMode="auto">
        <a:xfrm>
          <a:off x="285750" y="11509771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975</xdr:row>
      <xdr:rowOff>0</xdr:rowOff>
    </xdr:from>
    <xdr:ext cx="304800" cy="223837"/>
    <xdr:sp macro="" textlink="">
      <xdr:nvSpPr>
        <xdr:cNvPr id="37" name="AutoShape 2"/>
        <xdr:cNvSpPr>
          <a:spLocks noChangeAspect="1" noChangeArrowheads="1"/>
        </xdr:cNvSpPr>
      </xdr:nvSpPr>
      <xdr:spPr bwMode="auto">
        <a:xfrm>
          <a:off x="285750" y="11509771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975</xdr:row>
      <xdr:rowOff>0</xdr:rowOff>
    </xdr:from>
    <xdr:ext cx="304800" cy="223837"/>
    <xdr:sp macro="" textlink="">
      <xdr:nvSpPr>
        <xdr:cNvPr id="38" name="AutoShape 2"/>
        <xdr:cNvSpPr>
          <a:spLocks noChangeAspect="1" noChangeArrowheads="1"/>
        </xdr:cNvSpPr>
      </xdr:nvSpPr>
      <xdr:spPr bwMode="auto">
        <a:xfrm>
          <a:off x="285750" y="13064728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975</xdr:row>
      <xdr:rowOff>0</xdr:rowOff>
    </xdr:from>
    <xdr:ext cx="304800" cy="223837"/>
    <xdr:sp macro="" textlink="">
      <xdr:nvSpPr>
        <xdr:cNvPr id="39" name="AutoShape 4"/>
        <xdr:cNvSpPr>
          <a:spLocks noChangeAspect="1" noChangeArrowheads="1"/>
        </xdr:cNvSpPr>
      </xdr:nvSpPr>
      <xdr:spPr bwMode="auto">
        <a:xfrm>
          <a:off x="285750" y="13064728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975</xdr:row>
      <xdr:rowOff>0</xdr:rowOff>
    </xdr:from>
    <xdr:ext cx="304800" cy="223837"/>
    <xdr:sp macro="" textlink="">
      <xdr:nvSpPr>
        <xdr:cNvPr id="40" name="AutoShape 5"/>
        <xdr:cNvSpPr>
          <a:spLocks noChangeAspect="1" noChangeArrowheads="1"/>
        </xdr:cNvSpPr>
      </xdr:nvSpPr>
      <xdr:spPr bwMode="auto">
        <a:xfrm>
          <a:off x="285750" y="13064728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975</xdr:row>
      <xdr:rowOff>0</xdr:rowOff>
    </xdr:from>
    <xdr:ext cx="304800" cy="223837"/>
    <xdr:sp macro="" textlink="">
      <xdr:nvSpPr>
        <xdr:cNvPr id="41" name="AutoShape 2"/>
        <xdr:cNvSpPr>
          <a:spLocks noChangeAspect="1" noChangeArrowheads="1"/>
        </xdr:cNvSpPr>
      </xdr:nvSpPr>
      <xdr:spPr bwMode="auto">
        <a:xfrm>
          <a:off x="285750" y="13064728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983</xdr:row>
      <xdr:rowOff>0</xdr:rowOff>
    </xdr:from>
    <xdr:ext cx="304800" cy="223837"/>
    <xdr:sp macro="" textlink="">
      <xdr:nvSpPr>
        <xdr:cNvPr id="42" name="AutoShape 2"/>
        <xdr:cNvSpPr>
          <a:spLocks noChangeAspect="1" noChangeArrowheads="1"/>
        </xdr:cNvSpPr>
      </xdr:nvSpPr>
      <xdr:spPr bwMode="auto">
        <a:xfrm>
          <a:off x="285750" y="1659731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983</xdr:row>
      <xdr:rowOff>0</xdr:rowOff>
    </xdr:from>
    <xdr:ext cx="304800" cy="223837"/>
    <xdr:sp macro="" textlink="">
      <xdr:nvSpPr>
        <xdr:cNvPr id="43" name="AutoShape 4"/>
        <xdr:cNvSpPr>
          <a:spLocks noChangeAspect="1" noChangeArrowheads="1"/>
        </xdr:cNvSpPr>
      </xdr:nvSpPr>
      <xdr:spPr bwMode="auto">
        <a:xfrm>
          <a:off x="285750" y="1659731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983</xdr:row>
      <xdr:rowOff>0</xdr:rowOff>
    </xdr:from>
    <xdr:ext cx="304800" cy="223837"/>
    <xdr:sp macro="" textlink="">
      <xdr:nvSpPr>
        <xdr:cNvPr id="44" name="AutoShape 5"/>
        <xdr:cNvSpPr>
          <a:spLocks noChangeAspect="1" noChangeArrowheads="1"/>
        </xdr:cNvSpPr>
      </xdr:nvSpPr>
      <xdr:spPr bwMode="auto">
        <a:xfrm>
          <a:off x="285750" y="1659731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983</xdr:row>
      <xdr:rowOff>0</xdr:rowOff>
    </xdr:from>
    <xdr:ext cx="304800" cy="223837"/>
    <xdr:sp macro="" textlink="">
      <xdr:nvSpPr>
        <xdr:cNvPr id="45" name="AutoShape 2"/>
        <xdr:cNvSpPr>
          <a:spLocks noChangeAspect="1" noChangeArrowheads="1"/>
        </xdr:cNvSpPr>
      </xdr:nvSpPr>
      <xdr:spPr bwMode="auto">
        <a:xfrm>
          <a:off x="285750" y="1659731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46" name="AutoShape 2"/>
        <xdr:cNvSpPr>
          <a:spLocks noChangeAspect="1" noChangeArrowheads="1"/>
        </xdr:cNvSpPr>
      </xdr:nvSpPr>
      <xdr:spPr bwMode="auto">
        <a:xfrm>
          <a:off x="285750" y="1701641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47" name="AutoShape 4"/>
        <xdr:cNvSpPr>
          <a:spLocks noChangeAspect="1" noChangeArrowheads="1"/>
        </xdr:cNvSpPr>
      </xdr:nvSpPr>
      <xdr:spPr bwMode="auto">
        <a:xfrm>
          <a:off x="285750" y="1701641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48" name="AutoShape 5"/>
        <xdr:cNvSpPr>
          <a:spLocks noChangeAspect="1" noChangeArrowheads="1"/>
        </xdr:cNvSpPr>
      </xdr:nvSpPr>
      <xdr:spPr bwMode="auto">
        <a:xfrm>
          <a:off x="285750" y="1701641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49" name="AutoShape 2"/>
        <xdr:cNvSpPr>
          <a:spLocks noChangeAspect="1" noChangeArrowheads="1"/>
        </xdr:cNvSpPr>
      </xdr:nvSpPr>
      <xdr:spPr bwMode="auto">
        <a:xfrm>
          <a:off x="285750" y="1701641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50" name="AutoShape 2"/>
        <xdr:cNvSpPr>
          <a:spLocks noChangeAspect="1" noChangeArrowheads="1"/>
        </xdr:cNvSpPr>
      </xdr:nvSpPr>
      <xdr:spPr bwMode="auto">
        <a:xfrm>
          <a:off x="285750" y="13132593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51" name="AutoShape 4"/>
        <xdr:cNvSpPr>
          <a:spLocks noChangeAspect="1" noChangeArrowheads="1"/>
        </xdr:cNvSpPr>
      </xdr:nvSpPr>
      <xdr:spPr bwMode="auto">
        <a:xfrm>
          <a:off x="285750" y="13132593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52" name="AutoShape 5"/>
        <xdr:cNvSpPr>
          <a:spLocks noChangeAspect="1" noChangeArrowheads="1"/>
        </xdr:cNvSpPr>
      </xdr:nvSpPr>
      <xdr:spPr bwMode="auto">
        <a:xfrm>
          <a:off x="285750" y="13132593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53" name="AutoShape 2"/>
        <xdr:cNvSpPr>
          <a:spLocks noChangeAspect="1" noChangeArrowheads="1"/>
        </xdr:cNvSpPr>
      </xdr:nvSpPr>
      <xdr:spPr bwMode="auto">
        <a:xfrm>
          <a:off x="285750" y="13132593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747</xdr:row>
      <xdr:rowOff>0</xdr:rowOff>
    </xdr:from>
    <xdr:ext cx="304800" cy="223837"/>
    <xdr:sp macro="" textlink="">
      <xdr:nvSpPr>
        <xdr:cNvPr id="54" name="AutoShape 2"/>
        <xdr:cNvSpPr>
          <a:spLocks noChangeAspect="1" noChangeArrowheads="1"/>
        </xdr:cNvSpPr>
      </xdr:nvSpPr>
      <xdr:spPr bwMode="auto">
        <a:xfrm>
          <a:off x="285750" y="115776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747</xdr:row>
      <xdr:rowOff>0</xdr:rowOff>
    </xdr:from>
    <xdr:ext cx="304800" cy="223837"/>
    <xdr:sp macro="" textlink="">
      <xdr:nvSpPr>
        <xdr:cNvPr id="55" name="AutoShape 4"/>
        <xdr:cNvSpPr>
          <a:spLocks noChangeAspect="1" noChangeArrowheads="1"/>
        </xdr:cNvSpPr>
      </xdr:nvSpPr>
      <xdr:spPr bwMode="auto">
        <a:xfrm>
          <a:off x="285750" y="115776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747</xdr:row>
      <xdr:rowOff>0</xdr:rowOff>
    </xdr:from>
    <xdr:ext cx="304800" cy="223837"/>
    <xdr:sp macro="" textlink="">
      <xdr:nvSpPr>
        <xdr:cNvPr id="56" name="AutoShape 5"/>
        <xdr:cNvSpPr>
          <a:spLocks noChangeAspect="1" noChangeArrowheads="1"/>
        </xdr:cNvSpPr>
      </xdr:nvSpPr>
      <xdr:spPr bwMode="auto">
        <a:xfrm>
          <a:off x="285750" y="115776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747</xdr:row>
      <xdr:rowOff>0</xdr:rowOff>
    </xdr:from>
    <xdr:ext cx="304800" cy="223837"/>
    <xdr:sp macro="" textlink="">
      <xdr:nvSpPr>
        <xdr:cNvPr id="57" name="AutoShape 2"/>
        <xdr:cNvSpPr>
          <a:spLocks noChangeAspect="1" noChangeArrowheads="1"/>
        </xdr:cNvSpPr>
      </xdr:nvSpPr>
      <xdr:spPr bwMode="auto">
        <a:xfrm>
          <a:off x="285750" y="115776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58" name="AutoShape 2"/>
        <xdr:cNvSpPr>
          <a:spLocks noChangeAspect="1" noChangeArrowheads="1"/>
        </xdr:cNvSpPr>
      </xdr:nvSpPr>
      <xdr:spPr bwMode="auto">
        <a:xfrm>
          <a:off x="285750" y="115776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59" name="AutoShape 4"/>
        <xdr:cNvSpPr>
          <a:spLocks noChangeAspect="1" noChangeArrowheads="1"/>
        </xdr:cNvSpPr>
      </xdr:nvSpPr>
      <xdr:spPr bwMode="auto">
        <a:xfrm>
          <a:off x="285750" y="115776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60" name="AutoShape 5"/>
        <xdr:cNvSpPr>
          <a:spLocks noChangeAspect="1" noChangeArrowheads="1"/>
        </xdr:cNvSpPr>
      </xdr:nvSpPr>
      <xdr:spPr bwMode="auto">
        <a:xfrm>
          <a:off x="285750" y="115776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61" name="AutoShape 2"/>
        <xdr:cNvSpPr>
          <a:spLocks noChangeAspect="1" noChangeArrowheads="1"/>
        </xdr:cNvSpPr>
      </xdr:nvSpPr>
      <xdr:spPr bwMode="auto">
        <a:xfrm>
          <a:off x="285750" y="115776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62" name="AutoShape 2"/>
        <xdr:cNvSpPr>
          <a:spLocks noChangeAspect="1" noChangeArrowheads="1"/>
        </xdr:cNvSpPr>
      </xdr:nvSpPr>
      <xdr:spPr bwMode="auto">
        <a:xfrm>
          <a:off x="285750" y="170473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63" name="AutoShape 4"/>
        <xdr:cNvSpPr>
          <a:spLocks noChangeAspect="1" noChangeArrowheads="1"/>
        </xdr:cNvSpPr>
      </xdr:nvSpPr>
      <xdr:spPr bwMode="auto">
        <a:xfrm>
          <a:off x="285750" y="170473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64" name="AutoShape 5"/>
        <xdr:cNvSpPr>
          <a:spLocks noChangeAspect="1" noChangeArrowheads="1"/>
        </xdr:cNvSpPr>
      </xdr:nvSpPr>
      <xdr:spPr bwMode="auto">
        <a:xfrm>
          <a:off x="285750" y="170473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65" name="AutoShape 2"/>
        <xdr:cNvSpPr>
          <a:spLocks noChangeAspect="1" noChangeArrowheads="1"/>
        </xdr:cNvSpPr>
      </xdr:nvSpPr>
      <xdr:spPr bwMode="auto">
        <a:xfrm>
          <a:off x="285750" y="170473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737</xdr:row>
      <xdr:rowOff>0</xdr:rowOff>
    </xdr:from>
    <xdr:ext cx="304800" cy="223837"/>
    <xdr:sp macro="" textlink="">
      <xdr:nvSpPr>
        <xdr:cNvPr id="66" name="AutoShape 2"/>
        <xdr:cNvSpPr>
          <a:spLocks noChangeAspect="1" noChangeArrowheads="1"/>
        </xdr:cNvSpPr>
      </xdr:nvSpPr>
      <xdr:spPr bwMode="auto">
        <a:xfrm>
          <a:off x="285750" y="1321831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737</xdr:row>
      <xdr:rowOff>0</xdr:rowOff>
    </xdr:from>
    <xdr:ext cx="304800" cy="223837"/>
    <xdr:sp macro="" textlink="">
      <xdr:nvSpPr>
        <xdr:cNvPr id="67" name="AutoShape 4"/>
        <xdr:cNvSpPr>
          <a:spLocks noChangeAspect="1" noChangeArrowheads="1"/>
        </xdr:cNvSpPr>
      </xdr:nvSpPr>
      <xdr:spPr bwMode="auto">
        <a:xfrm>
          <a:off x="285750" y="1321831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737</xdr:row>
      <xdr:rowOff>0</xdr:rowOff>
    </xdr:from>
    <xdr:ext cx="304800" cy="223837"/>
    <xdr:sp macro="" textlink="">
      <xdr:nvSpPr>
        <xdr:cNvPr id="68" name="AutoShape 5"/>
        <xdr:cNvSpPr>
          <a:spLocks noChangeAspect="1" noChangeArrowheads="1"/>
        </xdr:cNvSpPr>
      </xdr:nvSpPr>
      <xdr:spPr bwMode="auto">
        <a:xfrm>
          <a:off x="285750" y="1321831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737</xdr:row>
      <xdr:rowOff>0</xdr:rowOff>
    </xdr:from>
    <xdr:ext cx="304800" cy="223837"/>
    <xdr:sp macro="" textlink="">
      <xdr:nvSpPr>
        <xdr:cNvPr id="69" name="AutoShape 2"/>
        <xdr:cNvSpPr>
          <a:spLocks noChangeAspect="1" noChangeArrowheads="1"/>
        </xdr:cNvSpPr>
      </xdr:nvSpPr>
      <xdr:spPr bwMode="auto">
        <a:xfrm>
          <a:off x="285750" y="1321831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70" name="AutoShape 2"/>
        <xdr:cNvSpPr>
          <a:spLocks noChangeAspect="1" noChangeArrowheads="1"/>
        </xdr:cNvSpPr>
      </xdr:nvSpPr>
      <xdr:spPr bwMode="auto">
        <a:xfrm>
          <a:off x="285750" y="132802313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71" name="AutoShape 4"/>
        <xdr:cNvSpPr>
          <a:spLocks noChangeAspect="1" noChangeArrowheads="1"/>
        </xdr:cNvSpPr>
      </xdr:nvSpPr>
      <xdr:spPr bwMode="auto">
        <a:xfrm>
          <a:off x="285750" y="132802313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72" name="AutoShape 5"/>
        <xdr:cNvSpPr>
          <a:spLocks noChangeAspect="1" noChangeArrowheads="1"/>
        </xdr:cNvSpPr>
      </xdr:nvSpPr>
      <xdr:spPr bwMode="auto">
        <a:xfrm>
          <a:off x="285750" y="132802313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73" name="AutoShape 2"/>
        <xdr:cNvSpPr>
          <a:spLocks noChangeAspect="1" noChangeArrowheads="1"/>
        </xdr:cNvSpPr>
      </xdr:nvSpPr>
      <xdr:spPr bwMode="auto">
        <a:xfrm>
          <a:off x="285750" y="132802313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74" name="AutoShape 2"/>
        <xdr:cNvSpPr>
          <a:spLocks noChangeAspect="1" noChangeArrowheads="1"/>
        </xdr:cNvSpPr>
      </xdr:nvSpPr>
      <xdr:spPr bwMode="auto">
        <a:xfrm>
          <a:off x="285750" y="130992563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75" name="AutoShape 4"/>
        <xdr:cNvSpPr>
          <a:spLocks noChangeAspect="1" noChangeArrowheads="1"/>
        </xdr:cNvSpPr>
      </xdr:nvSpPr>
      <xdr:spPr bwMode="auto">
        <a:xfrm>
          <a:off x="285750" y="130992563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76" name="AutoShape 5"/>
        <xdr:cNvSpPr>
          <a:spLocks noChangeAspect="1" noChangeArrowheads="1"/>
        </xdr:cNvSpPr>
      </xdr:nvSpPr>
      <xdr:spPr bwMode="auto">
        <a:xfrm>
          <a:off x="285750" y="130992563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77" name="AutoShape 2"/>
        <xdr:cNvSpPr>
          <a:spLocks noChangeAspect="1" noChangeArrowheads="1"/>
        </xdr:cNvSpPr>
      </xdr:nvSpPr>
      <xdr:spPr bwMode="auto">
        <a:xfrm>
          <a:off x="285750" y="130992563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745</xdr:row>
      <xdr:rowOff>0</xdr:rowOff>
    </xdr:from>
    <xdr:ext cx="304800" cy="223837"/>
    <xdr:sp macro="" textlink="">
      <xdr:nvSpPr>
        <xdr:cNvPr id="78" name="AutoShape 2"/>
        <xdr:cNvSpPr>
          <a:spLocks noChangeAspect="1" noChangeArrowheads="1"/>
        </xdr:cNvSpPr>
      </xdr:nvSpPr>
      <xdr:spPr bwMode="auto">
        <a:xfrm>
          <a:off x="285750" y="122110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745</xdr:row>
      <xdr:rowOff>0</xdr:rowOff>
    </xdr:from>
    <xdr:ext cx="304800" cy="223837"/>
    <xdr:sp macro="" textlink="">
      <xdr:nvSpPr>
        <xdr:cNvPr id="79" name="AutoShape 4"/>
        <xdr:cNvSpPr>
          <a:spLocks noChangeAspect="1" noChangeArrowheads="1"/>
        </xdr:cNvSpPr>
      </xdr:nvSpPr>
      <xdr:spPr bwMode="auto">
        <a:xfrm>
          <a:off x="285750" y="122110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745</xdr:row>
      <xdr:rowOff>0</xdr:rowOff>
    </xdr:from>
    <xdr:ext cx="304800" cy="223837"/>
    <xdr:sp macro="" textlink="">
      <xdr:nvSpPr>
        <xdr:cNvPr id="80" name="AutoShape 5"/>
        <xdr:cNvSpPr>
          <a:spLocks noChangeAspect="1" noChangeArrowheads="1"/>
        </xdr:cNvSpPr>
      </xdr:nvSpPr>
      <xdr:spPr bwMode="auto">
        <a:xfrm>
          <a:off x="285750" y="122110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745</xdr:row>
      <xdr:rowOff>0</xdr:rowOff>
    </xdr:from>
    <xdr:ext cx="304800" cy="223837"/>
    <xdr:sp macro="" textlink="">
      <xdr:nvSpPr>
        <xdr:cNvPr id="81" name="AutoShape 2"/>
        <xdr:cNvSpPr>
          <a:spLocks noChangeAspect="1" noChangeArrowheads="1"/>
        </xdr:cNvSpPr>
      </xdr:nvSpPr>
      <xdr:spPr bwMode="auto">
        <a:xfrm>
          <a:off x="285750" y="122110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966</xdr:row>
      <xdr:rowOff>0</xdr:rowOff>
    </xdr:from>
    <xdr:ext cx="304800" cy="223837"/>
    <xdr:sp macro="" textlink="">
      <xdr:nvSpPr>
        <xdr:cNvPr id="82" name="AutoShape 2"/>
        <xdr:cNvSpPr>
          <a:spLocks noChangeAspect="1" noChangeArrowheads="1"/>
        </xdr:cNvSpPr>
      </xdr:nvSpPr>
      <xdr:spPr bwMode="auto">
        <a:xfrm>
          <a:off x="285750" y="177653156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966</xdr:row>
      <xdr:rowOff>0</xdr:rowOff>
    </xdr:from>
    <xdr:ext cx="304800" cy="223837"/>
    <xdr:sp macro="" textlink="">
      <xdr:nvSpPr>
        <xdr:cNvPr id="83" name="AutoShape 4"/>
        <xdr:cNvSpPr>
          <a:spLocks noChangeAspect="1" noChangeArrowheads="1"/>
        </xdr:cNvSpPr>
      </xdr:nvSpPr>
      <xdr:spPr bwMode="auto">
        <a:xfrm>
          <a:off x="285750" y="177653156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966</xdr:row>
      <xdr:rowOff>0</xdr:rowOff>
    </xdr:from>
    <xdr:ext cx="304800" cy="223837"/>
    <xdr:sp macro="" textlink="">
      <xdr:nvSpPr>
        <xdr:cNvPr id="84" name="AutoShape 5"/>
        <xdr:cNvSpPr>
          <a:spLocks noChangeAspect="1" noChangeArrowheads="1"/>
        </xdr:cNvSpPr>
      </xdr:nvSpPr>
      <xdr:spPr bwMode="auto">
        <a:xfrm>
          <a:off x="285750" y="177653156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966</xdr:row>
      <xdr:rowOff>0</xdr:rowOff>
    </xdr:from>
    <xdr:ext cx="304800" cy="223837"/>
    <xdr:sp macro="" textlink="">
      <xdr:nvSpPr>
        <xdr:cNvPr id="85" name="AutoShape 2"/>
        <xdr:cNvSpPr>
          <a:spLocks noChangeAspect="1" noChangeArrowheads="1"/>
        </xdr:cNvSpPr>
      </xdr:nvSpPr>
      <xdr:spPr bwMode="auto">
        <a:xfrm>
          <a:off x="285750" y="177653156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6" name="AutoShape 2"/>
        <xdr:cNvSpPr>
          <a:spLocks noChangeAspect="1" noChangeArrowheads="1"/>
        </xdr:cNvSpPr>
      </xdr:nvSpPr>
      <xdr:spPr bwMode="auto">
        <a:xfrm>
          <a:off x="285750" y="134778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7" name="AutoShape 4"/>
        <xdr:cNvSpPr>
          <a:spLocks noChangeAspect="1" noChangeArrowheads="1"/>
        </xdr:cNvSpPr>
      </xdr:nvSpPr>
      <xdr:spPr bwMode="auto">
        <a:xfrm>
          <a:off x="285750" y="134778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8" name="AutoShape 5"/>
        <xdr:cNvSpPr>
          <a:spLocks noChangeAspect="1" noChangeArrowheads="1"/>
        </xdr:cNvSpPr>
      </xdr:nvSpPr>
      <xdr:spPr bwMode="auto">
        <a:xfrm>
          <a:off x="285750" y="134778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9" name="AutoShape 2"/>
        <xdr:cNvSpPr>
          <a:spLocks noChangeAspect="1" noChangeArrowheads="1"/>
        </xdr:cNvSpPr>
      </xdr:nvSpPr>
      <xdr:spPr bwMode="auto">
        <a:xfrm>
          <a:off x="285750" y="134778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0" name="AutoShape 2"/>
        <xdr:cNvSpPr>
          <a:spLocks noChangeAspect="1" noChangeArrowheads="1"/>
        </xdr:cNvSpPr>
      </xdr:nvSpPr>
      <xdr:spPr bwMode="auto">
        <a:xfrm>
          <a:off x="285750" y="2110620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1" name="AutoShape 4"/>
        <xdr:cNvSpPr>
          <a:spLocks noChangeAspect="1" noChangeArrowheads="1"/>
        </xdr:cNvSpPr>
      </xdr:nvSpPr>
      <xdr:spPr bwMode="auto">
        <a:xfrm>
          <a:off x="285750" y="2110620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2" name="AutoShape 5"/>
        <xdr:cNvSpPr>
          <a:spLocks noChangeAspect="1" noChangeArrowheads="1"/>
        </xdr:cNvSpPr>
      </xdr:nvSpPr>
      <xdr:spPr bwMode="auto">
        <a:xfrm>
          <a:off x="285750" y="2110620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3" name="AutoShape 2"/>
        <xdr:cNvSpPr>
          <a:spLocks noChangeAspect="1" noChangeArrowheads="1"/>
        </xdr:cNvSpPr>
      </xdr:nvSpPr>
      <xdr:spPr bwMode="auto">
        <a:xfrm>
          <a:off x="285750" y="2110620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745</xdr:row>
      <xdr:rowOff>0</xdr:rowOff>
    </xdr:from>
    <xdr:ext cx="304800" cy="223837"/>
    <xdr:sp macro="" textlink="">
      <xdr:nvSpPr>
        <xdr:cNvPr id="94" name="AutoShape 2"/>
        <xdr:cNvSpPr>
          <a:spLocks noChangeAspect="1" noChangeArrowheads="1"/>
        </xdr:cNvSpPr>
      </xdr:nvSpPr>
      <xdr:spPr bwMode="auto">
        <a:xfrm>
          <a:off x="285750" y="190904813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745</xdr:row>
      <xdr:rowOff>0</xdr:rowOff>
    </xdr:from>
    <xdr:ext cx="304800" cy="223837"/>
    <xdr:sp macro="" textlink="">
      <xdr:nvSpPr>
        <xdr:cNvPr id="95" name="AutoShape 4"/>
        <xdr:cNvSpPr>
          <a:spLocks noChangeAspect="1" noChangeArrowheads="1"/>
        </xdr:cNvSpPr>
      </xdr:nvSpPr>
      <xdr:spPr bwMode="auto">
        <a:xfrm>
          <a:off x="285750" y="190904813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745</xdr:row>
      <xdr:rowOff>0</xdr:rowOff>
    </xdr:from>
    <xdr:ext cx="304800" cy="223837"/>
    <xdr:sp macro="" textlink="">
      <xdr:nvSpPr>
        <xdr:cNvPr id="96" name="AutoShape 5"/>
        <xdr:cNvSpPr>
          <a:spLocks noChangeAspect="1" noChangeArrowheads="1"/>
        </xdr:cNvSpPr>
      </xdr:nvSpPr>
      <xdr:spPr bwMode="auto">
        <a:xfrm>
          <a:off x="285750" y="190904813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745</xdr:row>
      <xdr:rowOff>0</xdr:rowOff>
    </xdr:from>
    <xdr:ext cx="304800" cy="223837"/>
    <xdr:sp macro="" textlink="">
      <xdr:nvSpPr>
        <xdr:cNvPr id="97" name="AutoShape 2"/>
        <xdr:cNvSpPr>
          <a:spLocks noChangeAspect="1" noChangeArrowheads="1"/>
        </xdr:cNvSpPr>
      </xdr:nvSpPr>
      <xdr:spPr bwMode="auto">
        <a:xfrm>
          <a:off x="285750" y="190904813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968</xdr:row>
      <xdr:rowOff>0</xdr:rowOff>
    </xdr:from>
    <xdr:ext cx="304800" cy="223837"/>
    <xdr:sp macro="" textlink="">
      <xdr:nvSpPr>
        <xdr:cNvPr id="98" name="AutoShape 2"/>
        <xdr:cNvSpPr>
          <a:spLocks noChangeAspect="1" noChangeArrowheads="1"/>
        </xdr:cNvSpPr>
      </xdr:nvSpPr>
      <xdr:spPr bwMode="auto">
        <a:xfrm>
          <a:off x="285750" y="1809630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968</xdr:row>
      <xdr:rowOff>0</xdr:rowOff>
    </xdr:from>
    <xdr:ext cx="304800" cy="223837"/>
    <xdr:sp macro="" textlink="">
      <xdr:nvSpPr>
        <xdr:cNvPr id="99" name="AutoShape 4"/>
        <xdr:cNvSpPr>
          <a:spLocks noChangeAspect="1" noChangeArrowheads="1"/>
        </xdr:cNvSpPr>
      </xdr:nvSpPr>
      <xdr:spPr bwMode="auto">
        <a:xfrm>
          <a:off x="285750" y="1809630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968</xdr:row>
      <xdr:rowOff>0</xdr:rowOff>
    </xdr:from>
    <xdr:ext cx="304800" cy="223837"/>
    <xdr:sp macro="" textlink="">
      <xdr:nvSpPr>
        <xdr:cNvPr id="100" name="AutoShape 5"/>
        <xdr:cNvSpPr>
          <a:spLocks noChangeAspect="1" noChangeArrowheads="1"/>
        </xdr:cNvSpPr>
      </xdr:nvSpPr>
      <xdr:spPr bwMode="auto">
        <a:xfrm>
          <a:off x="285750" y="1809630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968</xdr:row>
      <xdr:rowOff>0</xdr:rowOff>
    </xdr:from>
    <xdr:ext cx="304800" cy="223837"/>
    <xdr:sp macro="" textlink="">
      <xdr:nvSpPr>
        <xdr:cNvPr id="101" name="AutoShape 2"/>
        <xdr:cNvSpPr>
          <a:spLocks noChangeAspect="1" noChangeArrowheads="1"/>
        </xdr:cNvSpPr>
      </xdr:nvSpPr>
      <xdr:spPr bwMode="auto">
        <a:xfrm>
          <a:off x="285750" y="1809630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739</xdr:row>
      <xdr:rowOff>0</xdr:rowOff>
    </xdr:from>
    <xdr:ext cx="304800" cy="223837"/>
    <xdr:sp macro="" textlink="">
      <xdr:nvSpPr>
        <xdr:cNvPr id="102" name="AutoShape 2"/>
        <xdr:cNvSpPr>
          <a:spLocks noChangeAspect="1" noChangeArrowheads="1"/>
        </xdr:cNvSpPr>
      </xdr:nvSpPr>
      <xdr:spPr bwMode="auto">
        <a:xfrm>
          <a:off x="285750" y="1196220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739</xdr:row>
      <xdr:rowOff>0</xdr:rowOff>
    </xdr:from>
    <xdr:ext cx="304800" cy="223837"/>
    <xdr:sp macro="" textlink="">
      <xdr:nvSpPr>
        <xdr:cNvPr id="103" name="AutoShape 4"/>
        <xdr:cNvSpPr>
          <a:spLocks noChangeAspect="1" noChangeArrowheads="1"/>
        </xdr:cNvSpPr>
      </xdr:nvSpPr>
      <xdr:spPr bwMode="auto">
        <a:xfrm>
          <a:off x="285750" y="1196220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739</xdr:row>
      <xdr:rowOff>0</xdr:rowOff>
    </xdr:from>
    <xdr:ext cx="304800" cy="223837"/>
    <xdr:sp macro="" textlink="">
      <xdr:nvSpPr>
        <xdr:cNvPr id="104" name="AutoShape 5"/>
        <xdr:cNvSpPr>
          <a:spLocks noChangeAspect="1" noChangeArrowheads="1"/>
        </xdr:cNvSpPr>
      </xdr:nvSpPr>
      <xdr:spPr bwMode="auto">
        <a:xfrm>
          <a:off x="285750" y="1196220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739</xdr:row>
      <xdr:rowOff>0</xdr:rowOff>
    </xdr:from>
    <xdr:ext cx="304800" cy="223837"/>
    <xdr:sp macro="" textlink="">
      <xdr:nvSpPr>
        <xdr:cNvPr id="105" name="AutoShape 2"/>
        <xdr:cNvSpPr>
          <a:spLocks noChangeAspect="1" noChangeArrowheads="1"/>
        </xdr:cNvSpPr>
      </xdr:nvSpPr>
      <xdr:spPr bwMode="auto">
        <a:xfrm>
          <a:off x="285750" y="1196220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628</xdr:row>
      <xdr:rowOff>0</xdr:rowOff>
    </xdr:from>
    <xdr:ext cx="304800" cy="223837"/>
    <xdr:sp macro="" textlink="">
      <xdr:nvSpPr>
        <xdr:cNvPr id="106" name="AutoShape 2"/>
        <xdr:cNvSpPr>
          <a:spLocks noChangeAspect="1" noChangeArrowheads="1"/>
        </xdr:cNvSpPr>
      </xdr:nvSpPr>
      <xdr:spPr bwMode="auto">
        <a:xfrm>
          <a:off x="285750" y="11547871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628</xdr:row>
      <xdr:rowOff>0</xdr:rowOff>
    </xdr:from>
    <xdr:ext cx="304800" cy="223837"/>
    <xdr:sp macro="" textlink="">
      <xdr:nvSpPr>
        <xdr:cNvPr id="107" name="AutoShape 4"/>
        <xdr:cNvSpPr>
          <a:spLocks noChangeAspect="1" noChangeArrowheads="1"/>
        </xdr:cNvSpPr>
      </xdr:nvSpPr>
      <xdr:spPr bwMode="auto">
        <a:xfrm>
          <a:off x="285750" y="11547871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628</xdr:row>
      <xdr:rowOff>0</xdr:rowOff>
    </xdr:from>
    <xdr:ext cx="304800" cy="223837"/>
    <xdr:sp macro="" textlink="">
      <xdr:nvSpPr>
        <xdr:cNvPr id="108" name="AutoShape 5"/>
        <xdr:cNvSpPr>
          <a:spLocks noChangeAspect="1" noChangeArrowheads="1"/>
        </xdr:cNvSpPr>
      </xdr:nvSpPr>
      <xdr:spPr bwMode="auto">
        <a:xfrm>
          <a:off x="285750" y="11547871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628</xdr:row>
      <xdr:rowOff>0</xdr:rowOff>
    </xdr:from>
    <xdr:ext cx="304800" cy="223837"/>
    <xdr:sp macro="" textlink="">
      <xdr:nvSpPr>
        <xdr:cNvPr id="109" name="AutoShape 2"/>
        <xdr:cNvSpPr>
          <a:spLocks noChangeAspect="1" noChangeArrowheads="1"/>
        </xdr:cNvSpPr>
      </xdr:nvSpPr>
      <xdr:spPr bwMode="auto">
        <a:xfrm>
          <a:off x="285750" y="11547871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630</xdr:row>
      <xdr:rowOff>0</xdr:rowOff>
    </xdr:from>
    <xdr:ext cx="304800" cy="223837"/>
    <xdr:sp macro="" textlink="">
      <xdr:nvSpPr>
        <xdr:cNvPr id="110" name="AutoShape 2"/>
        <xdr:cNvSpPr>
          <a:spLocks noChangeAspect="1" noChangeArrowheads="1"/>
        </xdr:cNvSpPr>
      </xdr:nvSpPr>
      <xdr:spPr bwMode="auto">
        <a:xfrm>
          <a:off x="285750" y="11585971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630</xdr:row>
      <xdr:rowOff>0</xdr:rowOff>
    </xdr:from>
    <xdr:ext cx="304800" cy="223837"/>
    <xdr:sp macro="" textlink="">
      <xdr:nvSpPr>
        <xdr:cNvPr id="111" name="AutoShape 4"/>
        <xdr:cNvSpPr>
          <a:spLocks noChangeAspect="1" noChangeArrowheads="1"/>
        </xdr:cNvSpPr>
      </xdr:nvSpPr>
      <xdr:spPr bwMode="auto">
        <a:xfrm>
          <a:off x="285750" y="11585971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630</xdr:row>
      <xdr:rowOff>0</xdr:rowOff>
    </xdr:from>
    <xdr:ext cx="304800" cy="223837"/>
    <xdr:sp macro="" textlink="">
      <xdr:nvSpPr>
        <xdr:cNvPr id="112" name="AutoShape 5"/>
        <xdr:cNvSpPr>
          <a:spLocks noChangeAspect="1" noChangeArrowheads="1"/>
        </xdr:cNvSpPr>
      </xdr:nvSpPr>
      <xdr:spPr bwMode="auto">
        <a:xfrm>
          <a:off x="285750" y="11585971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630</xdr:row>
      <xdr:rowOff>0</xdr:rowOff>
    </xdr:from>
    <xdr:ext cx="304800" cy="223837"/>
    <xdr:sp macro="" textlink="">
      <xdr:nvSpPr>
        <xdr:cNvPr id="113" name="AutoShape 2"/>
        <xdr:cNvSpPr>
          <a:spLocks noChangeAspect="1" noChangeArrowheads="1"/>
        </xdr:cNvSpPr>
      </xdr:nvSpPr>
      <xdr:spPr bwMode="auto">
        <a:xfrm>
          <a:off x="285750" y="11585971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639</xdr:row>
      <xdr:rowOff>0</xdr:rowOff>
    </xdr:from>
    <xdr:ext cx="304800" cy="223837"/>
    <xdr:sp macro="" textlink="">
      <xdr:nvSpPr>
        <xdr:cNvPr id="114" name="AutoShape 2"/>
        <xdr:cNvSpPr>
          <a:spLocks noChangeAspect="1" noChangeArrowheads="1"/>
        </xdr:cNvSpPr>
      </xdr:nvSpPr>
      <xdr:spPr bwMode="auto">
        <a:xfrm>
          <a:off x="285750" y="124122656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639</xdr:row>
      <xdr:rowOff>0</xdr:rowOff>
    </xdr:from>
    <xdr:ext cx="304800" cy="223837"/>
    <xdr:sp macro="" textlink="">
      <xdr:nvSpPr>
        <xdr:cNvPr id="115" name="AutoShape 4"/>
        <xdr:cNvSpPr>
          <a:spLocks noChangeAspect="1" noChangeArrowheads="1"/>
        </xdr:cNvSpPr>
      </xdr:nvSpPr>
      <xdr:spPr bwMode="auto">
        <a:xfrm>
          <a:off x="285750" y="124122656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639</xdr:row>
      <xdr:rowOff>0</xdr:rowOff>
    </xdr:from>
    <xdr:ext cx="304800" cy="223837"/>
    <xdr:sp macro="" textlink="">
      <xdr:nvSpPr>
        <xdr:cNvPr id="116" name="AutoShape 5"/>
        <xdr:cNvSpPr>
          <a:spLocks noChangeAspect="1" noChangeArrowheads="1"/>
        </xdr:cNvSpPr>
      </xdr:nvSpPr>
      <xdr:spPr bwMode="auto">
        <a:xfrm>
          <a:off x="285750" y="124122656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639</xdr:row>
      <xdr:rowOff>0</xdr:rowOff>
    </xdr:from>
    <xdr:ext cx="304800" cy="223837"/>
    <xdr:sp macro="" textlink="">
      <xdr:nvSpPr>
        <xdr:cNvPr id="117" name="AutoShape 2"/>
        <xdr:cNvSpPr>
          <a:spLocks noChangeAspect="1" noChangeArrowheads="1"/>
        </xdr:cNvSpPr>
      </xdr:nvSpPr>
      <xdr:spPr bwMode="auto">
        <a:xfrm>
          <a:off x="285750" y="124122656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304800" cy="223837"/>
    <xdr:sp macro="" textlink="">
      <xdr:nvSpPr>
        <xdr:cNvPr id="118" name="AutoShape 2"/>
        <xdr:cNvSpPr>
          <a:spLocks noChangeAspect="1" noChangeArrowheads="1"/>
        </xdr:cNvSpPr>
      </xdr:nvSpPr>
      <xdr:spPr bwMode="auto">
        <a:xfrm>
          <a:off x="285750" y="119086313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304800" cy="223837"/>
    <xdr:sp macro="" textlink="">
      <xdr:nvSpPr>
        <xdr:cNvPr id="119" name="AutoShape 4"/>
        <xdr:cNvSpPr>
          <a:spLocks noChangeAspect="1" noChangeArrowheads="1"/>
        </xdr:cNvSpPr>
      </xdr:nvSpPr>
      <xdr:spPr bwMode="auto">
        <a:xfrm>
          <a:off x="285750" y="119086313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304800" cy="223837"/>
    <xdr:sp macro="" textlink="">
      <xdr:nvSpPr>
        <xdr:cNvPr id="120" name="AutoShape 5"/>
        <xdr:cNvSpPr>
          <a:spLocks noChangeAspect="1" noChangeArrowheads="1"/>
        </xdr:cNvSpPr>
      </xdr:nvSpPr>
      <xdr:spPr bwMode="auto">
        <a:xfrm>
          <a:off x="285750" y="119086313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304800" cy="223837"/>
    <xdr:sp macro="" textlink="">
      <xdr:nvSpPr>
        <xdr:cNvPr id="121" name="AutoShape 2"/>
        <xdr:cNvSpPr>
          <a:spLocks noChangeAspect="1" noChangeArrowheads="1"/>
        </xdr:cNvSpPr>
      </xdr:nvSpPr>
      <xdr:spPr bwMode="auto">
        <a:xfrm>
          <a:off x="285750" y="119086313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670</xdr:row>
      <xdr:rowOff>0</xdr:rowOff>
    </xdr:from>
    <xdr:ext cx="304800" cy="223837"/>
    <xdr:sp macro="" textlink="">
      <xdr:nvSpPr>
        <xdr:cNvPr id="126" name="AutoShape 2"/>
        <xdr:cNvSpPr>
          <a:spLocks noChangeAspect="1" noChangeArrowheads="1"/>
        </xdr:cNvSpPr>
      </xdr:nvSpPr>
      <xdr:spPr bwMode="auto">
        <a:xfrm>
          <a:off x="285750" y="12103893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670</xdr:row>
      <xdr:rowOff>0</xdr:rowOff>
    </xdr:from>
    <xdr:ext cx="304800" cy="223837"/>
    <xdr:sp macro="" textlink="">
      <xdr:nvSpPr>
        <xdr:cNvPr id="127" name="AutoShape 4"/>
        <xdr:cNvSpPr>
          <a:spLocks noChangeAspect="1" noChangeArrowheads="1"/>
        </xdr:cNvSpPr>
      </xdr:nvSpPr>
      <xdr:spPr bwMode="auto">
        <a:xfrm>
          <a:off x="285750" y="12103893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670</xdr:row>
      <xdr:rowOff>0</xdr:rowOff>
    </xdr:from>
    <xdr:ext cx="304800" cy="223837"/>
    <xdr:sp macro="" textlink="">
      <xdr:nvSpPr>
        <xdr:cNvPr id="128" name="AutoShape 5"/>
        <xdr:cNvSpPr>
          <a:spLocks noChangeAspect="1" noChangeArrowheads="1"/>
        </xdr:cNvSpPr>
      </xdr:nvSpPr>
      <xdr:spPr bwMode="auto">
        <a:xfrm>
          <a:off x="285750" y="12103893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670</xdr:row>
      <xdr:rowOff>0</xdr:rowOff>
    </xdr:from>
    <xdr:ext cx="304800" cy="223837"/>
    <xdr:sp macro="" textlink="">
      <xdr:nvSpPr>
        <xdr:cNvPr id="129" name="AutoShape 2"/>
        <xdr:cNvSpPr>
          <a:spLocks noChangeAspect="1" noChangeArrowheads="1"/>
        </xdr:cNvSpPr>
      </xdr:nvSpPr>
      <xdr:spPr bwMode="auto">
        <a:xfrm>
          <a:off x="285750" y="12103893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670</xdr:row>
      <xdr:rowOff>0</xdr:rowOff>
    </xdr:from>
    <xdr:ext cx="304800" cy="223837"/>
    <xdr:sp macro="" textlink="">
      <xdr:nvSpPr>
        <xdr:cNvPr id="130" name="AutoShape 2"/>
        <xdr:cNvSpPr>
          <a:spLocks noChangeAspect="1" noChangeArrowheads="1"/>
        </xdr:cNvSpPr>
      </xdr:nvSpPr>
      <xdr:spPr bwMode="auto">
        <a:xfrm>
          <a:off x="285750" y="123991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670</xdr:row>
      <xdr:rowOff>0</xdr:rowOff>
    </xdr:from>
    <xdr:ext cx="304800" cy="223837"/>
    <xdr:sp macro="" textlink="">
      <xdr:nvSpPr>
        <xdr:cNvPr id="131" name="AutoShape 4"/>
        <xdr:cNvSpPr>
          <a:spLocks noChangeAspect="1" noChangeArrowheads="1"/>
        </xdr:cNvSpPr>
      </xdr:nvSpPr>
      <xdr:spPr bwMode="auto">
        <a:xfrm>
          <a:off x="285750" y="123991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670</xdr:row>
      <xdr:rowOff>0</xdr:rowOff>
    </xdr:from>
    <xdr:ext cx="304800" cy="223837"/>
    <xdr:sp macro="" textlink="">
      <xdr:nvSpPr>
        <xdr:cNvPr id="132" name="AutoShape 5"/>
        <xdr:cNvSpPr>
          <a:spLocks noChangeAspect="1" noChangeArrowheads="1"/>
        </xdr:cNvSpPr>
      </xdr:nvSpPr>
      <xdr:spPr bwMode="auto">
        <a:xfrm>
          <a:off x="285750" y="123991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670</xdr:row>
      <xdr:rowOff>0</xdr:rowOff>
    </xdr:from>
    <xdr:ext cx="304800" cy="223837"/>
    <xdr:sp macro="" textlink="">
      <xdr:nvSpPr>
        <xdr:cNvPr id="133" name="AutoShape 2"/>
        <xdr:cNvSpPr>
          <a:spLocks noChangeAspect="1" noChangeArrowheads="1"/>
        </xdr:cNvSpPr>
      </xdr:nvSpPr>
      <xdr:spPr bwMode="auto">
        <a:xfrm>
          <a:off x="285750" y="123991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672</xdr:row>
      <xdr:rowOff>0</xdr:rowOff>
    </xdr:from>
    <xdr:ext cx="304800" cy="223837"/>
    <xdr:sp macro="" textlink="">
      <xdr:nvSpPr>
        <xdr:cNvPr id="134" name="AutoShape 2"/>
        <xdr:cNvSpPr>
          <a:spLocks noChangeAspect="1" noChangeArrowheads="1"/>
        </xdr:cNvSpPr>
      </xdr:nvSpPr>
      <xdr:spPr bwMode="auto">
        <a:xfrm>
          <a:off x="285750" y="1255275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672</xdr:row>
      <xdr:rowOff>0</xdr:rowOff>
    </xdr:from>
    <xdr:ext cx="304800" cy="223837"/>
    <xdr:sp macro="" textlink="">
      <xdr:nvSpPr>
        <xdr:cNvPr id="135" name="AutoShape 4"/>
        <xdr:cNvSpPr>
          <a:spLocks noChangeAspect="1" noChangeArrowheads="1"/>
        </xdr:cNvSpPr>
      </xdr:nvSpPr>
      <xdr:spPr bwMode="auto">
        <a:xfrm>
          <a:off x="285750" y="1255275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672</xdr:row>
      <xdr:rowOff>0</xdr:rowOff>
    </xdr:from>
    <xdr:ext cx="304800" cy="223837"/>
    <xdr:sp macro="" textlink="">
      <xdr:nvSpPr>
        <xdr:cNvPr id="136" name="AutoShape 5"/>
        <xdr:cNvSpPr>
          <a:spLocks noChangeAspect="1" noChangeArrowheads="1"/>
        </xdr:cNvSpPr>
      </xdr:nvSpPr>
      <xdr:spPr bwMode="auto">
        <a:xfrm>
          <a:off x="285750" y="1255275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672</xdr:row>
      <xdr:rowOff>0</xdr:rowOff>
    </xdr:from>
    <xdr:ext cx="304800" cy="223837"/>
    <xdr:sp macro="" textlink="">
      <xdr:nvSpPr>
        <xdr:cNvPr id="137" name="AutoShape 2"/>
        <xdr:cNvSpPr>
          <a:spLocks noChangeAspect="1" noChangeArrowheads="1"/>
        </xdr:cNvSpPr>
      </xdr:nvSpPr>
      <xdr:spPr bwMode="auto">
        <a:xfrm>
          <a:off x="285750" y="1255275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714</xdr:row>
      <xdr:rowOff>0</xdr:rowOff>
    </xdr:from>
    <xdr:ext cx="304800" cy="223837"/>
    <xdr:sp macro="" textlink="">
      <xdr:nvSpPr>
        <xdr:cNvPr id="138" name="AutoShape 2"/>
        <xdr:cNvSpPr>
          <a:spLocks noChangeAspect="1" noChangeArrowheads="1"/>
        </xdr:cNvSpPr>
      </xdr:nvSpPr>
      <xdr:spPr bwMode="auto">
        <a:xfrm>
          <a:off x="285750" y="119086313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714</xdr:row>
      <xdr:rowOff>0</xdr:rowOff>
    </xdr:from>
    <xdr:ext cx="304800" cy="223837"/>
    <xdr:sp macro="" textlink="">
      <xdr:nvSpPr>
        <xdr:cNvPr id="139" name="AutoShape 4"/>
        <xdr:cNvSpPr>
          <a:spLocks noChangeAspect="1" noChangeArrowheads="1"/>
        </xdr:cNvSpPr>
      </xdr:nvSpPr>
      <xdr:spPr bwMode="auto">
        <a:xfrm>
          <a:off x="285750" y="119086313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714</xdr:row>
      <xdr:rowOff>0</xdr:rowOff>
    </xdr:from>
    <xdr:ext cx="304800" cy="223837"/>
    <xdr:sp macro="" textlink="">
      <xdr:nvSpPr>
        <xdr:cNvPr id="140" name="AutoShape 5"/>
        <xdr:cNvSpPr>
          <a:spLocks noChangeAspect="1" noChangeArrowheads="1"/>
        </xdr:cNvSpPr>
      </xdr:nvSpPr>
      <xdr:spPr bwMode="auto">
        <a:xfrm>
          <a:off x="285750" y="119086313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714</xdr:row>
      <xdr:rowOff>0</xdr:rowOff>
    </xdr:from>
    <xdr:ext cx="304800" cy="223837"/>
    <xdr:sp macro="" textlink="">
      <xdr:nvSpPr>
        <xdr:cNvPr id="141" name="AutoShape 2"/>
        <xdr:cNvSpPr>
          <a:spLocks noChangeAspect="1" noChangeArrowheads="1"/>
        </xdr:cNvSpPr>
      </xdr:nvSpPr>
      <xdr:spPr bwMode="auto">
        <a:xfrm>
          <a:off x="285750" y="119086313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304800" cy="223837"/>
    <xdr:sp macro="" textlink="">
      <xdr:nvSpPr>
        <xdr:cNvPr id="142" name="AutoShape 2"/>
        <xdr:cNvSpPr>
          <a:spLocks noChangeAspect="1" noChangeArrowheads="1"/>
        </xdr:cNvSpPr>
      </xdr:nvSpPr>
      <xdr:spPr bwMode="auto">
        <a:xfrm>
          <a:off x="285750" y="1361122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304800" cy="223837"/>
    <xdr:sp macro="" textlink="">
      <xdr:nvSpPr>
        <xdr:cNvPr id="143" name="AutoShape 4"/>
        <xdr:cNvSpPr>
          <a:spLocks noChangeAspect="1" noChangeArrowheads="1"/>
        </xdr:cNvSpPr>
      </xdr:nvSpPr>
      <xdr:spPr bwMode="auto">
        <a:xfrm>
          <a:off x="285750" y="1361122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304800" cy="223837"/>
    <xdr:sp macro="" textlink="">
      <xdr:nvSpPr>
        <xdr:cNvPr id="144" name="AutoShape 5"/>
        <xdr:cNvSpPr>
          <a:spLocks noChangeAspect="1" noChangeArrowheads="1"/>
        </xdr:cNvSpPr>
      </xdr:nvSpPr>
      <xdr:spPr bwMode="auto">
        <a:xfrm>
          <a:off x="285750" y="1361122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304800" cy="223837"/>
    <xdr:sp macro="" textlink="">
      <xdr:nvSpPr>
        <xdr:cNvPr id="145" name="AutoShape 2"/>
        <xdr:cNvSpPr>
          <a:spLocks noChangeAspect="1" noChangeArrowheads="1"/>
        </xdr:cNvSpPr>
      </xdr:nvSpPr>
      <xdr:spPr bwMode="auto">
        <a:xfrm>
          <a:off x="285750" y="1361122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146" name="AutoShape 2"/>
        <xdr:cNvSpPr>
          <a:spLocks noChangeAspect="1" noChangeArrowheads="1"/>
        </xdr:cNvSpPr>
      </xdr:nvSpPr>
      <xdr:spPr bwMode="auto">
        <a:xfrm>
          <a:off x="285750" y="138255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147" name="AutoShape 4"/>
        <xdr:cNvSpPr>
          <a:spLocks noChangeAspect="1" noChangeArrowheads="1"/>
        </xdr:cNvSpPr>
      </xdr:nvSpPr>
      <xdr:spPr bwMode="auto">
        <a:xfrm>
          <a:off x="285750" y="138255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148" name="AutoShape 5"/>
        <xdr:cNvSpPr>
          <a:spLocks noChangeAspect="1" noChangeArrowheads="1"/>
        </xdr:cNvSpPr>
      </xdr:nvSpPr>
      <xdr:spPr bwMode="auto">
        <a:xfrm>
          <a:off x="285750" y="138255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149" name="AutoShape 2"/>
        <xdr:cNvSpPr>
          <a:spLocks noChangeAspect="1" noChangeArrowheads="1"/>
        </xdr:cNvSpPr>
      </xdr:nvSpPr>
      <xdr:spPr bwMode="auto">
        <a:xfrm>
          <a:off x="285750" y="138255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150" name="AutoShape 2"/>
        <xdr:cNvSpPr>
          <a:spLocks noChangeAspect="1" noChangeArrowheads="1"/>
        </xdr:cNvSpPr>
      </xdr:nvSpPr>
      <xdr:spPr bwMode="auto">
        <a:xfrm>
          <a:off x="285750" y="1400055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151" name="AutoShape 4"/>
        <xdr:cNvSpPr>
          <a:spLocks noChangeAspect="1" noChangeArrowheads="1"/>
        </xdr:cNvSpPr>
      </xdr:nvSpPr>
      <xdr:spPr bwMode="auto">
        <a:xfrm>
          <a:off x="285750" y="1400055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152" name="AutoShape 5"/>
        <xdr:cNvSpPr>
          <a:spLocks noChangeAspect="1" noChangeArrowheads="1"/>
        </xdr:cNvSpPr>
      </xdr:nvSpPr>
      <xdr:spPr bwMode="auto">
        <a:xfrm>
          <a:off x="285750" y="1400055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153" name="AutoShape 2"/>
        <xdr:cNvSpPr>
          <a:spLocks noChangeAspect="1" noChangeArrowheads="1"/>
        </xdr:cNvSpPr>
      </xdr:nvSpPr>
      <xdr:spPr bwMode="auto">
        <a:xfrm>
          <a:off x="285750" y="1400055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154" name="AutoShape 2"/>
        <xdr:cNvSpPr>
          <a:spLocks noChangeAspect="1" noChangeArrowheads="1"/>
        </xdr:cNvSpPr>
      </xdr:nvSpPr>
      <xdr:spPr bwMode="auto">
        <a:xfrm>
          <a:off x="285750" y="1423511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155" name="AutoShape 4"/>
        <xdr:cNvSpPr>
          <a:spLocks noChangeAspect="1" noChangeArrowheads="1"/>
        </xdr:cNvSpPr>
      </xdr:nvSpPr>
      <xdr:spPr bwMode="auto">
        <a:xfrm>
          <a:off x="285750" y="1423511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156" name="AutoShape 5"/>
        <xdr:cNvSpPr>
          <a:spLocks noChangeAspect="1" noChangeArrowheads="1"/>
        </xdr:cNvSpPr>
      </xdr:nvSpPr>
      <xdr:spPr bwMode="auto">
        <a:xfrm>
          <a:off x="285750" y="1423511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157" name="AutoShape 2"/>
        <xdr:cNvSpPr>
          <a:spLocks noChangeAspect="1" noChangeArrowheads="1"/>
        </xdr:cNvSpPr>
      </xdr:nvSpPr>
      <xdr:spPr bwMode="auto">
        <a:xfrm>
          <a:off x="285750" y="1423511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158" name="AutoShape 2"/>
        <xdr:cNvSpPr>
          <a:spLocks noChangeAspect="1" noChangeArrowheads="1"/>
        </xdr:cNvSpPr>
      </xdr:nvSpPr>
      <xdr:spPr bwMode="auto">
        <a:xfrm>
          <a:off x="285750" y="1423511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159" name="AutoShape 4"/>
        <xdr:cNvSpPr>
          <a:spLocks noChangeAspect="1" noChangeArrowheads="1"/>
        </xdr:cNvSpPr>
      </xdr:nvSpPr>
      <xdr:spPr bwMode="auto">
        <a:xfrm>
          <a:off x="285750" y="1423511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160" name="AutoShape 5"/>
        <xdr:cNvSpPr>
          <a:spLocks noChangeAspect="1" noChangeArrowheads="1"/>
        </xdr:cNvSpPr>
      </xdr:nvSpPr>
      <xdr:spPr bwMode="auto">
        <a:xfrm>
          <a:off x="285750" y="1423511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161" name="AutoShape 2"/>
        <xdr:cNvSpPr>
          <a:spLocks noChangeAspect="1" noChangeArrowheads="1"/>
        </xdr:cNvSpPr>
      </xdr:nvSpPr>
      <xdr:spPr bwMode="auto">
        <a:xfrm>
          <a:off x="285750" y="1423511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166" name="AutoShape 2"/>
        <xdr:cNvSpPr>
          <a:spLocks noChangeAspect="1" noChangeArrowheads="1"/>
        </xdr:cNvSpPr>
      </xdr:nvSpPr>
      <xdr:spPr bwMode="auto">
        <a:xfrm>
          <a:off x="285750" y="146244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167" name="AutoShape 4"/>
        <xdr:cNvSpPr>
          <a:spLocks noChangeAspect="1" noChangeArrowheads="1"/>
        </xdr:cNvSpPr>
      </xdr:nvSpPr>
      <xdr:spPr bwMode="auto">
        <a:xfrm>
          <a:off x="285750" y="146244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168" name="AutoShape 5"/>
        <xdr:cNvSpPr>
          <a:spLocks noChangeAspect="1" noChangeArrowheads="1"/>
        </xdr:cNvSpPr>
      </xdr:nvSpPr>
      <xdr:spPr bwMode="auto">
        <a:xfrm>
          <a:off x="285750" y="146244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169" name="AutoShape 2"/>
        <xdr:cNvSpPr>
          <a:spLocks noChangeAspect="1" noChangeArrowheads="1"/>
        </xdr:cNvSpPr>
      </xdr:nvSpPr>
      <xdr:spPr bwMode="auto">
        <a:xfrm>
          <a:off x="285750" y="146244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1041</xdr:row>
      <xdr:rowOff>0</xdr:rowOff>
    </xdr:from>
    <xdr:ext cx="304800" cy="223837"/>
    <xdr:sp macro="" textlink="">
      <xdr:nvSpPr>
        <xdr:cNvPr id="170" name="AutoShape 2"/>
        <xdr:cNvSpPr>
          <a:spLocks noChangeAspect="1" noChangeArrowheads="1"/>
        </xdr:cNvSpPr>
      </xdr:nvSpPr>
      <xdr:spPr bwMode="auto">
        <a:xfrm>
          <a:off x="285750" y="1400055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1041</xdr:row>
      <xdr:rowOff>0</xdr:rowOff>
    </xdr:from>
    <xdr:ext cx="304800" cy="223837"/>
    <xdr:sp macro="" textlink="">
      <xdr:nvSpPr>
        <xdr:cNvPr id="171" name="AutoShape 4"/>
        <xdr:cNvSpPr>
          <a:spLocks noChangeAspect="1" noChangeArrowheads="1"/>
        </xdr:cNvSpPr>
      </xdr:nvSpPr>
      <xdr:spPr bwMode="auto">
        <a:xfrm>
          <a:off x="285750" y="1400055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1041</xdr:row>
      <xdr:rowOff>0</xdr:rowOff>
    </xdr:from>
    <xdr:ext cx="304800" cy="223837"/>
    <xdr:sp macro="" textlink="">
      <xdr:nvSpPr>
        <xdr:cNvPr id="172" name="AutoShape 5"/>
        <xdr:cNvSpPr>
          <a:spLocks noChangeAspect="1" noChangeArrowheads="1"/>
        </xdr:cNvSpPr>
      </xdr:nvSpPr>
      <xdr:spPr bwMode="auto">
        <a:xfrm>
          <a:off x="285750" y="1400055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1041</xdr:row>
      <xdr:rowOff>0</xdr:rowOff>
    </xdr:from>
    <xdr:ext cx="304800" cy="223837"/>
    <xdr:sp macro="" textlink="">
      <xdr:nvSpPr>
        <xdr:cNvPr id="173" name="AutoShape 2"/>
        <xdr:cNvSpPr>
          <a:spLocks noChangeAspect="1" noChangeArrowheads="1"/>
        </xdr:cNvSpPr>
      </xdr:nvSpPr>
      <xdr:spPr bwMode="auto">
        <a:xfrm>
          <a:off x="285750" y="1400055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725</xdr:row>
      <xdr:rowOff>0</xdr:rowOff>
    </xdr:from>
    <xdr:ext cx="304800" cy="223837"/>
    <xdr:sp macro="" textlink="">
      <xdr:nvSpPr>
        <xdr:cNvPr id="174" name="AutoShape 2"/>
        <xdr:cNvSpPr>
          <a:spLocks noChangeAspect="1" noChangeArrowheads="1"/>
        </xdr:cNvSpPr>
      </xdr:nvSpPr>
      <xdr:spPr bwMode="auto">
        <a:xfrm>
          <a:off x="285750" y="136267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725</xdr:row>
      <xdr:rowOff>0</xdr:rowOff>
    </xdr:from>
    <xdr:ext cx="304800" cy="223837"/>
    <xdr:sp macro="" textlink="">
      <xdr:nvSpPr>
        <xdr:cNvPr id="175" name="AutoShape 4"/>
        <xdr:cNvSpPr>
          <a:spLocks noChangeAspect="1" noChangeArrowheads="1"/>
        </xdr:cNvSpPr>
      </xdr:nvSpPr>
      <xdr:spPr bwMode="auto">
        <a:xfrm>
          <a:off x="285750" y="136267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725</xdr:row>
      <xdr:rowOff>0</xdr:rowOff>
    </xdr:from>
    <xdr:ext cx="304800" cy="223837"/>
    <xdr:sp macro="" textlink="">
      <xdr:nvSpPr>
        <xdr:cNvPr id="176" name="AutoShape 5"/>
        <xdr:cNvSpPr>
          <a:spLocks noChangeAspect="1" noChangeArrowheads="1"/>
        </xdr:cNvSpPr>
      </xdr:nvSpPr>
      <xdr:spPr bwMode="auto">
        <a:xfrm>
          <a:off x="285750" y="136267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725</xdr:row>
      <xdr:rowOff>0</xdr:rowOff>
    </xdr:from>
    <xdr:ext cx="304800" cy="223837"/>
    <xdr:sp macro="" textlink="">
      <xdr:nvSpPr>
        <xdr:cNvPr id="177" name="AutoShape 2"/>
        <xdr:cNvSpPr>
          <a:spLocks noChangeAspect="1" noChangeArrowheads="1"/>
        </xdr:cNvSpPr>
      </xdr:nvSpPr>
      <xdr:spPr bwMode="auto">
        <a:xfrm>
          <a:off x="285750" y="136267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732</xdr:row>
      <xdr:rowOff>0</xdr:rowOff>
    </xdr:from>
    <xdr:ext cx="304800" cy="223837"/>
    <xdr:sp macro="" textlink="">
      <xdr:nvSpPr>
        <xdr:cNvPr id="178" name="AutoShape 2"/>
        <xdr:cNvSpPr>
          <a:spLocks noChangeAspect="1" noChangeArrowheads="1"/>
        </xdr:cNvSpPr>
      </xdr:nvSpPr>
      <xdr:spPr bwMode="auto">
        <a:xfrm>
          <a:off x="285750" y="145208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732</xdr:row>
      <xdr:rowOff>0</xdr:rowOff>
    </xdr:from>
    <xdr:ext cx="304800" cy="223837"/>
    <xdr:sp macro="" textlink="">
      <xdr:nvSpPr>
        <xdr:cNvPr id="179" name="AutoShape 4"/>
        <xdr:cNvSpPr>
          <a:spLocks noChangeAspect="1" noChangeArrowheads="1"/>
        </xdr:cNvSpPr>
      </xdr:nvSpPr>
      <xdr:spPr bwMode="auto">
        <a:xfrm>
          <a:off x="285750" y="145208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732</xdr:row>
      <xdr:rowOff>0</xdr:rowOff>
    </xdr:from>
    <xdr:ext cx="304800" cy="223837"/>
    <xdr:sp macro="" textlink="">
      <xdr:nvSpPr>
        <xdr:cNvPr id="180" name="AutoShape 5"/>
        <xdr:cNvSpPr>
          <a:spLocks noChangeAspect="1" noChangeArrowheads="1"/>
        </xdr:cNvSpPr>
      </xdr:nvSpPr>
      <xdr:spPr bwMode="auto">
        <a:xfrm>
          <a:off x="285750" y="145208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732</xdr:row>
      <xdr:rowOff>0</xdr:rowOff>
    </xdr:from>
    <xdr:ext cx="304800" cy="223837"/>
    <xdr:sp macro="" textlink="">
      <xdr:nvSpPr>
        <xdr:cNvPr id="181" name="AutoShape 2"/>
        <xdr:cNvSpPr>
          <a:spLocks noChangeAspect="1" noChangeArrowheads="1"/>
        </xdr:cNvSpPr>
      </xdr:nvSpPr>
      <xdr:spPr bwMode="auto">
        <a:xfrm>
          <a:off x="285750" y="145208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745</xdr:row>
      <xdr:rowOff>0</xdr:rowOff>
    </xdr:from>
    <xdr:to>
      <xdr:col>1</xdr:col>
      <xdr:colOff>304800</xdr:colOff>
      <xdr:row>755</xdr:row>
      <xdr:rowOff>23812</xdr:rowOff>
    </xdr:to>
    <xdr:sp macro="" textlink="">
      <xdr:nvSpPr>
        <xdr:cNvPr id="182" name="AutoShape 12" descr="Пирамидка 8 дет."/>
        <xdr:cNvSpPr>
          <a:spLocks noChangeAspect="1" noChangeArrowheads="1"/>
        </xdr:cNvSpPr>
      </xdr:nvSpPr>
      <xdr:spPr bwMode="auto">
        <a:xfrm>
          <a:off x="285750" y="1594485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1</xdr:col>
      <xdr:colOff>304800</xdr:colOff>
      <xdr:row>755</xdr:row>
      <xdr:rowOff>23812</xdr:rowOff>
    </xdr:to>
    <xdr:sp macro="" textlink="">
      <xdr:nvSpPr>
        <xdr:cNvPr id="183" name="AutoShape 13" descr="Пирамидка 8 дет."/>
        <xdr:cNvSpPr>
          <a:spLocks noChangeAspect="1" noChangeArrowheads="1"/>
        </xdr:cNvSpPr>
      </xdr:nvSpPr>
      <xdr:spPr bwMode="auto">
        <a:xfrm>
          <a:off x="285750" y="1594485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1</xdr:col>
      <xdr:colOff>304800</xdr:colOff>
      <xdr:row>755</xdr:row>
      <xdr:rowOff>23812</xdr:rowOff>
    </xdr:to>
    <xdr:sp macro="" textlink="">
      <xdr:nvSpPr>
        <xdr:cNvPr id="184" name="AutoShape 28" descr="Стенд информационный Информация, 4 отд., 500х750, красный, настенный  #1"/>
        <xdr:cNvSpPr>
          <a:spLocks noChangeAspect="1" noChangeArrowheads="1"/>
        </xdr:cNvSpPr>
      </xdr:nvSpPr>
      <xdr:spPr bwMode="auto">
        <a:xfrm>
          <a:off x="285750" y="1594485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148167</xdr:colOff>
      <xdr:row>745</xdr:row>
      <xdr:rowOff>0</xdr:rowOff>
    </xdr:from>
    <xdr:to>
      <xdr:col>1</xdr:col>
      <xdr:colOff>452967</xdr:colOff>
      <xdr:row>755</xdr:row>
      <xdr:rowOff>33338</xdr:rowOff>
    </xdr:to>
    <xdr:sp macro="" textlink="">
      <xdr:nvSpPr>
        <xdr:cNvPr id="185" name="AutoShape 1"/>
        <xdr:cNvSpPr>
          <a:spLocks noChangeAspect="1" noChangeArrowheads="1"/>
        </xdr:cNvSpPr>
      </xdr:nvSpPr>
      <xdr:spPr bwMode="auto">
        <a:xfrm>
          <a:off x="433917" y="159448500"/>
          <a:ext cx="304800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1</xdr:col>
      <xdr:colOff>304800</xdr:colOff>
      <xdr:row>755</xdr:row>
      <xdr:rowOff>33337</xdr:rowOff>
    </xdr:to>
    <xdr:sp macro="" textlink="">
      <xdr:nvSpPr>
        <xdr:cNvPr id="186" name="AutoShape 2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1</xdr:col>
      <xdr:colOff>304800</xdr:colOff>
      <xdr:row>755</xdr:row>
      <xdr:rowOff>33337</xdr:rowOff>
    </xdr:to>
    <xdr:sp macro="" textlink="">
      <xdr:nvSpPr>
        <xdr:cNvPr id="187" name="AutoShape 4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1</xdr:col>
      <xdr:colOff>304800</xdr:colOff>
      <xdr:row>755</xdr:row>
      <xdr:rowOff>33337</xdr:rowOff>
    </xdr:to>
    <xdr:sp macro="" textlink="">
      <xdr:nvSpPr>
        <xdr:cNvPr id="188" name="AutoShape 5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1</xdr:col>
      <xdr:colOff>304800</xdr:colOff>
      <xdr:row>755</xdr:row>
      <xdr:rowOff>33337</xdr:rowOff>
    </xdr:to>
    <xdr:sp macro="" textlink="">
      <xdr:nvSpPr>
        <xdr:cNvPr id="189" name="AutoShape 2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190" name="AutoShape 2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191" name="AutoShape 4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192" name="AutoShape 5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193" name="AutoShape 2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745</xdr:row>
      <xdr:rowOff>0</xdr:rowOff>
    </xdr:from>
    <xdr:ext cx="304800" cy="214312"/>
    <xdr:sp macro="" textlink="">
      <xdr:nvSpPr>
        <xdr:cNvPr id="194" name="AutoShape 12" descr="Пирамидка 8 дет."/>
        <xdr:cNvSpPr>
          <a:spLocks noChangeAspect="1" noChangeArrowheads="1"/>
        </xdr:cNvSpPr>
      </xdr:nvSpPr>
      <xdr:spPr bwMode="auto">
        <a:xfrm>
          <a:off x="285750" y="1594485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745</xdr:row>
      <xdr:rowOff>0</xdr:rowOff>
    </xdr:from>
    <xdr:ext cx="304800" cy="214312"/>
    <xdr:sp macro="" textlink="">
      <xdr:nvSpPr>
        <xdr:cNvPr id="195" name="AutoShape 13" descr="Пирамидка 8 дет."/>
        <xdr:cNvSpPr>
          <a:spLocks noChangeAspect="1" noChangeArrowheads="1"/>
        </xdr:cNvSpPr>
      </xdr:nvSpPr>
      <xdr:spPr bwMode="auto">
        <a:xfrm>
          <a:off x="285750" y="1594485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745</xdr:row>
      <xdr:rowOff>0</xdr:rowOff>
    </xdr:from>
    <xdr:ext cx="304800" cy="214312"/>
    <xdr:sp macro="" textlink="">
      <xdr:nvSpPr>
        <xdr:cNvPr id="196" name="AutoShape 28" descr="Стенд информационный Информация, 4 отд., 500х750, красный, настенный  #1"/>
        <xdr:cNvSpPr>
          <a:spLocks noChangeAspect="1" noChangeArrowheads="1"/>
        </xdr:cNvSpPr>
      </xdr:nvSpPr>
      <xdr:spPr bwMode="auto">
        <a:xfrm>
          <a:off x="285750" y="1594485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148167</xdr:colOff>
      <xdr:row>745</xdr:row>
      <xdr:rowOff>0</xdr:rowOff>
    </xdr:from>
    <xdr:ext cx="304800" cy="223838"/>
    <xdr:sp macro="" textlink="">
      <xdr:nvSpPr>
        <xdr:cNvPr id="197" name="AutoShape 1"/>
        <xdr:cNvSpPr>
          <a:spLocks noChangeAspect="1" noChangeArrowheads="1"/>
        </xdr:cNvSpPr>
      </xdr:nvSpPr>
      <xdr:spPr bwMode="auto">
        <a:xfrm>
          <a:off x="433917" y="159448500"/>
          <a:ext cx="304800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198" name="AutoShape 2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199" name="AutoShape 4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00" name="AutoShape 5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01" name="AutoShape 2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02" name="AutoShape 2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03" name="AutoShape 4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04" name="AutoShape 5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05" name="AutoShape 2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06" name="AutoShape 2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07" name="AutoShape 4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08" name="AutoShape 5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09" name="AutoShape 2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10" name="AutoShape 2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11" name="AutoShape 4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12" name="AutoShape 5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13" name="AutoShape 2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747</xdr:row>
      <xdr:rowOff>0</xdr:rowOff>
    </xdr:from>
    <xdr:ext cx="304800" cy="223837"/>
    <xdr:sp macro="" textlink="">
      <xdr:nvSpPr>
        <xdr:cNvPr id="214" name="AutoShape 2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747</xdr:row>
      <xdr:rowOff>0</xdr:rowOff>
    </xdr:from>
    <xdr:ext cx="304800" cy="223837"/>
    <xdr:sp macro="" textlink="">
      <xdr:nvSpPr>
        <xdr:cNvPr id="215" name="AutoShape 4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747</xdr:row>
      <xdr:rowOff>0</xdr:rowOff>
    </xdr:from>
    <xdr:ext cx="304800" cy="223837"/>
    <xdr:sp macro="" textlink="">
      <xdr:nvSpPr>
        <xdr:cNvPr id="216" name="AutoShape 5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747</xdr:row>
      <xdr:rowOff>0</xdr:rowOff>
    </xdr:from>
    <xdr:ext cx="304800" cy="223837"/>
    <xdr:sp macro="" textlink="">
      <xdr:nvSpPr>
        <xdr:cNvPr id="217" name="AutoShape 2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18" name="AutoShape 2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19" name="AutoShape 4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20" name="AutoShape 5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21" name="AutoShape 2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22" name="AutoShape 2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23" name="AutoShape 4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24" name="AutoShape 5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25" name="AutoShape 2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737</xdr:row>
      <xdr:rowOff>0</xdr:rowOff>
    </xdr:from>
    <xdr:ext cx="304800" cy="223837"/>
    <xdr:sp macro="" textlink="">
      <xdr:nvSpPr>
        <xdr:cNvPr id="226" name="AutoShape 2"/>
        <xdr:cNvSpPr>
          <a:spLocks noChangeAspect="1" noChangeArrowheads="1"/>
        </xdr:cNvSpPr>
      </xdr:nvSpPr>
      <xdr:spPr bwMode="auto">
        <a:xfrm>
          <a:off x="285750" y="1579054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737</xdr:row>
      <xdr:rowOff>0</xdr:rowOff>
    </xdr:from>
    <xdr:ext cx="304800" cy="223837"/>
    <xdr:sp macro="" textlink="">
      <xdr:nvSpPr>
        <xdr:cNvPr id="227" name="AutoShape 4"/>
        <xdr:cNvSpPr>
          <a:spLocks noChangeAspect="1" noChangeArrowheads="1"/>
        </xdr:cNvSpPr>
      </xdr:nvSpPr>
      <xdr:spPr bwMode="auto">
        <a:xfrm>
          <a:off x="285750" y="1579054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737</xdr:row>
      <xdr:rowOff>0</xdr:rowOff>
    </xdr:from>
    <xdr:ext cx="304800" cy="223837"/>
    <xdr:sp macro="" textlink="">
      <xdr:nvSpPr>
        <xdr:cNvPr id="228" name="AutoShape 5"/>
        <xdr:cNvSpPr>
          <a:spLocks noChangeAspect="1" noChangeArrowheads="1"/>
        </xdr:cNvSpPr>
      </xdr:nvSpPr>
      <xdr:spPr bwMode="auto">
        <a:xfrm>
          <a:off x="285750" y="1579054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737</xdr:row>
      <xdr:rowOff>0</xdr:rowOff>
    </xdr:from>
    <xdr:ext cx="304800" cy="223837"/>
    <xdr:sp macro="" textlink="">
      <xdr:nvSpPr>
        <xdr:cNvPr id="229" name="AutoShape 2"/>
        <xdr:cNvSpPr>
          <a:spLocks noChangeAspect="1" noChangeArrowheads="1"/>
        </xdr:cNvSpPr>
      </xdr:nvSpPr>
      <xdr:spPr bwMode="auto">
        <a:xfrm>
          <a:off x="285750" y="1579054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30" name="AutoShape 2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31" name="AutoShape 4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32" name="AutoShape 5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33" name="AutoShape 2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34" name="AutoShape 2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35" name="AutoShape 4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36" name="AutoShape 5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754</xdr:row>
      <xdr:rowOff>0</xdr:rowOff>
    </xdr:from>
    <xdr:ext cx="304800" cy="223837"/>
    <xdr:sp macro="" textlink="">
      <xdr:nvSpPr>
        <xdr:cNvPr id="237" name="AutoShape 2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745</xdr:row>
      <xdr:rowOff>0</xdr:rowOff>
    </xdr:from>
    <xdr:ext cx="304800" cy="223837"/>
    <xdr:sp macro="" textlink="">
      <xdr:nvSpPr>
        <xdr:cNvPr id="238" name="AutoShape 2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745</xdr:row>
      <xdr:rowOff>0</xdr:rowOff>
    </xdr:from>
    <xdr:ext cx="304800" cy="223837"/>
    <xdr:sp macro="" textlink="">
      <xdr:nvSpPr>
        <xdr:cNvPr id="239" name="AutoShape 4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745</xdr:row>
      <xdr:rowOff>0</xdr:rowOff>
    </xdr:from>
    <xdr:ext cx="304800" cy="223837"/>
    <xdr:sp macro="" textlink="">
      <xdr:nvSpPr>
        <xdr:cNvPr id="240" name="AutoShape 5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745</xdr:row>
      <xdr:rowOff>0</xdr:rowOff>
    </xdr:from>
    <xdr:ext cx="304800" cy="223837"/>
    <xdr:sp macro="" textlink="">
      <xdr:nvSpPr>
        <xdr:cNvPr id="241" name="AutoShape 2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745</xdr:row>
      <xdr:rowOff>0</xdr:rowOff>
    </xdr:from>
    <xdr:ext cx="304800" cy="223837"/>
    <xdr:sp macro="" textlink="">
      <xdr:nvSpPr>
        <xdr:cNvPr id="242" name="AutoShape 2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745</xdr:row>
      <xdr:rowOff>0</xdr:rowOff>
    </xdr:from>
    <xdr:ext cx="304800" cy="223837"/>
    <xdr:sp macro="" textlink="">
      <xdr:nvSpPr>
        <xdr:cNvPr id="243" name="AutoShape 4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745</xdr:row>
      <xdr:rowOff>0</xdr:rowOff>
    </xdr:from>
    <xdr:ext cx="304800" cy="223837"/>
    <xdr:sp macro="" textlink="">
      <xdr:nvSpPr>
        <xdr:cNvPr id="244" name="AutoShape 5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745</xdr:row>
      <xdr:rowOff>0</xdr:rowOff>
    </xdr:from>
    <xdr:ext cx="304800" cy="223837"/>
    <xdr:sp macro="" textlink="">
      <xdr:nvSpPr>
        <xdr:cNvPr id="245" name="AutoShape 2"/>
        <xdr:cNvSpPr>
          <a:spLocks noChangeAspect="1" noChangeArrowheads="1"/>
        </xdr:cNvSpPr>
      </xdr:nvSpPr>
      <xdr:spPr bwMode="auto">
        <a:xfrm>
          <a:off x="285750" y="1594485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739</xdr:row>
      <xdr:rowOff>0</xdr:rowOff>
    </xdr:from>
    <xdr:ext cx="304800" cy="223837"/>
    <xdr:sp macro="" textlink="">
      <xdr:nvSpPr>
        <xdr:cNvPr id="246" name="AutoShape 2"/>
        <xdr:cNvSpPr>
          <a:spLocks noChangeAspect="1" noChangeArrowheads="1"/>
        </xdr:cNvSpPr>
      </xdr:nvSpPr>
      <xdr:spPr bwMode="auto">
        <a:xfrm>
          <a:off x="285750" y="1582864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739</xdr:row>
      <xdr:rowOff>0</xdr:rowOff>
    </xdr:from>
    <xdr:ext cx="304800" cy="223837"/>
    <xdr:sp macro="" textlink="">
      <xdr:nvSpPr>
        <xdr:cNvPr id="247" name="AutoShape 4"/>
        <xdr:cNvSpPr>
          <a:spLocks noChangeAspect="1" noChangeArrowheads="1"/>
        </xdr:cNvSpPr>
      </xdr:nvSpPr>
      <xdr:spPr bwMode="auto">
        <a:xfrm>
          <a:off x="285750" y="1582864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739</xdr:row>
      <xdr:rowOff>0</xdr:rowOff>
    </xdr:from>
    <xdr:ext cx="304800" cy="223837"/>
    <xdr:sp macro="" textlink="">
      <xdr:nvSpPr>
        <xdr:cNvPr id="248" name="AutoShape 5"/>
        <xdr:cNvSpPr>
          <a:spLocks noChangeAspect="1" noChangeArrowheads="1"/>
        </xdr:cNvSpPr>
      </xdr:nvSpPr>
      <xdr:spPr bwMode="auto">
        <a:xfrm>
          <a:off x="285750" y="1582864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739</xdr:row>
      <xdr:rowOff>0</xdr:rowOff>
    </xdr:from>
    <xdr:ext cx="304800" cy="223837"/>
    <xdr:sp macro="" textlink="">
      <xdr:nvSpPr>
        <xdr:cNvPr id="249" name="AutoShape 2"/>
        <xdr:cNvSpPr>
          <a:spLocks noChangeAspect="1" noChangeArrowheads="1"/>
        </xdr:cNvSpPr>
      </xdr:nvSpPr>
      <xdr:spPr bwMode="auto">
        <a:xfrm>
          <a:off x="285750" y="1582864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628</xdr:row>
      <xdr:rowOff>0</xdr:rowOff>
    </xdr:from>
    <xdr:ext cx="304800" cy="223837"/>
    <xdr:sp macro="" textlink="">
      <xdr:nvSpPr>
        <xdr:cNvPr id="250" name="AutoShape 2"/>
        <xdr:cNvSpPr>
          <a:spLocks noChangeAspect="1" noChangeArrowheads="1"/>
        </xdr:cNvSpPr>
      </xdr:nvSpPr>
      <xdr:spPr bwMode="auto">
        <a:xfrm>
          <a:off x="285750" y="1258157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628</xdr:row>
      <xdr:rowOff>0</xdr:rowOff>
    </xdr:from>
    <xdr:ext cx="304800" cy="223837"/>
    <xdr:sp macro="" textlink="">
      <xdr:nvSpPr>
        <xdr:cNvPr id="251" name="AutoShape 4"/>
        <xdr:cNvSpPr>
          <a:spLocks noChangeAspect="1" noChangeArrowheads="1"/>
        </xdr:cNvSpPr>
      </xdr:nvSpPr>
      <xdr:spPr bwMode="auto">
        <a:xfrm>
          <a:off x="285750" y="1258157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628</xdr:row>
      <xdr:rowOff>0</xdr:rowOff>
    </xdr:from>
    <xdr:ext cx="304800" cy="223837"/>
    <xdr:sp macro="" textlink="">
      <xdr:nvSpPr>
        <xdr:cNvPr id="252" name="AutoShape 5"/>
        <xdr:cNvSpPr>
          <a:spLocks noChangeAspect="1" noChangeArrowheads="1"/>
        </xdr:cNvSpPr>
      </xdr:nvSpPr>
      <xdr:spPr bwMode="auto">
        <a:xfrm>
          <a:off x="285750" y="1258157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628</xdr:row>
      <xdr:rowOff>0</xdr:rowOff>
    </xdr:from>
    <xdr:ext cx="304800" cy="223837"/>
    <xdr:sp macro="" textlink="">
      <xdr:nvSpPr>
        <xdr:cNvPr id="253" name="AutoShape 2"/>
        <xdr:cNvSpPr>
          <a:spLocks noChangeAspect="1" noChangeArrowheads="1"/>
        </xdr:cNvSpPr>
      </xdr:nvSpPr>
      <xdr:spPr bwMode="auto">
        <a:xfrm>
          <a:off x="285750" y="1258157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630</xdr:row>
      <xdr:rowOff>0</xdr:rowOff>
    </xdr:from>
    <xdr:ext cx="304800" cy="223837"/>
    <xdr:sp macro="" textlink="">
      <xdr:nvSpPr>
        <xdr:cNvPr id="254" name="AutoShape 2"/>
        <xdr:cNvSpPr>
          <a:spLocks noChangeAspect="1" noChangeArrowheads="1"/>
        </xdr:cNvSpPr>
      </xdr:nvSpPr>
      <xdr:spPr bwMode="auto">
        <a:xfrm>
          <a:off x="285750" y="1261967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630</xdr:row>
      <xdr:rowOff>0</xdr:rowOff>
    </xdr:from>
    <xdr:ext cx="304800" cy="223837"/>
    <xdr:sp macro="" textlink="">
      <xdr:nvSpPr>
        <xdr:cNvPr id="255" name="AutoShape 4"/>
        <xdr:cNvSpPr>
          <a:spLocks noChangeAspect="1" noChangeArrowheads="1"/>
        </xdr:cNvSpPr>
      </xdr:nvSpPr>
      <xdr:spPr bwMode="auto">
        <a:xfrm>
          <a:off x="285750" y="1261967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630</xdr:row>
      <xdr:rowOff>0</xdr:rowOff>
    </xdr:from>
    <xdr:ext cx="304800" cy="223837"/>
    <xdr:sp macro="" textlink="">
      <xdr:nvSpPr>
        <xdr:cNvPr id="256" name="AutoShape 5"/>
        <xdr:cNvSpPr>
          <a:spLocks noChangeAspect="1" noChangeArrowheads="1"/>
        </xdr:cNvSpPr>
      </xdr:nvSpPr>
      <xdr:spPr bwMode="auto">
        <a:xfrm>
          <a:off x="285750" y="1261967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630</xdr:row>
      <xdr:rowOff>0</xdr:rowOff>
    </xdr:from>
    <xdr:ext cx="304800" cy="223837"/>
    <xdr:sp macro="" textlink="">
      <xdr:nvSpPr>
        <xdr:cNvPr id="257" name="AutoShape 2"/>
        <xdr:cNvSpPr>
          <a:spLocks noChangeAspect="1" noChangeArrowheads="1"/>
        </xdr:cNvSpPr>
      </xdr:nvSpPr>
      <xdr:spPr bwMode="auto">
        <a:xfrm>
          <a:off x="285750" y="1261967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639</xdr:row>
      <xdr:rowOff>0</xdr:rowOff>
    </xdr:from>
    <xdr:ext cx="304800" cy="223837"/>
    <xdr:sp macro="" textlink="">
      <xdr:nvSpPr>
        <xdr:cNvPr id="258" name="AutoShape 2"/>
        <xdr:cNvSpPr>
          <a:spLocks noChangeAspect="1" noChangeArrowheads="1"/>
        </xdr:cNvSpPr>
      </xdr:nvSpPr>
      <xdr:spPr bwMode="auto">
        <a:xfrm>
          <a:off x="285750" y="127844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639</xdr:row>
      <xdr:rowOff>0</xdr:rowOff>
    </xdr:from>
    <xdr:ext cx="304800" cy="223837"/>
    <xdr:sp macro="" textlink="">
      <xdr:nvSpPr>
        <xdr:cNvPr id="259" name="AutoShape 4"/>
        <xdr:cNvSpPr>
          <a:spLocks noChangeAspect="1" noChangeArrowheads="1"/>
        </xdr:cNvSpPr>
      </xdr:nvSpPr>
      <xdr:spPr bwMode="auto">
        <a:xfrm>
          <a:off x="285750" y="127844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639</xdr:row>
      <xdr:rowOff>0</xdr:rowOff>
    </xdr:from>
    <xdr:ext cx="304800" cy="223837"/>
    <xdr:sp macro="" textlink="">
      <xdr:nvSpPr>
        <xdr:cNvPr id="260" name="AutoShape 5"/>
        <xdr:cNvSpPr>
          <a:spLocks noChangeAspect="1" noChangeArrowheads="1"/>
        </xdr:cNvSpPr>
      </xdr:nvSpPr>
      <xdr:spPr bwMode="auto">
        <a:xfrm>
          <a:off x="285750" y="127844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639</xdr:row>
      <xdr:rowOff>0</xdr:rowOff>
    </xdr:from>
    <xdr:ext cx="304800" cy="223837"/>
    <xdr:sp macro="" textlink="">
      <xdr:nvSpPr>
        <xdr:cNvPr id="261" name="AutoShape 2"/>
        <xdr:cNvSpPr>
          <a:spLocks noChangeAspect="1" noChangeArrowheads="1"/>
        </xdr:cNvSpPr>
      </xdr:nvSpPr>
      <xdr:spPr bwMode="auto">
        <a:xfrm>
          <a:off x="285750" y="127844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304800" cy="223837"/>
    <xdr:sp macro="" textlink="">
      <xdr:nvSpPr>
        <xdr:cNvPr id="262" name="AutoShape 2"/>
        <xdr:cNvSpPr>
          <a:spLocks noChangeAspect="1" noChangeArrowheads="1"/>
        </xdr:cNvSpPr>
      </xdr:nvSpPr>
      <xdr:spPr bwMode="auto">
        <a:xfrm>
          <a:off x="285750" y="129406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304800" cy="223837"/>
    <xdr:sp macro="" textlink="">
      <xdr:nvSpPr>
        <xdr:cNvPr id="263" name="AutoShape 4"/>
        <xdr:cNvSpPr>
          <a:spLocks noChangeAspect="1" noChangeArrowheads="1"/>
        </xdr:cNvSpPr>
      </xdr:nvSpPr>
      <xdr:spPr bwMode="auto">
        <a:xfrm>
          <a:off x="285750" y="129406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304800" cy="223837"/>
    <xdr:sp macro="" textlink="">
      <xdr:nvSpPr>
        <xdr:cNvPr id="264" name="AutoShape 5"/>
        <xdr:cNvSpPr>
          <a:spLocks noChangeAspect="1" noChangeArrowheads="1"/>
        </xdr:cNvSpPr>
      </xdr:nvSpPr>
      <xdr:spPr bwMode="auto">
        <a:xfrm>
          <a:off x="285750" y="129406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304800" cy="223837"/>
    <xdr:sp macro="" textlink="">
      <xdr:nvSpPr>
        <xdr:cNvPr id="265" name="AutoShape 2"/>
        <xdr:cNvSpPr>
          <a:spLocks noChangeAspect="1" noChangeArrowheads="1"/>
        </xdr:cNvSpPr>
      </xdr:nvSpPr>
      <xdr:spPr bwMode="auto">
        <a:xfrm>
          <a:off x="285750" y="129406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670</xdr:row>
      <xdr:rowOff>0</xdr:rowOff>
    </xdr:from>
    <xdr:ext cx="304800" cy="223837"/>
    <xdr:sp macro="" textlink="">
      <xdr:nvSpPr>
        <xdr:cNvPr id="266" name="AutoShape 2"/>
        <xdr:cNvSpPr>
          <a:spLocks noChangeAspect="1" noChangeArrowheads="1"/>
        </xdr:cNvSpPr>
      </xdr:nvSpPr>
      <xdr:spPr bwMode="auto">
        <a:xfrm>
          <a:off x="285750" y="129787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670</xdr:row>
      <xdr:rowOff>0</xdr:rowOff>
    </xdr:from>
    <xdr:ext cx="304800" cy="223837"/>
    <xdr:sp macro="" textlink="">
      <xdr:nvSpPr>
        <xdr:cNvPr id="267" name="AutoShape 4"/>
        <xdr:cNvSpPr>
          <a:spLocks noChangeAspect="1" noChangeArrowheads="1"/>
        </xdr:cNvSpPr>
      </xdr:nvSpPr>
      <xdr:spPr bwMode="auto">
        <a:xfrm>
          <a:off x="285750" y="129787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670</xdr:row>
      <xdr:rowOff>0</xdr:rowOff>
    </xdr:from>
    <xdr:ext cx="304800" cy="223837"/>
    <xdr:sp macro="" textlink="">
      <xdr:nvSpPr>
        <xdr:cNvPr id="268" name="AutoShape 5"/>
        <xdr:cNvSpPr>
          <a:spLocks noChangeAspect="1" noChangeArrowheads="1"/>
        </xdr:cNvSpPr>
      </xdr:nvSpPr>
      <xdr:spPr bwMode="auto">
        <a:xfrm>
          <a:off x="285750" y="129787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670</xdr:row>
      <xdr:rowOff>0</xdr:rowOff>
    </xdr:from>
    <xdr:ext cx="304800" cy="223837"/>
    <xdr:sp macro="" textlink="">
      <xdr:nvSpPr>
        <xdr:cNvPr id="269" name="AutoShape 2"/>
        <xdr:cNvSpPr>
          <a:spLocks noChangeAspect="1" noChangeArrowheads="1"/>
        </xdr:cNvSpPr>
      </xdr:nvSpPr>
      <xdr:spPr bwMode="auto">
        <a:xfrm>
          <a:off x="285750" y="129787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670</xdr:row>
      <xdr:rowOff>0</xdr:rowOff>
    </xdr:from>
    <xdr:ext cx="304800" cy="223837"/>
    <xdr:sp macro="" textlink="">
      <xdr:nvSpPr>
        <xdr:cNvPr id="270" name="AutoShape 2"/>
        <xdr:cNvSpPr>
          <a:spLocks noChangeAspect="1" noChangeArrowheads="1"/>
        </xdr:cNvSpPr>
      </xdr:nvSpPr>
      <xdr:spPr bwMode="auto">
        <a:xfrm>
          <a:off x="285750" y="1313211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670</xdr:row>
      <xdr:rowOff>0</xdr:rowOff>
    </xdr:from>
    <xdr:ext cx="304800" cy="223837"/>
    <xdr:sp macro="" textlink="">
      <xdr:nvSpPr>
        <xdr:cNvPr id="271" name="AutoShape 4"/>
        <xdr:cNvSpPr>
          <a:spLocks noChangeAspect="1" noChangeArrowheads="1"/>
        </xdr:cNvSpPr>
      </xdr:nvSpPr>
      <xdr:spPr bwMode="auto">
        <a:xfrm>
          <a:off x="285750" y="1313211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670</xdr:row>
      <xdr:rowOff>0</xdr:rowOff>
    </xdr:from>
    <xdr:ext cx="304800" cy="223837"/>
    <xdr:sp macro="" textlink="">
      <xdr:nvSpPr>
        <xdr:cNvPr id="272" name="AutoShape 5"/>
        <xdr:cNvSpPr>
          <a:spLocks noChangeAspect="1" noChangeArrowheads="1"/>
        </xdr:cNvSpPr>
      </xdr:nvSpPr>
      <xdr:spPr bwMode="auto">
        <a:xfrm>
          <a:off x="285750" y="1313211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670</xdr:row>
      <xdr:rowOff>0</xdr:rowOff>
    </xdr:from>
    <xdr:ext cx="304800" cy="223837"/>
    <xdr:sp macro="" textlink="">
      <xdr:nvSpPr>
        <xdr:cNvPr id="273" name="AutoShape 2"/>
        <xdr:cNvSpPr>
          <a:spLocks noChangeAspect="1" noChangeArrowheads="1"/>
        </xdr:cNvSpPr>
      </xdr:nvSpPr>
      <xdr:spPr bwMode="auto">
        <a:xfrm>
          <a:off x="285750" y="1313211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672</xdr:row>
      <xdr:rowOff>0</xdr:rowOff>
    </xdr:from>
    <xdr:ext cx="304800" cy="223837"/>
    <xdr:sp macro="" textlink="">
      <xdr:nvSpPr>
        <xdr:cNvPr id="274" name="AutoShape 2"/>
        <xdr:cNvSpPr>
          <a:spLocks noChangeAspect="1" noChangeArrowheads="1"/>
        </xdr:cNvSpPr>
      </xdr:nvSpPr>
      <xdr:spPr bwMode="auto">
        <a:xfrm>
          <a:off x="285750" y="1346739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672</xdr:row>
      <xdr:rowOff>0</xdr:rowOff>
    </xdr:from>
    <xdr:ext cx="304800" cy="223837"/>
    <xdr:sp macro="" textlink="">
      <xdr:nvSpPr>
        <xdr:cNvPr id="275" name="AutoShape 4"/>
        <xdr:cNvSpPr>
          <a:spLocks noChangeAspect="1" noChangeArrowheads="1"/>
        </xdr:cNvSpPr>
      </xdr:nvSpPr>
      <xdr:spPr bwMode="auto">
        <a:xfrm>
          <a:off x="285750" y="1346739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672</xdr:row>
      <xdr:rowOff>0</xdr:rowOff>
    </xdr:from>
    <xdr:ext cx="304800" cy="223837"/>
    <xdr:sp macro="" textlink="">
      <xdr:nvSpPr>
        <xdr:cNvPr id="276" name="AutoShape 5"/>
        <xdr:cNvSpPr>
          <a:spLocks noChangeAspect="1" noChangeArrowheads="1"/>
        </xdr:cNvSpPr>
      </xdr:nvSpPr>
      <xdr:spPr bwMode="auto">
        <a:xfrm>
          <a:off x="285750" y="1346739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672</xdr:row>
      <xdr:rowOff>0</xdr:rowOff>
    </xdr:from>
    <xdr:ext cx="304800" cy="223837"/>
    <xdr:sp macro="" textlink="">
      <xdr:nvSpPr>
        <xdr:cNvPr id="277" name="AutoShape 2"/>
        <xdr:cNvSpPr>
          <a:spLocks noChangeAspect="1" noChangeArrowheads="1"/>
        </xdr:cNvSpPr>
      </xdr:nvSpPr>
      <xdr:spPr bwMode="auto">
        <a:xfrm>
          <a:off x="285750" y="1346739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714</xdr:row>
      <xdr:rowOff>0</xdr:rowOff>
    </xdr:from>
    <xdr:ext cx="304800" cy="223837"/>
    <xdr:sp macro="" textlink="">
      <xdr:nvSpPr>
        <xdr:cNvPr id="278" name="AutoShape 2"/>
        <xdr:cNvSpPr>
          <a:spLocks noChangeAspect="1" noChangeArrowheads="1"/>
        </xdr:cNvSpPr>
      </xdr:nvSpPr>
      <xdr:spPr bwMode="auto">
        <a:xfrm>
          <a:off x="285750" y="1350549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714</xdr:row>
      <xdr:rowOff>0</xdr:rowOff>
    </xdr:from>
    <xdr:ext cx="304800" cy="223837"/>
    <xdr:sp macro="" textlink="">
      <xdr:nvSpPr>
        <xdr:cNvPr id="279" name="AutoShape 4"/>
        <xdr:cNvSpPr>
          <a:spLocks noChangeAspect="1" noChangeArrowheads="1"/>
        </xdr:cNvSpPr>
      </xdr:nvSpPr>
      <xdr:spPr bwMode="auto">
        <a:xfrm>
          <a:off x="285750" y="1350549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714</xdr:row>
      <xdr:rowOff>0</xdr:rowOff>
    </xdr:from>
    <xdr:ext cx="304800" cy="223837"/>
    <xdr:sp macro="" textlink="">
      <xdr:nvSpPr>
        <xdr:cNvPr id="280" name="AutoShape 5"/>
        <xdr:cNvSpPr>
          <a:spLocks noChangeAspect="1" noChangeArrowheads="1"/>
        </xdr:cNvSpPr>
      </xdr:nvSpPr>
      <xdr:spPr bwMode="auto">
        <a:xfrm>
          <a:off x="285750" y="1350549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714</xdr:row>
      <xdr:rowOff>0</xdr:rowOff>
    </xdr:from>
    <xdr:ext cx="304800" cy="223837"/>
    <xdr:sp macro="" textlink="">
      <xdr:nvSpPr>
        <xdr:cNvPr id="281" name="AutoShape 2"/>
        <xdr:cNvSpPr>
          <a:spLocks noChangeAspect="1" noChangeArrowheads="1"/>
        </xdr:cNvSpPr>
      </xdr:nvSpPr>
      <xdr:spPr bwMode="auto">
        <a:xfrm>
          <a:off x="285750" y="1350549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304800" cy="223837"/>
    <xdr:sp macro="" textlink="">
      <xdr:nvSpPr>
        <xdr:cNvPr id="282" name="AutoShape 2"/>
        <xdr:cNvSpPr>
          <a:spLocks noChangeAspect="1" noChangeArrowheads="1"/>
        </xdr:cNvSpPr>
      </xdr:nvSpPr>
      <xdr:spPr bwMode="auto">
        <a:xfrm>
          <a:off x="285750" y="1371885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304800" cy="223837"/>
    <xdr:sp macro="" textlink="">
      <xdr:nvSpPr>
        <xdr:cNvPr id="283" name="AutoShape 4"/>
        <xdr:cNvSpPr>
          <a:spLocks noChangeAspect="1" noChangeArrowheads="1"/>
        </xdr:cNvSpPr>
      </xdr:nvSpPr>
      <xdr:spPr bwMode="auto">
        <a:xfrm>
          <a:off x="285750" y="1371885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304800" cy="223837"/>
    <xdr:sp macro="" textlink="">
      <xdr:nvSpPr>
        <xdr:cNvPr id="284" name="AutoShape 5"/>
        <xdr:cNvSpPr>
          <a:spLocks noChangeAspect="1" noChangeArrowheads="1"/>
        </xdr:cNvSpPr>
      </xdr:nvSpPr>
      <xdr:spPr bwMode="auto">
        <a:xfrm>
          <a:off x="285750" y="1371885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304800" cy="223837"/>
    <xdr:sp macro="" textlink="">
      <xdr:nvSpPr>
        <xdr:cNvPr id="285" name="AutoShape 2"/>
        <xdr:cNvSpPr>
          <a:spLocks noChangeAspect="1" noChangeArrowheads="1"/>
        </xdr:cNvSpPr>
      </xdr:nvSpPr>
      <xdr:spPr bwMode="auto">
        <a:xfrm>
          <a:off x="285750" y="1371885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286" name="AutoShape 2"/>
        <xdr:cNvSpPr>
          <a:spLocks noChangeAspect="1" noChangeArrowheads="1"/>
        </xdr:cNvSpPr>
      </xdr:nvSpPr>
      <xdr:spPr bwMode="auto">
        <a:xfrm>
          <a:off x="285750" y="138931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287" name="AutoShape 4"/>
        <xdr:cNvSpPr>
          <a:spLocks noChangeAspect="1" noChangeArrowheads="1"/>
        </xdr:cNvSpPr>
      </xdr:nvSpPr>
      <xdr:spPr bwMode="auto">
        <a:xfrm>
          <a:off x="285750" y="138931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288" name="AutoShape 5"/>
        <xdr:cNvSpPr>
          <a:spLocks noChangeAspect="1" noChangeArrowheads="1"/>
        </xdr:cNvSpPr>
      </xdr:nvSpPr>
      <xdr:spPr bwMode="auto">
        <a:xfrm>
          <a:off x="285750" y="138931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289" name="AutoShape 2"/>
        <xdr:cNvSpPr>
          <a:spLocks noChangeAspect="1" noChangeArrowheads="1"/>
        </xdr:cNvSpPr>
      </xdr:nvSpPr>
      <xdr:spPr bwMode="auto">
        <a:xfrm>
          <a:off x="285750" y="138931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290" name="AutoShape 2"/>
        <xdr:cNvSpPr>
          <a:spLocks noChangeAspect="1" noChangeArrowheads="1"/>
        </xdr:cNvSpPr>
      </xdr:nvSpPr>
      <xdr:spPr bwMode="auto">
        <a:xfrm>
          <a:off x="285750" y="1410652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291" name="AutoShape 4"/>
        <xdr:cNvSpPr>
          <a:spLocks noChangeAspect="1" noChangeArrowheads="1"/>
        </xdr:cNvSpPr>
      </xdr:nvSpPr>
      <xdr:spPr bwMode="auto">
        <a:xfrm>
          <a:off x="285750" y="1410652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292" name="AutoShape 5"/>
        <xdr:cNvSpPr>
          <a:spLocks noChangeAspect="1" noChangeArrowheads="1"/>
        </xdr:cNvSpPr>
      </xdr:nvSpPr>
      <xdr:spPr bwMode="auto">
        <a:xfrm>
          <a:off x="285750" y="1410652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293" name="AutoShape 2"/>
        <xdr:cNvSpPr>
          <a:spLocks noChangeAspect="1" noChangeArrowheads="1"/>
        </xdr:cNvSpPr>
      </xdr:nvSpPr>
      <xdr:spPr bwMode="auto">
        <a:xfrm>
          <a:off x="285750" y="1410652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294" name="AutoShape 2"/>
        <xdr:cNvSpPr>
          <a:spLocks noChangeAspect="1" noChangeArrowheads="1"/>
        </xdr:cNvSpPr>
      </xdr:nvSpPr>
      <xdr:spPr bwMode="auto">
        <a:xfrm>
          <a:off x="285750" y="1428083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295" name="AutoShape 4"/>
        <xdr:cNvSpPr>
          <a:spLocks noChangeAspect="1" noChangeArrowheads="1"/>
        </xdr:cNvSpPr>
      </xdr:nvSpPr>
      <xdr:spPr bwMode="auto">
        <a:xfrm>
          <a:off x="285750" y="1428083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296" name="AutoShape 5"/>
        <xdr:cNvSpPr>
          <a:spLocks noChangeAspect="1" noChangeArrowheads="1"/>
        </xdr:cNvSpPr>
      </xdr:nvSpPr>
      <xdr:spPr bwMode="auto">
        <a:xfrm>
          <a:off x="285750" y="1428083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297" name="AutoShape 2"/>
        <xdr:cNvSpPr>
          <a:spLocks noChangeAspect="1" noChangeArrowheads="1"/>
        </xdr:cNvSpPr>
      </xdr:nvSpPr>
      <xdr:spPr bwMode="auto">
        <a:xfrm>
          <a:off x="285750" y="1428083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298" name="AutoShape 2"/>
        <xdr:cNvSpPr>
          <a:spLocks noChangeAspect="1" noChangeArrowheads="1"/>
        </xdr:cNvSpPr>
      </xdr:nvSpPr>
      <xdr:spPr bwMode="auto">
        <a:xfrm>
          <a:off x="285750" y="1449419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299" name="AutoShape 4"/>
        <xdr:cNvSpPr>
          <a:spLocks noChangeAspect="1" noChangeArrowheads="1"/>
        </xdr:cNvSpPr>
      </xdr:nvSpPr>
      <xdr:spPr bwMode="auto">
        <a:xfrm>
          <a:off x="285750" y="1449419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300" name="AutoShape 5"/>
        <xdr:cNvSpPr>
          <a:spLocks noChangeAspect="1" noChangeArrowheads="1"/>
        </xdr:cNvSpPr>
      </xdr:nvSpPr>
      <xdr:spPr bwMode="auto">
        <a:xfrm>
          <a:off x="285750" y="1449419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301" name="AutoShape 2"/>
        <xdr:cNvSpPr>
          <a:spLocks noChangeAspect="1" noChangeArrowheads="1"/>
        </xdr:cNvSpPr>
      </xdr:nvSpPr>
      <xdr:spPr bwMode="auto">
        <a:xfrm>
          <a:off x="285750" y="1449419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302" name="AutoShape 2"/>
        <xdr:cNvSpPr>
          <a:spLocks noChangeAspect="1" noChangeArrowheads="1"/>
        </xdr:cNvSpPr>
      </xdr:nvSpPr>
      <xdr:spPr bwMode="auto">
        <a:xfrm>
          <a:off x="285750" y="1466754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303" name="AutoShape 4"/>
        <xdr:cNvSpPr>
          <a:spLocks noChangeAspect="1" noChangeArrowheads="1"/>
        </xdr:cNvSpPr>
      </xdr:nvSpPr>
      <xdr:spPr bwMode="auto">
        <a:xfrm>
          <a:off x="285750" y="1466754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304" name="AutoShape 5"/>
        <xdr:cNvSpPr>
          <a:spLocks noChangeAspect="1" noChangeArrowheads="1"/>
        </xdr:cNvSpPr>
      </xdr:nvSpPr>
      <xdr:spPr bwMode="auto">
        <a:xfrm>
          <a:off x="285750" y="1466754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723</xdr:row>
      <xdr:rowOff>0</xdr:rowOff>
    </xdr:from>
    <xdr:ext cx="304800" cy="223837"/>
    <xdr:sp macro="" textlink="">
      <xdr:nvSpPr>
        <xdr:cNvPr id="305" name="AutoShape 2"/>
        <xdr:cNvSpPr>
          <a:spLocks noChangeAspect="1" noChangeArrowheads="1"/>
        </xdr:cNvSpPr>
      </xdr:nvSpPr>
      <xdr:spPr bwMode="auto">
        <a:xfrm>
          <a:off x="285750" y="1466754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725</xdr:row>
      <xdr:rowOff>0</xdr:rowOff>
    </xdr:from>
    <xdr:ext cx="304800" cy="223837"/>
    <xdr:sp macro="" textlink="">
      <xdr:nvSpPr>
        <xdr:cNvPr id="306" name="AutoShape 2"/>
        <xdr:cNvSpPr>
          <a:spLocks noChangeAspect="1" noChangeArrowheads="1"/>
        </xdr:cNvSpPr>
      </xdr:nvSpPr>
      <xdr:spPr bwMode="auto">
        <a:xfrm>
          <a:off x="285750" y="1534287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725</xdr:row>
      <xdr:rowOff>0</xdr:rowOff>
    </xdr:from>
    <xdr:ext cx="304800" cy="223837"/>
    <xdr:sp macro="" textlink="">
      <xdr:nvSpPr>
        <xdr:cNvPr id="307" name="AutoShape 4"/>
        <xdr:cNvSpPr>
          <a:spLocks noChangeAspect="1" noChangeArrowheads="1"/>
        </xdr:cNvSpPr>
      </xdr:nvSpPr>
      <xdr:spPr bwMode="auto">
        <a:xfrm>
          <a:off x="285750" y="1534287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725</xdr:row>
      <xdr:rowOff>0</xdr:rowOff>
    </xdr:from>
    <xdr:ext cx="304800" cy="223837"/>
    <xdr:sp macro="" textlink="">
      <xdr:nvSpPr>
        <xdr:cNvPr id="308" name="AutoShape 5"/>
        <xdr:cNvSpPr>
          <a:spLocks noChangeAspect="1" noChangeArrowheads="1"/>
        </xdr:cNvSpPr>
      </xdr:nvSpPr>
      <xdr:spPr bwMode="auto">
        <a:xfrm>
          <a:off x="285750" y="1534287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725</xdr:row>
      <xdr:rowOff>0</xdr:rowOff>
    </xdr:from>
    <xdr:ext cx="304800" cy="223837"/>
    <xdr:sp macro="" textlink="">
      <xdr:nvSpPr>
        <xdr:cNvPr id="309" name="AutoShape 2"/>
        <xdr:cNvSpPr>
          <a:spLocks noChangeAspect="1" noChangeArrowheads="1"/>
        </xdr:cNvSpPr>
      </xdr:nvSpPr>
      <xdr:spPr bwMode="auto">
        <a:xfrm>
          <a:off x="285750" y="1534287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732</xdr:row>
      <xdr:rowOff>0</xdr:rowOff>
    </xdr:from>
    <xdr:ext cx="304800" cy="223837"/>
    <xdr:sp macro="" textlink="">
      <xdr:nvSpPr>
        <xdr:cNvPr id="310" name="AutoShape 2"/>
        <xdr:cNvSpPr>
          <a:spLocks noChangeAspect="1" noChangeArrowheads="1"/>
        </xdr:cNvSpPr>
      </xdr:nvSpPr>
      <xdr:spPr bwMode="auto">
        <a:xfrm>
          <a:off x="285750" y="1538097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732</xdr:row>
      <xdr:rowOff>0</xdr:rowOff>
    </xdr:from>
    <xdr:ext cx="304800" cy="223837"/>
    <xdr:sp macro="" textlink="">
      <xdr:nvSpPr>
        <xdr:cNvPr id="311" name="AutoShape 4"/>
        <xdr:cNvSpPr>
          <a:spLocks noChangeAspect="1" noChangeArrowheads="1"/>
        </xdr:cNvSpPr>
      </xdr:nvSpPr>
      <xdr:spPr bwMode="auto">
        <a:xfrm>
          <a:off x="285750" y="1538097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732</xdr:row>
      <xdr:rowOff>0</xdr:rowOff>
    </xdr:from>
    <xdr:ext cx="304800" cy="223837"/>
    <xdr:sp macro="" textlink="">
      <xdr:nvSpPr>
        <xdr:cNvPr id="312" name="AutoShape 5"/>
        <xdr:cNvSpPr>
          <a:spLocks noChangeAspect="1" noChangeArrowheads="1"/>
        </xdr:cNvSpPr>
      </xdr:nvSpPr>
      <xdr:spPr bwMode="auto">
        <a:xfrm>
          <a:off x="285750" y="1538097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732</xdr:row>
      <xdr:rowOff>0</xdr:rowOff>
    </xdr:from>
    <xdr:ext cx="304800" cy="223837"/>
    <xdr:sp macro="" textlink="">
      <xdr:nvSpPr>
        <xdr:cNvPr id="313" name="AutoShape 2"/>
        <xdr:cNvSpPr>
          <a:spLocks noChangeAspect="1" noChangeArrowheads="1"/>
        </xdr:cNvSpPr>
      </xdr:nvSpPr>
      <xdr:spPr bwMode="auto">
        <a:xfrm>
          <a:off x="285750" y="1538097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911</xdr:row>
      <xdr:rowOff>0</xdr:rowOff>
    </xdr:from>
    <xdr:ext cx="304800" cy="223837"/>
    <xdr:sp macro="" textlink="">
      <xdr:nvSpPr>
        <xdr:cNvPr id="314" name="AutoShape 2"/>
        <xdr:cNvSpPr>
          <a:spLocks noChangeAspect="1" noChangeArrowheads="1"/>
        </xdr:cNvSpPr>
      </xdr:nvSpPr>
      <xdr:spPr bwMode="auto">
        <a:xfrm>
          <a:off x="285750" y="1738122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911</xdr:row>
      <xdr:rowOff>0</xdr:rowOff>
    </xdr:from>
    <xdr:ext cx="304800" cy="223837"/>
    <xdr:sp macro="" textlink="">
      <xdr:nvSpPr>
        <xdr:cNvPr id="315" name="AutoShape 4"/>
        <xdr:cNvSpPr>
          <a:spLocks noChangeAspect="1" noChangeArrowheads="1"/>
        </xdr:cNvSpPr>
      </xdr:nvSpPr>
      <xdr:spPr bwMode="auto">
        <a:xfrm>
          <a:off x="285750" y="1738122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911</xdr:row>
      <xdr:rowOff>0</xdr:rowOff>
    </xdr:from>
    <xdr:ext cx="304800" cy="223837"/>
    <xdr:sp macro="" textlink="">
      <xdr:nvSpPr>
        <xdr:cNvPr id="316" name="AutoShape 5"/>
        <xdr:cNvSpPr>
          <a:spLocks noChangeAspect="1" noChangeArrowheads="1"/>
        </xdr:cNvSpPr>
      </xdr:nvSpPr>
      <xdr:spPr bwMode="auto">
        <a:xfrm>
          <a:off x="285750" y="1738122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911</xdr:row>
      <xdr:rowOff>0</xdr:rowOff>
    </xdr:from>
    <xdr:ext cx="304800" cy="223837"/>
    <xdr:sp macro="" textlink="">
      <xdr:nvSpPr>
        <xdr:cNvPr id="317" name="AutoShape 2"/>
        <xdr:cNvSpPr>
          <a:spLocks noChangeAspect="1" noChangeArrowheads="1"/>
        </xdr:cNvSpPr>
      </xdr:nvSpPr>
      <xdr:spPr bwMode="auto">
        <a:xfrm>
          <a:off x="285750" y="1738122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975</xdr:row>
      <xdr:rowOff>0</xdr:rowOff>
    </xdr:from>
    <xdr:ext cx="304800" cy="223837"/>
    <xdr:sp macro="" textlink="">
      <xdr:nvSpPr>
        <xdr:cNvPr id="318" name="AutoShape 2"/>
        <xdr:cNvSpPr>
          <a:spLocks noChangeAspect="1" noChangeArrowheads="1"/>
        </xdr:cNvSpPr>
      </xdr:nvSpPr>
      <xdr:spPr bwMode="auto">
        <a:xfrm>
          <a:off x="285750" y="1738122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975</xdr:row>
      <xdr:rowOff>0</xdr:rowOff>
    </xdr:from>
    <xdr:ext cx="304800" cy="223837"/>
    <xdr:sp macro="" textlink="">
      <xdr:nvSpPr>
        <xdr:cNvPr id="319" name="AutoShape 4"/>
        <xdr:cNvSpPr>
          <a:spLocks noChangeAspect="1" noChangeArrowheads="1"/>
        </xdr:cNvSpPr>
      </xdr:nvSpPr>
      <xdr:spPr bwMode="auto">
        <a:xfrm>
          <a:off x="285750" y="1738122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975</xdr:row>
      <xdr:rowOff>0</xdr:rowOff>
    </xdr:from>
    <xdr:ext cx="304800" cy="223837"/>
    <xdr:sp macro="" textlink="">
      <xdr:nvSpPr>
        <xdr:cNvPr id="320" name="AutoShape 5"/>
        <xdr:cNvSpPr>
          <a:spLocks noChangeAspect="1" noChangeArrowheads="1"/>
        </xdr:cNvSpPr>
      </xdr:nvSpPr>
      <xdr:spPr bwMode="auto">
        <a:xfrm>
          <a:off x="285750" y="1738122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975</xdr:row>
      <xdr:rowOff>0</xdr:rowOff>
    </xdr:from>
    <xdr:ext cx="304800" cy="223837"/>
    <xdr:sp macro="" textlink="">
      <xdr:nvSpPr>
        <xdr:cNvPr id="321" name="AutoShape 2"/>
        <xdr:cNvSpPr>
          <a:spLocks noChangeAspect="1" noChangeArrowheads="1"/>
        </xdr:cNvSpPr>
      </xdr:nvSpPr>
      <xdr:spPr bwMode="auto">
        <a:xfrm>
          <a:off x="285750" y="1738122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975</xdr:row>
      <xdr:rowOff>0</xdr:rowOff>
    </xdr:from>
    <xdr:ext cx="304800" cy="223837"/>
    <xdr:sp macro="" textlink="">
      <xdr:nvSpPr>
        <xdr:cNvPr id="322" name="AutoShape 2"/>
        <xdr:cNvSpPr>
          <a:spLocks noChangeAspect="1" noChangeArrowheads="1"/>
        </xdr:cNvSpPr>
      </xdr:nvSpPr>
      <xdr:spPr bwMode="auto">
        <a:xfrm>
          <a:off x="285750" y="1738122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975</xdr:row>
      <xdr:rowOff>0</xdr:rowOff>
    </xdr:from>
    <xdr:ext cx="304800" cy="223837"/>
    <xdr:sp macro="" textlink="">
      <xdr:nvSpPr>
        <xdr:cNvPr id="323" name="AutoShape 4"/>
        <xdr:cNvSpPr>
          <a:spLocks noChangeAspect="1" noChangeArrowheads="1"/>
        </xdr:cNvSpPr>
      </xdr:nvSpPr>
      <xdr:spPr bwMode="auto">
        <a:xfrm>
          <a:off x="285750" y="1738122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975</xdr:row>
      <xdr:rowOff>0</xdr:rowOff>
    </xdr:from>
    <xdr:ext cx="304800" cy="223837"/>
    <xdr:sp macro="" textlink="">
      <xdr:nvSpPr>
        <xdr:cNvPr id="324" name="AutoShape 5"/>
        <xdr:cNvSpPr>
          <a:spLocks noChangeAspect="1" noChangeArrowheads="1"/>
        </xdr:cNvSpPr>
      </xdr:nvSpPr>
      <xdr:spPr bwMode="auto">
        <a:xfrm>
          <a:off x="285750" y="1738122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975</xdr:row>
      <xdr:rowOff>0</xdr:rowOff>
    </xdr:from>
    <xdr:ext cx="304800" cy="223837"/>
    <xdr:sp macro="" textlink="">
      <xdr:nvSpPr>
        <xdr:cNvPr id="325" name="AutoShape 2"/>
        <xdr:cNvSpPr>
          <a:spLocks noChangeAspect="1" noChangeArrowheads="1"/>
        </xdr:cNvSpPr>
      </xdr:nvSpPr>
      <xdr:spPr bwMode="auto">
        <a:xfrm>
          <a:off x="285750" y="1738122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975</xdr:row>
      <xdr:rowOff>0</xdr:rowOff>
    </xdr:from>
    <xdr:ext cx="304800" cy="223837"/>
    <xdr:sp macro="" textlink="">
      <xdr:nvSpPr>
        <xdr:cNvPr id="326" name="AutoShape 2"/>
        <xdr:cNvSpPr>
          <a:spLocks noChangeAspect="1" noChangeArrowheads="1"/>
        </xdr:cNvSpPr>
      </xdr:nvSpPr>
      <xdr:spPr bwMode="auto">
        <a:xfrm>
          <a:off x="285750" y="1738122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975</xdr:row>
      <xdr:rowOff>0</xdr:rowOff>
    </xdr:from>
    <xdr:ext cx="304800" cy="223837"/>
    <xdr:sp macro="" textlink="">
      <xdr:nvSpPr>
        <xdr:cNvPr id="327" name="AutoShape 4"/>
        <xdr:cNvSpPr>
          <a:spLocks noChangeAspect="1" noChangeArrowheads="1"/>
        </xdr:cNvSpPr>
      </xdr:nvSpPr>
      <xdr:spPr bwMode="auto">
        <a:xfrm>
          <a:off x="285750" y="1738122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975</xdr:row>
      <xdr:rowOff>0</xdr:rowOff>
    </xdr:from>
    <xdr:ext cx="304800" cy="223837"/>
    <xdr:sp macro="" textlink="">
      <xdr:nvSpPr>
        <xdr:cNvPr id="328" name="AutoShape 5"/>
        <xdr:cNvSpPr>
          <a:spLocks noChangeAspect="1" noChangeArrowheads="1"/>
        </xdr:cNvSpPr>
      </xdr:nvSpPr>
      <xdr:spPr bwMode="auto">
        <a:xfrm>
          <a:off x="285750" y="1738122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975</xdr:row>
      <xdr:rowOff>0</xdr:rowOff>
    </xdr:from>
    <xdr:ext cx="304800" cy="223837"/>
    <xdr:sp macro="" textlink="">
      <xdr:nvSpPr>
        <xdr:cNvPr id="329" name="AutoShape 2"/>
        <xdr:cNvSpPr>
          <a:spLocks noChangeAspect="1" noChangeArrowheads="1"/>
        </xdr:cNvSpPr>
      </xdr:nvSpPr>
      <xdr:spPr bwMode="auto">
        <a:xfrm>
          <a:off x="285750" y="1738122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983</xdr:row>
      <xdr:rowOff>0</xdr:rowOff>
    </xdr:from>
    <xdr:ext cx="304800" cy="223837"/>
    <xdr:sp macro="" textlink="">
      <xdr:nvSpPr>
        <xdr:cNvPr id="330" name="AutoShape 2"/>
        <xdr:cNvSpPr>
          <a:spLocks noChangeAspect="1" noChangeArrowheads="1"/>
        </xdr:cNvSpPr>
      </xdr:nvSpPr>
      <xdr:spPr bwMode="auto">
        <a:xfrm>
          <a:off x="285750" y="1738122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983</xdr:row>
      <xdr:rowOff>0</xdr:rowOff>
    </xdr:from>
    <xdr:ext cx="304800" cy="223837"/>
    <xdr:sp macro="" textlink="">
      <xdr:nvSpPr>
        <xdr:cNvPr id="331" name="AutoShape 4"/>
        <xdr:cNvSpPr>
          <a:spLocks noChangeAspect="1" noChangeArrowheads="1"/>
        </xdr:cNvSpPr>
      </xdr:nvSpPr>
      <xdr:spPr bwMode="auto">
        <a:xfrm>
          <a:off x="285750" y="1738122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983</xdr:row>
      <xdr:rowOff>0</xdr:rowOff>
    </xdr:from>
    <xdr:ext cx="304800" cy="223837"/>
    <xdr:sp macro="" textlink="">
      <xdr:nvSpPr>
        <xdr:cNvPr id="332" name="AutoShape 5"/>
        <xdr:cNvSpPr>
          <a:spLocks noChangeAspect="1" noChangeArrowheads="1"/>
        </xdr:cNvSpPr>
      </xdr:nvSpPr>
      <xdr:spPr bwMode="auto">
        <a:xfrm>
          <a:off x="285750" y="1738122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983</xdr:row>
      <xdr:rowOff>0</xdr:rowOff>
    </xdr:from>
    <xdr:ext cx="304800" cy="223837"/>
    <xdr:sp macro="" textlink="">
      <xdr:nvSpPr>
        <xdr:cNvPr id="333" name="AutoShape 2"/>
        <xdr:cNvSpPr>
          <a:spLocks noChangeAspect="1" noChangeArrowheads="1"/>
        </xdr:cNvSpPr>
      </xdr:nvSpPr>
      <xdr:spPr bwMode="auto">
        <a:xfrm>
          <a:off x="285750" y="1738122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966</xdr:row>
      <xdr:rowOff>0</xdr:rowOff>
    </xdr:from>
    <xdr:ext cx="304800" cy="223837"/>
    <xdr:sp macro="" textlink="">
      <xdr:nvSpPr>
        <xdr:cNvPr id="334" name="AutoShape 2"/>
        <xdr:cNvSpPr>
          <a:spLocks noChangeAspect="1" noChangeArrowheads="1"/>
        </xdr:cNvSpPr>
      </xdr:nvSpPr>
      <xdr:spPr bwMode="auto">
        <a:xfrm>
          <a:off x="285750" y="1738122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966</xdr:row>
      <xdr:rowOff>0</xdr:rowOff>
    </xdr:from>
    <xdr:ext cx="304800" cy="223837"/>
    <xdr:sp macro="" textlink="">
      <xdr:nvSpPr>
        <xdr:cNvPr id="335" name="AutoShape 4"/>
        <xdr:cNvSpPr>
          <a:spLocks noChangeAspect="1" noChangeArrowheads="1"/>
        </xdr:cNvSpPr>
      </xdr:nvSpPr>
      <xdr:spPr bwMode="auto">
        <a:xfrm>
          <a:off x="285750" y="1738122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966</xdr:row>
      <xdr:rowOff>0</xdr:rowOff>
    </xdr:from>
    <xdr:ext cx="304800" cy="223837"/>
    <xdr:sp macro="" textlink="">
      <xdr:nvSpPr>
        <xdr:cNvPr id="336" name="AutoShape 5"/>
        <xdr:cNvSpPr>
          <a:spLocks noChangeAspect="1" noChangeArrowheads="1"/>
        </xdr:cNvSpPr>
      </xdr:nvSpPr>
      <xdr:spPr bwMode="auto">
        <a:xfrm>
          <a:off x="285750" y="1738122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966</xdr:row>
      <xdr:rowOff>0</xdr:rowOff>
    </xdr:from>
    <xdr:ext cx="304800" cy="223837"/>
    <xdr:sp macro="" textlink="">
      <xdr:nvSpPr>
        <xdr:cNvPr id="337" name="AutoShape 2"/>
        <xdr:cNvSpPr>
          <a:spLocks noChangeAspect="1" noChangeArrowheads="1"/>
        </xdr:cNvSpPr>
      </xdr:nvSpPr>
      <xdr:spPr bwMode="auto">
        <a:xfrm>
          <a:off x="285750" y="1738122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968</xdr:row>
      <xdr:rowOff>0</xdr:rowOff>
    </xdr:from>
    <xdr:ext cx="304800" cy="223837"/>
    <xdr:sp macro="" textlink="">
      <xdr:nvSpPr>
        <xdr:cNvPr id="338" name="AutoShape 2"/>
        <xdr:cNvSpPr>
          <a:spLocks noChangeAspect="1" noChangeArrowheads="1"/>
        </xdr:cNvSpPr>
      </xdr:nvSpPr>
      <xdr:spPr bwMode="auto">
        <a:xfrm>
          <a:off x="285750" y="1738122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968</xdr:row>
      <xdr:rowOff>0</xdr:rowOff>
    </xdr:from>
    <xdr:ext cx="304800" cy="223837"/>
    <xdr:sp macro="" textlink="">
      <xdr:nvSpPr>
        <xdr:cNvPr id="339" name="AutoShape 4"/>
        <xdr:cNvSpPr>
          <a:spLocks noChangeAspect="1" noChangeArrowheads="1"/>
        </xdr:cNvSpPr>
      </xdr:nvSpPr>
      <xdr:spPr bwMode="auto">
        <a:xfrm>
          <a:off x="285750" y="1738122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968</xdr:row>
      <xdr:rowOff>0</xdr:rowOff>
    </xdr:from>
    <xdr:ext cx="304800" cy="223837"/>
    <xdr:sp macro="" textlink="">
      <xdr:nvSpPr>
        <xdr:cNvPr id="340" name="AutoShape 5"/>
        <xdr:cNvSpPr>
          <a:spLocks noChangeAspect="1" noChangeArrowheads="1"/>
        </xdr:cNvSpPr>
      </xdr:nvSpPr>
      <xdr:spPr bwMode="auto">
        <a:xfrm>
          <a:off x="285750" y="1738122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968</xdr:row>
      <xdr:rowOff>0</xdr:rowOff>
    </xdr:from>
    <xdr:ext cx="304800" cy="223837"/>
    <xdr:sp macro="" textlink="">
      <xdr:nvSpPr>
        <xdr:cNvPr id="341" name="AutoShape 2"/>
        <xdr:cNvSpPr>
          <a:spLocks noChangeAspect="1" noChangeArrowheads="1"/>
        </xdr:cNvSpPr>
      </xdr:nvSpPr>
      <xdr:spPr bwMode="auto">
        <a:xfrm>
          <a:off x="285750" y="1738122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1041</xdr:row>
      <xdr:rowOff>0</xdr:rowOff>
    </xdr:from>
    <xdr:ext cx="304800" cy="223837"/>
    <xdr:sp macro="" textlink="">
      <xdr:nvSpPr>
        <xdr:cNvPr id="342" name="AutoShape 2"/>
        <xdr:cNvSpPr>
          <a:spLocks noChangeAspect="1" noChangeArrowheads="1"/>
        </xdr:cNvSpPr>
      </xdr:nvSpPr>
      <xdr:spPr bwMode="auto">
        <a:xfrm>
          <a:off x="285750" y="1805940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1041</xdr:row>
      <xdr:rowOff>0</xdr:rowOff>
    </xdr:from>
    <xdr:ext cx="304800" cy="223837"/>
    <xdr:sp macro="" textlink="">
      <xdr:nvSpPr>
        <xdr:cNvPr id="343" name="AutoShape 4"/>
        <xdr:cNvSpPr>
          <a:spLocks noChangeAspect="1" noChangeArrowheads="1"/>
        </xdr:cNvSpPr>
      </xdr:nvSpPr>
      <xdr:spPr bwMode="auto">
        <a:xfrm>
          <a:off x="285750" y="1805940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1041</xdr:row>
      <xdr:rowOff>0</xdr:rowOff>
    </xdr:from>
    <xdr:ext cx="304800" cy="223837"/>
    <xdr:sp macro="" textlink="">
      <xdr:nvSpPr>
        <xdr:cNvPr id="344" name="AutoShape 5"/>
        <xdr:cNvSpPr>
          <a:spLocks noChangeAspect="1" noChangeArrowheads="1"/>
        </xdr:cNvSpPr>
      </xdr:nvSpPr>
      <xdr:spPr bwMode="auto">
        <a:xfrm>
          <a:off x="285750" y="1805940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1041</xdr:row>
      <xdr:rowOff>0</xdr:rowOff>
    </xdr:from>
    <xdr:ext cx="304800" cy="223837"/>
    <xdr:sp macro="" textlink="">
      <xdr:nvSpPr>
        <xdr:cNvPr id="345" name="AutoShape 2"/>
        <xdr:cNvSpPr>
          <a:spLocks noChangeAspect="1" noChangeArrowheads="1"/>
        </xdr:cNvSpPr>
      </xdr:nvSpPr>
      <xdr:spPr bwMode="auto">
        <a:xfrm>
          <a:off x="285750" y="1805940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14312"/>
    <xdr:sp macro="" textlink="">
      <xdr:nvSpPr>
        <xdr:cNvPr id="346" name="AutoShape 12" descr="Пирамидка 8 дет."/>
        <xdr:cNvSpPr>
          <a:spLocks noChangeAspect="1" noChangeArrowheads="1"/>
        </xdr:cNvSpPr>
      </xdr:nvSpPr>
      <xdr:spPr bwMode="auto">
        <a:xfrm>
          <a:off x="285750" y="170854688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14312"/>
    <xdr:sp macro="" textlink="">
      <xdr:nvSpPr>
        <xdr:cNvPr id="347" name="AutoShape 13" descr="Пирамидка 8 дет."/>
        <xdr:cNvSpPr>
          <a:spLocks noChangeAspect="1" noChangeArrowheads="1"/>
        </xdr:cNvSpPr>
      </xdr:nvSpPr>
      <xdr:spPr bwMode="auto">
        <a:xfrm>
          <a:off x="285750" y="170854688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14312"/>
    <xdr:sp macro="" textlink="">
      <xdr:nvSpPr>
        <xdr:cNvPr id="348" name="AutoShape 28" descr="Стенд информационный Информация, 4 отд., 500х750, красный, настенный  #1"/>
        <xdr:cNvSpPr>
          <a:spLocks noChangeAspect="1" noChangeArrowheads="1"/>
        </xdr:cNvSpPr>
      </xdr:nvSpPr>
      <xdr:spPr bwMode="auto">
        <a:xfrm>
          <a:off x="285750" y="170854688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148167</xdr:colOff>
      <xdr:row>755</xdr:row>
      <xdr:rowOff>0</xdr:rowOff>
    </xdr:from>
    <xdr:ext cx="304800" cy="223838"/>
    <xdr:sp macro="" textlink="">
      <xdr:nvSpPr>
        <xdr:cNvPr id="349" name="AutoShape 1"/>
        <xdr:cNvSpPr>
          <a:spLocks noChangeAspect="1" noChangeArrowheads="1"/>
        </xdr:cNvSpPr>
      </xdr:nvSpPr>
      <xdr:spPr bwMode="auto">
        <a:xfrm>
          <a:off x="433917" y="170854688"/>
          <a:ext cx="304800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23837"/>
    <xdr:sp macro="" textlink="">
      <xdr:nvSpPr>
        <xdr:cNvPr id="350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23837"/>
    <xdr:sp macro="" textlink="">
      <xdr:nvSpPr>
        <xdr:cNvPr id="351" name="AutoShape 4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23837"/>
    <xdr:sp macro="" textlink="">
      <xdr:nvSpPr>
        <xdr:cNvPr id="352" name="AutoShape 5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23837"/>
    <xdr:sp macro="" textlink="">
      <xdr:nvSpPr>
        <xdr:cNvPr id="353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54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55" name="AutoShape 4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56" name="AutoShape 5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57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14312"/>
    <xdr:sp macro="" textlink="">
      <xdr:nvSpPr>
        <xdr:cNvPr id="358" name="AutoShape 12" descr="Пирамидка 8 дет."/>
        <xdr:cNvSpPr>
          <a:spLocks noChangeAspect="1" noChangeArrowheads="1"/>
        </xdr:cNvSpPr>
      </xdr:nvSpPr>
      <xdr:spPr bwMode="auto">
        <a:xfrm>
          <a:off x="285750" y="170854688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14312"/>
    <xdr:sp macro="" textlink="">
      <xdr:nvSpPr>
        <xdr:cNvPr id="359" name="AutoShape 13" descr="Пирамидка 8 дет."/>
        <xdr:cNvSpPr>
          <a:spLocks noChangeAspect="1" noChangeArrowheads="1"/>
        </xdr:cNvSpPr>
      </xdr:nvSpPr>
      <xdr:spPr bwMode="auto">
        <a:xfrm>
          <a:off x="285750" y="170854688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14312"/>
    <xdr:sp macro="" textlink="">
      <xdr:nvSpPr>
        <xdr:cNvPr id="360" name="AutoShape 28" descr="Стенд информационный Информация, 4 отд., 500х750, красный, настенный  #1"/>
        <xdr:cNvSpPr>
          <a:spLocks noChangeAspect="1" noChangeArrowheads="1"/>
        </xdr:cNvSpPr>
      </xdr:nvSpPr>
      <xdr:spPr bwMode="auto">
        <a:xfrm>
          <a:off x="285750" y="170854688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148167</xdr:colOff>
      <xdr:row>755</xdr:row>
      <xdr:rowOff>0</xdr:rowOff>
    </xdr:from>
    <xdr:ext cx="304800" cy="223838"/>
    <xdr:sp macro="" textlink="">
      <xdr:nvSpPr>
        <xdr:cNvPr id="361" name="AutoShape 1"/>
        <xdr:cNvSpPr>
          <a:spLocks noChangeAspect="1" noChangeArrowheads="1"/>
        </xdr:cNvSpPr>
      </xdr:nvSpPr>
      <xdr:spPr bwMode="auto">
        <a:xfrm>
          <a:off x="433917" y="170854688"/>
          <a:ext cx="304800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62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63" name="AutoShape 4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64" name="AutoShape 5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65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66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67" name="AutoShape 4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68" name="AutoShape 5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69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70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71" name="AutoShape 4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72" name="AutoShape 5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73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74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75" name="AutoShape 4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76" name="AutoShape 5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77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757</xdr:row>
      <xdr:rowOff>0</xdr:rowOff>
    </xdr:from>
    <xdr:ext cx="304800" cy="223837"/>
    <xdr:sp macro="" textlink="">
      <xdr:nvSpPr>
        <xdr:cNvPr id="378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757</xdr:row>
      <xdr:rowOff>0</xdr:rowOff>
    </xdr:from>
    <xdr:ext cx="304800" cy="223837"/>
    <xdr:sp macro="" textlink="">
      <xdr:nvSpPr>
        <xdr:cNvPr id="379" name="AutoShape 4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757</xdr:row>
      <xdr:rowOff>0</xdr:rowOff>
    </xdr:from>
    <xdr:ext cx="304800" cy="223837"/>
    <xdr:sp macro="" textlink="">
      <xdr:nvSpPr>
        <xdr:cNvPr id="380" name="AutoShape 5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757</xdr:row>
      <xdr:rowOff>0</xdr:rowOff>
    </xdr:from>
    <xdr:ext cx="304800" cy="223837"/>
    <xdr:sp macro="" textlink="">
      <xdr:nvSpPr>
        <xdr:cNvPr id="381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82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83" name="AutoShape 4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84" name="AutoShape 5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85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86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87" name="AutoShape 4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88" name="AutoShape 5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89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90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91" name="AutoShape 4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92" name="AutoShape 5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93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94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95" name="AutoShape 4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96" name="AutoShape 5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397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23837"/>
    <xdr:sp macro="" textlink="">
      <xdr:nvSpPr>
        <xdr:cNvPr id="398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23837"/>
    <xdr:sp macro="" textlink="">
      <xdr:nvSpPr>
        <xdr:cNvPr id="399" name="AutoShape 4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23837"/>
    <xdr:sp macro="" textlink="">
      <xdr:nvSpPr>
        <xdr:cNvPr id="400" name="AutoShape 5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23837"/>
    <xdr:sp macro="" textlink="">
      <xdr:nvSpPr>
        <xdr:cNvPr id="401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23837"/>
    <xdr:sp macro="" textlink="">
      <xdr:nvSpPr>
        <xdr:cNvPr id="402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23837"/>
    <xdr:sp macro="" textlink="">
      <xdr:nvSpPr>
        <xdr:cNvPr id="403" name="AutoShape 4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23837"/>
    <xdr:sp macro="" textlink="">
      <xdr:nvSpPr>
        <xdr:cNvPr id="404" name="AutoShape 5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23837"/>
    <xdr:sp macro="" textlink="">
      <xdr:nvSpPr>
        <xdr:cNvPr id="405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14312"/>
    <xdr:sp macro="" textlink="">
      <xdr:nvSpPr>
        <xdr:cNvPr id="406" name="AutoShape 12" descr="Пирамидка 8 дет."/>
        <xdr:cNvSpPr>
          <a:spLocks noChangeAspect="1" noChangeArrowheads="1"/>
        </xdr:cNvSpPr>
      </xdr:nvSpPr>
      <xdr:spPr bwMode="auto">
        <a:xfrm>
          <a:off x="285750" y="170854688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14312"/>
    <xdr:sp macro="" textlink="">
      <xdr:nvSpPr>
        <xdr:cNvPr id="407" name="AutoShape 13" descr="Пирамидка 8 дет."/>
        <xdr:cNvSpPr>
          <a:spLocks noChangeAspect="1" noChangeArrowheads="1"/>
        </xdr:cNvSpPr>
      </xdr:nvSpPr>
      <xdr:spPr bwMode="auto">
        <a:xfrm>
          <a:off x="285750" y="170854688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14312"/>
    <xdr:sp macro="" textlink="">
      <xdr:nvSpPr>
        <xdr:cNvPr id="408" name="AutoShape 28" descr="Стенд информационный Информация, 4 отд., 500х750, красный, настенный  #1"/>
        <xdr:cNvSpPr>
          <a:spLocks noChangeAspect="1" noChangeArrowheads="1"/>
        </xdr:cNvSpPr>
      </xdr:nvSpPr>
      <xdr:spPr bwMode="auto">
        <a:xfrm>
          <a:off x="285750" y="170854688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148167</xdr:colOff>
      <xdr:row>755</xdr:row>
      <xdr:rowOff>0</xdr:rowOff>
    </xdr:from>
    <xdr:ext cx="304800" cy="223838"/>
    <xdr:sp macro="" textlink="">
      <xdr:nvSpPr>
        <xdr:cNvPr id="409" name="AutoShape 1"/>
        <xdr:cNvSpPr>
          <a:spLocks noChangeAspect="1" noChangeArrowheads="1"/>
        </xdr:cNvSpPr>
      </xdr:nvSpPr>
      <xdr:spPr bwMode="auto">
        <a:xfrm>
          <a:off x="433917" y="170854688"/>
          <a:ext cx="304800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23837"/>
    <xdr:sp macro="" textlink="">
      <xdr:nvSpPr>
        <xdr:cNvPr id="410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23837"/>
    <xdr:sp macro="" textlink="">
      <xdr:nvSpPr>
        <xdr:cNvPr id="411" name="AutoShape 4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23837"/>
    <xdr:sp macro="" textlink="">
      <xdr:nvSpPr>
        <xdr:cNvPr id="412" name="AutoShape 5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23837"/>
    <xdr:sp macro="" textlink="">
      <xdr:nvSpPr>
        <xdr:cNvPr id="413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14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15" name="AutoShape 4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16" name="AutoShape 5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17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14312"/>
    <xdr:sp macro="" textlink="">
      <xdr:nvSpPr>
        <xdr:cNvPr id="418" name="AutoShape 12" descr="Пирамидка 8 дет."/>
        <xdr:cNvSpPr>
          <a:spLocks noChangeAspect="1" noChangeArrowheads="1"/>
        </xdr:cNvSpPr>
      </xdr:nvSpPr>
      <xdr:spPr bwMode="auto">
        <a:xfrm>
          <a:off x="285750" y="170854688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14312"/>
    <xdr:sp macro="" textlink="">
      <xdr:nvSpPr>
        <xdr:cNvPr id="419" name="AutoShape 13" descr="Пирамидка 8 дет."/>
        <xdr:cNvSpPr>
          <a:spLocks noChangeAspect="1" noChangeArrowheads="1"/>
        </xdr:cNvSpPr>
      </xdr:nvSpPr>
      <xdr:spPr bwMode="auto">
        <a:xfrm>
          <a:off x="285750" y="170854688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14312"/>
    <xdr:sp macro="" textlink="">
      <xdr:nvSpPr>
        <xdr:cNvPr id="420" name="AutoShape 28" descr="Стенд информационный Информация, 4 отд., 500х750, красный, настенный  #1"/>
        <xdr:cNvSpPr>
          <a:spLocks noChangeAspect="1" noChangeArrowheads="1"/>
        </xdr:cNvSpPr>
      </xdr:nvSpPr>
      <xdr:spPr bwMode="auto">
        <a:xfrm>
          <a:off x="285750" y="170854688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148167</xdr:colOff>
      <xdr:row>755</xdr:row>
      <xdr:rowOff>0</xdr:rowOff>
    </xdr:from>
    <xdr:ext cx="304800" cy="223838"/>
    <xdr:sp macro="" textlink="">
      <xdr:nvSpPr>
        <xdr:cNvPr id="421" name="AutoShape 1"/>
        <xdr:cNvSpPr>
          <a:spLocks noChangeAspect="1" noChangeArrowheads="1"/>
        </xdr:cNvSpPr>
      </xdr:nvSpPr>
      <xdr:spPr bwMode="auto">
        <a:xfrm>
          <a:off x="433917" y="170854688"/>
          <a:ext cx="304800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22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23" name="AutoShape 4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24" name="AutoShape 5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25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26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27" name="AutoShape 4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28" name="AutoShape 5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29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30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31" name="AutoShape 4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32" name="AutoShape 5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33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34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35" name="AutoShape 4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36" name="AutoShape 5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37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757</xdr:row>
      <xdr:rowOff>0</xdr:rowOff>
    </xdr:from>
    <xdr:ext cx="304800" cy="223837"/>
    <xdr:sp macro="" textlink="">
      <xdr:nvSpPr>
        <xdr:cNvPr id="438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757</xdr:row>
      <xdr:rowOff>0</xdr:rowOff>
    </xdr:from>
    <xdr:ext cx="304800" cy="223837"/>
    <xdr:sp macro="" textlink="">
      <xdr:nvSpPr>
        <xdr:cNvPr id="439" name="AutoShape 4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757</xdr:row>
      <xdr:rowOff>0</xdr:rowOff>
    </xdr:from>
    <xdr:ext cx="304800" cy="223837"/>
    <xdr:sp macro="" textlink="">
      <xdr:nvSpPr>
        <xdr:cNvPr id="440" name="AutoShape 5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757</xdr:row>
      <xdr:rowOff>0</xdr:rowOff>
    </xdr:from>
    <xdr:ext cx="304800" cy="223837"/>
    <xdr:sp macro="" textlink="">
      <xdr:nvSpPr>
        <xdr:cNvPr id="441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42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43" name="AutoShape 4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44" name="AutoShape 5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45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46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47" name="AutoShape 4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48" name="AutoShape 5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49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50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51" name="AutoShape 4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52" name="AutoShape 5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53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54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55" name="AutoShape 4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56" name="AutoShape 5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57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23837"/>
    <xdr:sp macro="" textlink="">
      <xdr:nvSpPr>
        <xdr:cNvPr id="458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23837"/>
    <xdr:sp macro="" textlink="">
      <xdr:nvSpPr>
        <xdr:cNvPr id="459" name="AutoShape 4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23837"/>
    <xdr:sp macro="" textlink="">
      <xdr:nvSpPr>
        <xdr:cNvPr id="460" name="AutoShape 5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23837"/>
    <xdr:sp macro="" textlink="">
      <xdr:nvSpPr>
        <xdr:cNvPr id="461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23837"/>
    <xdr:sp macro="" textlink="">
      <xdr:nvSpPr>
        <xdr:cNvPr id="462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23837"/>
    <xdr:sp macro="" textlink="">
      <xdr:nvSpPr>
        <xdr:cNvPr id="463" name="AutoShape 4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23837"/>
    <xdr:sp macro="" textlink="">
      <xdr:nvSpPr>
        <xdr:cNvPr id="464" name="AutoShape 5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755</xdr:row>
      <xdr:rowOff>0</xdr:rowOff>
    </xdr:from>
    <xdr:ext cx="304800" cy="223837"/>
    <xdr:sp macro="" textlink="">
      <xdr:nvSpPr>
        <xdr:cNvPr id="465" name="AutoShape 2"/>
        <xdr:cNvSpPr>
          <a:spLocks noChangeAspect="1" noChangeArrowheads="1"/>
        </xdr:cNvSpPr>
      </xdr:nvSpPr>
      <xdr:spPr bwMode="auto">
        <a:xfrm>
          <a:off x="285750" y="1708546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66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67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68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69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70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71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72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73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74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75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76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77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78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79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80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81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82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83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84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85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86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87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88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89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90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91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92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93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94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95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96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97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98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499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00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01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02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03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04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05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06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07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08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09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10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11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12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13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14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15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16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17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18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19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20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21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22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23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24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25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26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27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28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29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30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31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32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33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34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35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36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37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38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39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40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41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42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43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44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45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46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47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48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49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50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51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52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53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54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55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56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57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58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59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60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61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62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63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64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65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66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67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68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69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70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71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72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73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74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75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76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77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78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79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80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81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82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83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84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85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86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87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88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89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90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91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92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93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94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95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96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97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98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599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600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601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602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603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604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605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606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607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608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609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682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683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684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685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686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687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688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689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690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691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692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693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694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695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696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697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698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699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00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01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02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03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04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05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06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07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08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09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10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11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12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13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14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15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16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17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18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19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20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21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22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23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24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25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26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27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28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29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30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31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32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33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34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35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36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37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38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39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40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41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42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43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44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45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46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47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48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49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50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51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52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753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54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55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56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57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58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59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60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61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62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63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64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65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66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67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68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69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70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71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72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73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74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75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76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77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78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79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80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81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82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83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84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85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86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87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88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89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90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91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92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93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94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95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96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97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98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799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00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01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02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03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04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05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06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07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08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09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10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11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12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13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14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15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16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17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18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19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20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21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22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23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24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25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26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27" name="AutoShape 4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28" name="AutoShape 5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29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30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31" name="AutoShape 4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32" name="AutoShape 5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33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34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35" name="AutoShape 4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36" name="AutoShape 5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37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38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39" name="AutoShape 4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40" name="AutoShape 5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41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42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43" name="AutoShape 4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44" name="AutoShape 5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45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46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47" name="AutoShape 4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48" name="AutoShape 5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49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50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51" name="AutoShape 4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52" name="AutoShape 5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53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54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55" name="AutoShape 4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56" name="AutoShape 5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57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58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59" name="AutoShape 4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60" name="AutoShape 5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61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62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63" name="AutoShape 4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64" name="AutoShape 5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65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66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67" name="AutoShape 4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68" name="AutoShape 5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69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70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71" name="AutoShape 4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72" name="AutoShape 5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73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74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75" name="AutoShape 4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76" name="AutoShape 5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77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78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79" name="AutoShape 4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80" name="AutoShape 5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81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82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83" name="AutoShape 4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84" name="AutoShape 5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85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86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87" name="AutoShape 4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88" name="AutoShape 5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89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90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91" name="AutoShape 4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92" name="AutoShape 5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93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94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95" name="AutoShape 4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96" name="AutoShape 5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97" name="AutoShape 2"/>
        <xdr:cNvSpPr>
          <a:spLocks noChangeAspect="1" noChangeArrowheads="1"/>
        </xdr:cNvSpPr>
      </xdr:nvSpPr>
      <xdr:spPr bwMode="auto">
        <a:xfrm>
          <a:off x="285750" y="221611031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98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899" name="AutoShape 4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00" name="AutoShape 5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01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02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03" name="AutoShape 4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04" name="AutoShape 5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05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06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07" name="AutoShape 4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08" name="AutoShape 5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09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10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11" name="AutoShape 4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12" name="AutoShape 5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13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14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15" name="AutoShape 4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16" name="AutoShape 5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17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18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19" name="AutoShape 4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20" name="AutoShape 5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21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22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23" name="AutoShape 4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24" name="AutoShape 5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25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26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27" name="AutoShape 4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28" name="AutoShape 5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29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30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31" name="AutoShape 4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32" name="AutoShape 5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33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34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35" name="AutoShape 4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36" name="AutoShape 5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37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38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39" name="AutoShape 4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40" name="AutoShape 5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41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42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43" name="AutoShape 4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44" name="AutoShape 5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45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46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47" name="AutoShape 4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48" name="AutoShape 5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49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50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51" name="AutoShape 4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52" name="AutoShape 5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53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54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55" name="AutoShape 4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56" name="AutoShape 5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57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58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59" name="AutoShape 4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60" name="AutoShape 5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61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62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63" name="AutoShape 4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64" name="AutoShape 5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65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66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67" name="AutoShape 4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68" name="AutoShape 5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1098</xdr:row>
      <xdr:rowOff>0</xdr:rowOff>
    </xdr:from>
    <xdr:ext cx="304800" cy="223837"/>
    <xdr:sp macro="" textlink="">
      <xdr:nvSpPr>
        <xdr:cNvPr id="969" name="AutoShape 2"/>
        <xdr:cNvSpPr>
          <a:spLocks noChangeAspect="1" noChangeArrowheads="1"/>
        </xdr:cNvSpPr>
      </xdr:nvSpPr>
      <xdr:spPr bwMode="auto">
        <a:xfrm>
          <a:off x="285750" y="223206469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70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71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72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73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74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75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76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77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78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79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80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81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82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83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84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85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86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87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88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89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90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91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92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93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94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95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96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97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98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999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00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01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02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03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04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05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06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07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08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09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10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11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12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13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14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15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16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17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18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19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20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21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22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23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24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25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26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27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28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29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30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31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32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33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34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35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36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37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38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39" name="AutoShape 4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40" name="AutoShape 5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765</xdr:row>
      <xdr:rowOff>0</xdr:rowOff>
    </xdr:from>
    <xdr:ext cx="304800" cy="223837"/>
    <xdr:sp macro="" textlink="">
      <xdr:nvSpPr>
        <xdr:cNvPr id="1041" name="AutoShape 2"/>
        <xdr:cNvSpPr>
          <a:spLocks noChangeAspect="1" noChangeArrowheads="1"/>
        </xdr:cNvSpPr>
      </xdr:nvSpPr>
      <xdr:spPr bwMode="auto">
        <a:xfrm>
          <a:off x="285750" y="1726406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865</xdr:row>
      <xdr:rowOff>0</xdr:rowOff>
    </xdr:from>
    <xdr:ext cx="304800" cy="414337"/>
    <xdr:sp macro="" textlink="">
      <xdr:nvSpPr>
        <xdr:cNvPr id="1042" name="AutoShape 2"/>
        <xdr:cNvSpPr>
          <a:spLocks noChangeAspect="1" noChangeArrowheads="1"/>
        </xdr:cNvSpPr>
      </xdr:nvSpPr>
      <xdr:spPr bwMode="auto">
        <a:xfrm>
          <a:off x="285750" y="153619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865</xdr:row>
      <xdr:rowOff>0</xdr:rowOff>
    </xdr:from>
    <xdr:ext cx="304800" cy="414337"/>
    <xdr:sp macro="" textlink="">
      <xdr:nvSpPr>
        <xdr:cNvPr id="1043" name="AutoShape 4"/>
        <xdr:cNvSpPr>
          <a:spLocks noChangeAspect="1" noChangeArrowheads="1"/>
        </xdr:cNvSpPr>
      </xdr:nvSpPr>
      <xdr:spPr bwMode="auto">
        <a:xfrm>
          <a:off x="285750" y="153619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865</xdr:row>
      <xdr:rowOff>0</xdr:rowOff>
    </xdr:from>
    <xdr:ext cx="304800" cy="414337"/>
    <xdr:sp macro="" textlink="">
      <xdr:nvSpPr>
        <xdr:cNvPr id="1044" name="AutoShape 5"/>
        <xdr:cNvSpPr>
          <a:spLocks noChangeAspect="1" noChangeArrowheads="1"/>
        </xdr:cNvSpPr>
      </xdr:nvSpPr>
      <xdr:spPr bwMode="auto">
        <a:xfrm>
          <a:off x="285750" y="153619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865</xdr:row>
      <xdr:rowOff>0</xdr:rowOff>
    </xdr:from>
    <xdr:ext cx="304800" cy="414337"/>
    <xdr:sp macro="" textlink="">
      <xdr:nvSpPr>
        <xdr:cNvPr id="1045" name="AutoShape 2"/>
        <xdr:cNvSpPr>
          <a:spLocks noChangeAspect="1" noChangeArrowheads="1"/>
        </xdr:cNvSpPr>
      </xdr:nvSpPr>
      <xdr:spPr bwMode="auto">
        <a:xfrm>
          <a:off x="285750" y="153619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865</xdr:row>
      <xdr:rowOff>0</xdr:rowOff>
    </xdr:from>
    <xdr:ext cx="304800" cy="414337"/>
    <xdr:sp macro="" textlink="">
      <xdr:nvSpPr>
        <xdr:cNvPr id="1046" name="AutoShape 2"/>
        <xdr:cNvSpPr>
          <a:spLocks noChangeAspect="1" noChangeArrowheads="1"/>
        </xdr:cNvSpPr>
      </xdr:nvSpPr>
      <xdr:spPr bwMode="auto">
        <a:xfrm>
          <a:off x="285750" y="153619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865</xdr:row>
      <xdr:rowOff>0</xdr:rowOff>
    </xdr:from>
    <xdr:ext cx="304800" cy="414337"/>
    <xdr:sp macro="" textlink="">
      <xdr:nvSpPr>
        <xdr:cNvPr id="1047" name="AutoShape 4"/>
        <xdr:cNvSpPr>
          <a:spLocks noChangeAspect="1" noChangeArrowheads="1"/>
        </xdr:cNvSpPr>
      </xdr:nvSpPr>
      <xdr:spPr bwMode="auto">
        <a:xfrm>
          <a:off x="285750" y="153619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865</xdr:row>
      <xdr:rowOff>0</xdr:rowOff>
    </xdr:from>
    <xdr:ext cx="304800" cy="414337"/>
    <xdr:sp macro="" textlink="">
      <xdr:nvSpPr>
        <xdr:cNvPr id="1048" name="AutoShape 5"/>
        <xdr:cNvSpPr>
          <a:spLocks noChangeAspect="1" noChangeArrowheads="1"/>
        </xdr:cNvSpPr>
      </xdr:nvSpPr>
      <xdr:spPr bwMode="auto">
        <a:xfrm>
          <a:off x="285750" y="153619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865</xdr:row>
      <xdr:rowOff>0</xdr:rowOff>
    </xdr:from>
    <xdr:ext cx="304800" cy="414337"/>
    <xdr:sp macro="" textlink="">
      <xdr:nvSpPr>
        <xdr:cNvPr id="1049" name="AutoShape 2"/>
        <xdr:cNvSpPr>
          <a:spLocks noChangeAspect="1" noChangeArrowheads="1"/>
        </xdr:cNvSpPr>
      </xdr:nvSpPr>
      <xdr:spPr bwMode="auto">
        <a:xfrm>
          <a:off x="285750" y="153619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865</xdr:row>
      <xdr:rowOff>0</xdr:rowOff>
    </xdr:from>
    <xdr:ext cx="304800" cy="414337"/>
    <xdr:sp macro="" textlink="">
      <xdr:nvSpPr>
        <xdr:cNvPr id="1050" name="AutoShape 2"/>
        <xdr:cNvSpPr>
          <a:spLocks noChangeAspect="1" noChangeArrowheads="1"/>
        </xdr:cNvSpPr>
      </xdr:nvSpPr>
      <xdr:spPr bwMode="auto">
        <a:xfrm>
          <a:off x="285750" y="153619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865</xdr:row>
      <xdr:rowOff>0</xdr:rowOff>
    </xdr:from>
    <xdr:ext cx="304800" cy="414337"/>
    <xdr:sp macro="" textlink="">
      <xdr:nvSpPr>
        <xdr:cNvPr id="1051" name="AutoShape 4"/>
        <xdr:cNvSpPr>
          <a:spLocks noChangeAspect="1" noChangeArrowheads="1"/>
        </xdr:cNvSpPr>
      </xdr:nvSpPr>
      <xdr:spPr bwMode="auto">
        <a:xfrm>
          <a:off x="285750" y="153619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865</xdr:row>
      <xdr:rowOff>0</xdr:rowOff>
    </xdr:from>
    <xdr:ext cx="304800" cy="414337"/>
    <xdr:sp macro="" textlink="">
      <xdr:nvSpPr>
        <xdr:cNvPr id="1052" name="AutoShape 5"/>
        <xdr:cNvSpPr>
          <a:spLocks noChangeAspect="1" noChangeArrowheads="1"/>
        </xdr:cNvSpPr>
      </xdr:nvSpPr>
      <xdr:spPr bwMode="auto">
        <a:xfrm>
          <a:off x="285750" y="153619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865</xdr:row>
      <xdr:rowOff>0</xdr:rowOff>
    </xdr:from>
    <xdr:ext cx="304800" cy="414337"/>
    <xdr:sp macro="" textlink="">
      <xdr:nvSpPr>
        <xdr:cNvPr id="1053" name="AutoShape 2"/>
        <xdr:cNvSpPr>
          <a:spLocks noChangeAspect="1" noChangeArrowheads="1"/>
        </xdr:cNvSpPr>
      </xdr:nvSpPr>
      <xdr:spPr bwMode="auto">
        <a:xfrm>
          <a:off x="285750" y="153619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864</xdr:row>
      <xdr:rowOff>0</xdr:rowOff>
    </xdr:from>
    <xdr:ext cx="304800" cy="414337"/>
    <xdr:sp macro="" textlink="">
      <xdr:nvSpPr>
        <xdr:cNvPr id="1054" name="AutoShape 2"/>
        <xdr:cNvSpPr>
          <a:spLocks noChangeAspect="1" noChangeArrowheads="1"/>
        </xdr:cNvSpPr>
      </xdr:nvSpPr>
      <xdr:spPr bwMode="auto">
        <a:xfrm>
          <a:off x="285750" y="1534287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864</xdr:row>
      <xdr:rowOff>0</xdr:rowOff>
    </xdr:from>
    <xdr:ext cx="304800" cy="414337"/>
    <xdr:sp macro="" textlink="">
      <xdr:nvSpPr>
        <xdr:cNvPr id="1055" name="AutoShape 4"/>
        <xdr:cNvSpPr>
          <a:spLocks noChangeAspect="1" noChangeArrowheads="1"/>
        </xdr:cNvSpPr>
      </xdr:nvSpPr>
      <xdr:spPr bwMode="auto">
        <a:xfrm>
          <a:off x="285750" y="1534287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864</xdr:row>
      <xdr:rowOff>0</xdr:rowOff>
    </xdr:from>
    <xdr:ext cx="304800" cy="414337"/>
    <xdr:sp macro="" textlink="">
      <xdr:nvSpPr>
        <xdr:cNvPr id="1056" name="AutoShape 5"/>
        <xdr:cNvSpPr>
          <a:spLocks noChangeAspect="1" noChangeArrowheads="1"/>
        </xdr:cNvSpPr>
      </xdr:nvSpPr>
      <xdr:spPr bwMode="auto">
        <a:xfrm>
          <a:off x="285750" y="1534287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864</xdr:row>
      <xdr:rowOff>0</xdr:rowOff>
    </xdr:from>
    <xdr:ext cx="304800" cy="414337"/>
    <xdr:sp macro="" textlink="">
      <xdr:nvSpPr>
        <xdr:cNvPr id="1057" name="AutoShape 2"/>
        <xdr:cNvSpPr>
          <a:spLocks noChangeAspect="1" noChangeArrowheads="1"/>
        </xdr:cNvSpPr>
      </xdr:nvSpPr>
      <xdr:spPr bwMode="auto">
        <a:xfrm>
          <a:off x="285750" y="1534287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864</xdr:row>
      <xdr:rowOff>0</xdr:rowOff>
    </xdr:from>
    <xdr:ext cx="304800" cy="414337"/>
    <xdr:sp macro="" textlink="">
      <xdr:nvSpPr>
        <xdr:cNvPr id="1058" name="AutoShape 2"/>
        <xdr:cNvSpPr>
          <a:spLocks noChangeAspect="1" noChangeArrowheads="1"/>
        </xdr:cNvSpPr>
      </xdr:nvSpPr>
      <xdr:spPr bwMode="auto">
        <a:xfrm>
          <a:off x="285750" y="1534287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864</xdr:row>
      <xdr:rowOff>0</xdr:rowOff>
    </xdr:from>
    <xdr:ext cx="304800" cy="414337"/>
    <xdr:sp macro="" textlink="">
      <xdr:nvSpPr>
        <xdr:cNvPr id="1059" name="AutoShape 4"/>
        <xdr:cNvSpPr>
          <a:spLocks noChangeAspect="1" noChangeArrowheads="1"/>
        </xdr:cNvSpPr>
      </xdr:nvSpPr>
      <xdr:spPr bwMode="auto">
        <a:xfrm>
          <a:off x="285750" y="1534287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864</xdr:row>
      <xdr:rowOff>0</xdr:rowOff>
    </xdr:from>
    <xdr:ext cx="304800" cy="414337"/>
    <xdr:sp macro="" textlink="">
      <xdr:nvSpPr>
        <xdr:cNvPr id="1060" name="AutoShape 5"/>
        <xdr:cNvSpPr>
          <a:spLocks noChangeAspect="1" noChangeArrowheads="1"/>
        </xdr:cNvSpPr>
      </xdr:nvSpPr>
      <xdr:spPr bwMode="auto">
        <a:xfrm>
          <a:off x="285750" y="1534287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864</xdr:row>
      <xdr:rowOff>0</xdr:rowOff>
    </xdr:from>
    <xdr:ext cx="304800" cy="414337"/>
    <xdr:sp macro="" textlink="">
      <xdr:nvSpPr>
        <xdr:cNvPr id="1061" name="AutoShape 2"/>
        <xdr:cNvSpPr>
          <a:spLocks noChangeAspect="1" noChangeArrowheads="1"/>
        </xdr:cNvSpPr>
      </xdr:nvSpPr>
      <xdr:spPr bwMode="auto">
        <a:xfrm>
          <a:off x="285750" y="1534287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864</xdr:row>
      <xdr:rowOff>0</xdr:rowOff>
    </xdr:from>
    <xdr:ext cx="304800" cy="414337"/>
    <xdr:sp macro="" textlink="">
      <xdr:nvSpPr>
        <xdr:cNvPr id="1062" name="AutoShape 2"/>
        <xdr:cNvSpPr>
          <a:spLocks noChangeAspect="1" noChangeArrowheads="1"/>
        </xdr:cNvSpPr>
      </xdr:nvSpPr>
      <xdr:spPr bwMode="auto">
        <a:xfrm>
          <a:off x="285750" y="1534287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864</xdr:row>
      <xdr:rowOff>0</xdr:rowOff>
    </xdr:from>
    <xdr:ext cx="304800" cy="414337"/>
    <xdr:sp macro="" textlink="">
      <xdr:nvSpPr>
        <xdr:cNvPr id="1063" name="AutoShape 4"/>
        <xdr:cNvSpPr>
          <a:spLocks noChangeAspect="1" noChangeArrowheads="1"/>
        </xdr:cNvSpPr>
      </xdr:nvSpPr>
      <xdr:spPr bwMode="auto">
        <a:xfrm>
          <a:off x="285750" y="1534287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864</xdr:row>
      <xdr:rowOff>0</xdr:rowOff>
    </xdr:from>
    <xdr:ext cx="304800" cy="414337"/>
    <xdr:sp macro="" textlink="">
      <xdr:nvSpPr>
        <xdr:cNvPr id="1064" name="AutoShape 5"/>
        <xdr:cNvSpPr>
          <a:spLocks noChangeAspect="1" noChangeArrowheads="1"/>
        </xdr:cNvSpPr>
      </xdr:nvSpPr>
      <xdr:spPr bwMode="auto">
        <a:xfrm>
          <a:off x="285750" y="1534287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864</xdr:row>
      <xdr:rowOff>0</xdr:rowOff>
    </xdr:from>
    <xdr:ext cx="304800" cy="414337"/>
    <xdr:sp macro="" textlink="">
      <xdr:nvSpPr>
        <xdr:cNvPr id="1065" name="AutoShape 2"/>
        <xdr:cNvSpPr>
          <a:spLocks noChangeAspect="1" noChangeArrowheads="1"/>
        </xdr:cNvSpPr>
      </xdr:nvSpPr>
      <xdr:spPr bwMode="auto">
        <a:xfrm>
          <a:off x="285750" y="1534287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66" name="AutoShape 2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67" name="AutoShape 4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68" name="AutoShape 5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69" name="AutoShape 2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70" name="AutoShape 2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71" name="AutoShape 4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72" name="AutoShape 5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73" name="AutoShape 2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74" name="AutoShape 2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75" name="AutoShape 4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76" name="AutoShape 5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77" name="AutoShape 2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78" name="AutoShape 2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79" name="AutoShape 4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80" name="AutoShape 5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81" name="AutoShape 2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82" name="AutoShape 2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83" name="AutoShape 4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84" name="AutoShape 5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85" name="AutoShape 2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86" name="AutoShape 2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87" name="AutoShape 4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88" name="AutoShape 5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89" name="AutoShape 2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90" name="AutoShape 2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91" name="AutoShape 4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92" name="AutoShape 5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93" name="AutoShape 2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94" name="AutoShape 2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95" name="AutoShape 4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96" name="AutoShape 5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97" name="AutoShape 2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98" name="AutoShape 2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099" name="AutoShape 4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100" name="AutoShape 5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836</xdr:row>
      <xdr:rowOff>0</xdr:rowOff>
    </xdr:from>
    <xdr:ext cx="304800" cy="414337"/>
    <xdr:sp macro="" textlink="">
      <xdr:nvSpPr>
        <xdr:cNvPr id="1101" name="AutoShape 2"/>
        <xdr:cNvSpPr>
          <a:spLocks noChangeAspect="1" noChangeArrowheads="1"/>
        </xdr:cNvSpPr>
      </xdr:nvSpPr>
      <xdr:spPr bwMode="auto">
        <a:xfrm>
          <a:off x="285750" y="1479042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792</xdr:row>
      <xdr:rowOff>0</xdr:rowOff>
    </xdr:from>
    <xdr:ext cx="304800" cy="223837"/>
    <xdr:sp macro="" textlink="">
      <xdr:nvSpPr>
        <xdr:cNvPr id="1102" name="AutoShape 2"/>
        <xdr:cNvSpPr>
          <a:spLocks noChangeAspect="1" noChangeArrowheads="1"/>
        </xdr:cNvSpPr>
      </xdr:nvSpPr>
      <xdr:spPr bwMode="auto">
        <a:xfrm>
          <a:off x="285750" y="1354931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792</xdr:row>
      <xdr:rowOff>0</xdr:rowOff>
    </xdr:from>
    <xdr:ext cx="304800" cy="223837"/>
    <xdr:sp macro="" textlink="">
      <xdr:nvSpPr>
        <xdr:cNvPr id="1103" name="AutoShape 4"/>
        <xdr:cNvSpPr>
          <a:spLocks noChangeAspect="1" noChangeArrowheads="1"/>
        </xdr:cNvSpPr>
      </xdr:nvSpPr>
      <xdr:spPr bwMode="auto">
        <a:xfrm>
          <a:off x="285750" y="1354931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792</xdr:row>
      <xdr:rowOff>0</xdr:rowOff>
    </xdr:from>
    <xdr:ext cx="304800" cy="223837"/>
    <xdr:sp macro="" textlink="">
      <xdr:nvSpPr>
        <xdr:cNvPr id="1104" name="AutoShape 5"/>
        <xdr:cNvSpPr>
          <a:spLocks noChangeAspect="1" noChangeArrowheads="1"/>
        </xdr:cNvSpPr>
      </xdr:nvSpPr>
      <xdr:spPr bwMode="auto">
        <a:xfrm>
          <a:off x="285750" y="1354931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792</xdr:row>
      <xdr:rowOff>0</xdr:rowOff>
    </xdr:from>
    <xdr:ext cx="304800" cy="223837"/>
    <xdr:sp macro="" textlink="">
      <xdr:nvSpPr>
        <xdr:cNvPr id="1105" name="AutoShape 2"/>
        <xdr:cNvSpPr>
          <a:spLocks noChangeAspect="1" noChangeArrowheads="1"/>
        </xdr:cNvSpPr>
      </xdr:nvSpPr>
      <xdr:spPr bwMode="auto">
        <a:xfrm>
          <a:off x="285750" y="1354931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792</xdr:row>
      <xdr:rowOff>0</xdr:rowOff>
    </xdr:from>
    <xdr:ext cx="304800" cy="223837"/>
    <xdr:sp macro="" textlink="">
      <xdr:nvSpPr>
        <xdr:cNvPr id="1106" name="AutoShape 2"/>
        <xdr:cNvSpPr>
          <a:spLocks noChangeAspect="1" noChangeArrowheads="1"/>
        </xdr:cNvSpPr>
      </xdr:nvSpPr>
      <xdr:spPr bwMode="auto">
        <a:xfrm>
          <a:off x="285750" y="1354931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792</xdr:row>
      <xdr:rowOff>0</xdr:rowOff>
    </xdr:from>
    <xdr:ext cx="304800" cy="223837"/>
    <xdr:sp macro="" textlink="">
      <xdr:nvSpPr>
        <xdr:cNvPr id="1107" name="AutoShape 4"/>
        <xdr:cNvSpPr>
          <a:spLocks noChangeAspect="1" noChangeArrowheads="1"/>
        </xdr:cNvSpPr>
      </xdr:nvSpPr>
      <xdr:spPr bwMode="auto">
        <a:xfrm>
          <a:off x="285750" y="1354931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792</xdr:row>
      <xdr:rowOff>0</xdr:rowOff>
    </xdr:from>
    <xdr:ext cx="304800" cy="223837"/>
    <xdr:sp macro="" textlink="">
      <xdr:nvSpPr>
        <xdr:cNvPr id="1108" name="AutoShape 5"/>
        <xdr:cNvSpPr>
          <a:spLocks noChangeAspect="1" noChangeArrowheads="1"/>
        </xdr:cNvSpPr>
      </xdr:nvSpPr>
      <xdr:spPr bwMode="auto">
        <a:xfrm>
          <a:off x="285750" y="1354931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792</xdr:row>
      <xdr:rowOff>0</xdr:rowOff>
    </xdr:from>
    <xdr:ext cx="304800" cy="223837"/>
    <xdr:sp macro="" textlink="">
      <xdr:nvSpPr>
        <xdr:cNvPr id="1109" name="AutoShape 2"/>
        <xdr:cNvSpPr>
          <a:spLocks noChangeAspect="1" noChangeArrowheads="1"/>
        </xdr:cNvSpPr>
      </xdr:nvSpPr>
      <xdr:spPr bwMode="auto">
        <a:xfrm>
          <a:off x="285750" y="1354931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792</xdr:row>
      <xdr:rowOff>0</xdr:rowOff>
    </xdr:from>
    <xdr:ext cx="304800" cy="414337"/>
    <xdr:sp macro="" textlink="">
      <xdr:nvSpPr>
        <xdr:cNvPr id="1110" name="AutoShape 2"/>
        <xdr:cNvSpPr>
          <a:spLocks noChangeAspect="1" noChangeArrowheads="1"/>
        </xdr:cNvSpPr>
      </xdr:nvSpPr>
      <xdr:spPr bwMode="auto">
        <a:xfrm>
          <a:off x="285750" y="1354931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792</xdr:row>
      <xdr:rowOff>0</xdr:rowOff>
    </xdr:from>
    <xdr:ext cx="304800" cy="414337"/>
    <xdr:sp macro="" textlink="">
      <xdr:nvSpPr>
        <xdr:cNvPr id="1111" name="AutoShape 4"/>
        <xdr:cNvSpPr>
          <a:spLocks noChangeAspect="1" noChangeArrowheads="1"/>
        </xdr:cNvSpPr>
      </xdr:nvSpPr>
      <xdr:spPr bwMode="auto">
        <a:xfrm>
          <a:off x="285750" y="1354931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792</xdr:row>
      <xdr:rowOff>0</xdr:rowOff>
    </xdr:from>
    <xdr:ext cx="304800" cy="414337"/>
    <xdr:sp macro="" textlink="">
      <xdr:nvSpPr>
        <xdr:cNvPr id="1112" name="AutoShape 5"/>
        <xdr:cNvSpPr>
          <a:spLocks noChangeAspect="1" noChangeArrowheads="1"/>
        </xdr:cNvSpPr>
      </xdr:nvSpPr>
      <xdr:spPr bwMode="auto">
        <a:xfrm>
          <a:off x="285750" y="1354931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792</xdr:row>
      <xdr:rowOff>0</xdr:rowOff>
    </xdr:from>
    <xdr:ext cx="304800" cy="414337"/>
    <xdr:sp macro="" textlink="">
      <xdr:nvSpPr>
        <xdr:cNvPr id="1113" name="AutoShape 2"/>
        <xdr:cNvSpPr>
          <a:spLocks noChangeAspect="1" noChangeArrowheads="1"/>
        </xdr:cNvSpPr>
      </xdr:nvSpPr>
      <xdr:spPr bwMode="auto">
        <a:xfrm>
          <a:off x="285750" y="1354931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794</xdr:row>
      <xdr:rowOff>0</xdr:rowOff>
    </xdr:from>
    <xdr:ext cx="304800" cy="223837"/>
    <xdr:sp macro="" textlink="">
      <xdr:nvSpPr>
        <xdr:cNvPr id="1114" name="AutoShape 2"/>
        <xdr:cNvSpPr>
          <a:spLocks noChangeAspect="1" noChangeArrowheads="1"/>
        </xdr:cNvSpPr>
      </xdr:nvSpPr>
      <xdr:spPr bwMode="auto">
        <a:xfrm>
          <a:off x="285750" y="1358741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794</xdr:row>
      <xdr:rowOff>0</xdr:rowOff>
    </xdr:from>
    <xdr:ext cx="304800" cy="223837"/>
    <xdr:sp macro="" textlink="">
      <xdr:nvSpPr>
        <xdr:cNvPr id="1115" name="AutoShape 4"/>
        <xdr:cNvSpPr>
          <a:spLocks noChangeAspect="1" noChangeArrowheads="1"/>
        </xdr:cNvSpPr>
      </xdr:nvSpPr>
      <xdr:spPr bwMode="auto">
        <a:xfrm>
          <a:off x="285750" y="1358741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794</xdr:row>
      <xdr:rowOff>0</xdr:rowOff>
    </xdr:from>
    <xdr:ext cx="304800" cy="223837"/>
    <xdr:sp macro="" textlink="">
      <xdr:nvSpPr>
        <xdr:cNvPr id="1116" name="AutoShape 5"/>
        <xdr:cNvSpPr>
          <a:spLocks noChangeAspect="1" noChangeArrowheads="1"/>
        </xdr:cNvSpPr>
      </xdr:nvSpPr>
      <xdr:spPr bwMode="auto">
        <a:xfrm>
          <a:off x="285750" y="1358741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794</xdr:row>
      <xdr:rowOff>0</xdr:rowOff>
    </xdr:from>
    <xdr:ext cx="304800" cy="223837"/>
    <xdr:sp macro="" textlink="">
      <xdr:nvSpPr>
        <xdr:cNvPr id="1117" name="AutoShape 2"/>
        <xdr:cNvSpPr>
          <a:spLocks noChangeAspect="1" noChangeArrowheads="1"/>
        </xdr:cNvSpPr>
      </xdr:nvSpPr>
      <xdr:spPr bwMode="auto">
        <a:xfrm>
          <a:off x="285750" y="1358741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762</xdr:row>
      <xdr:rowOff>0</xdr:rowOff>
    </xdr:from>
    <xdr:ext cx="304800" cy="223837"/>
    <xdr:sp macro="" textlink="">
      <xdr:nvSpPr>
        <xdr:cNvPr id="1118" name="AutoShape 2"/>
        <xdr:cNvSpPr>
          <a:spLocks noChangeAspect="1" noChangeArrowheads="1"/>
        </xdr:cNvSpPr>
      </xdr:nvSpPr>
      <xdr:spPr bwMode="auto">
        <a:xfrm>
          <a:off x="285750" y="1508521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762</xdr:row>
      <xdr:rowOff>0</xdr:rowOff>
    </xdr:from>
    <xdr:ext cx="304800" cy="223837"/>
    <xdr:sp macro="" textlink="">
      <xdr:nvSpPr>
        <xdr:cNvPr id="1119" name="AutoShape 4"/>
        <xdr:cNvSpPr>
          <a:spLocks noChangeAspect="1" noChangeArrowheads="1"/>
        </xdr:cNvSpPr>
      </xdr:nvSpPr>
      <xdr:spPr bwMode="auto">
        <a:xfrm>
          <a:off x="285750" y="1508521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762</xdr:row>
      <xdr:rowOff>0</xdr:rowOff>
    </xdr:from>
    <xdr:ext cx="304800" cy="223837"/>
    <xdr:sp macro="" textlink="">
      <xdr:nvSpPr>
        <xdr:cNvPr id="1120" name="AutoShape 5"/>
        <xdr:cNvSpPr>
          <a:spLocks noChangeAspect="1" noChangeArrowheads="1"/>
        </xdr:cNvSpPr>
      </xdr:nvSpPr>
      <xdr:spPr bwMode="auto">
        <a:xfrm>
          <a:off x="285750" y="1508521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762</xdr:row>
      <xdr:rowOff>0</xdr:rowOff>
    </xdr:from>
    <xdr:ext cx="304800" cy="223837"/>
    <xdr:sp macro="" textlink="">
      <xdr:nvSpPr>
        <xdr:cNvPr id="1121" name="AutoShape 2"/>
        <xdr:cNvSpPr>
          <a:spLocks noChangeAspect="1" noChangeArrowheads="1"/>
        </xdr:cNvSpPr>
      </xdr:nvSpPr>
      <xdr:spPr bwMode="auto">
        <a:xfrm>
          <a:off x="285750" y="1508521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762</xdr:row>
      <xdr:rowOff>0</xdr:rowOff>
    </xdr:from>
    <xdr:ext cx="304800" cy="223837"/>
    <xdr:sp macro="" textlink="">
      <xdr:nvSpPr>
        <xdr:cNvPr id="1122" name="AutoShape 2"/>
        <xdr:cNvSpPr>
          <a:spLocks noChangeAspect="1" noChangeArrowheads="1"/>
        </xdr:cNvSpPr>
      </xdr:nvSpPr>
      <xdr:spPr bwMode="auto">
        <a:xfrm>
          <a:off x="285750" y="1508521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762</xdr:row>
      <xdr:rowOff>0</xdr:rowOff>
    </xdr:from>
    <xdr:ext cx="304800" cy="223837"/>
    <xdr:sp macro="" textlink="">
      <xdr:nvSpPr>
        <xdr:cNvPr id="1123" name="AutoShape 4"/>
        <xdr:cNvSpPr>
          <a:spLocks noChangeAspect="1" noChangeArrowheads="1"/>
        </xdr:cNvSpPr>
      </xdr:nvSpPr>
      <xdr:spPr bwMode="auto">
        <a:xfrm>
          <a:off x="285750" y="1508521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762</xdr:row>
      <xdr:rowOff>0</xdr:rowOff>
    </xdr:from>
    <xdr:ext cx="304800" cy="223837"/>
    <xdr:sp macro="" textlink="">
      <xdr:nvSpPr>
        <xdr:cNvPr id="1124" name="AutoShape 5"/>
        <xdr:cNvSpPr>
          <a:spLocks noChangeAspect="1" noChangeArrowheads="1"/>
        </xdr:cNvSpPr>
      </xdr:nvSpPr>
      <xdr:spPr bwMode="auto">
        <a:xfrm>
          <a:off x="285750" y="1508521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762</xdr:row>
      <xdr:rowOff>0</xdr:rowOff>
    </xdr:from>
    <xdr:ext cx="304800" cy="223837"/>
    <xdr:sp macro="" textlink="">
      <xdr:nvSpPr>
        <xdr:cNvPr id="1125" name="AutoShape 2"/>
        <xdr:cNvSpPr>
          <a:spLocks noChangeAspect="1" noChangeArrowheads="1"/>
        </xdr:cNvSpPr>
      </xdr:nvSpPr>
      <xdr:spPr bwMode="auto">
        <a:xfrm>
          <a:off x="285750" y="150852188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26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27" name="AutoShape 4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28" name="AutoShape 5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29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30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31" name="AutoShape 4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32" name="AutoShape 5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33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34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35" name="AutoShape 4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36" name="AutoShape 5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37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38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39" name="AutoShape 4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40" name="AutoShape 5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41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42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43" name="AutoShape 4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44" name="AutoShape 5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45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46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47" name="AutoShape 4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48" name="AutoShape 5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49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50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51" name="AutoShape 4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52" name="AutoShape 5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53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54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55" name="AutoShape 4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56" name="AutoShape 5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57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58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59" name="AutoShape 4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60" name="AutoShape 5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61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62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63" name="AutoShape 4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64" name="AutoShape 5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65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66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67" name="AutoShape 4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68" name="AutoShape 5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69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70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71" name="AutoShape 4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72" name="AutoShape 5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73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74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75" name="AutoShape 4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76" name="AutoShape 5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77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78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79" name="AutoShape 4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80" name="AutoShape 5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81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82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83" name="AutoShape 4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84" name="AutoShape 5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85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86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87" name="AutoShape 4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88" name="AutoShape 5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89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90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91" name="AutoShape 4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92" name="AutoShape 5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1073</xdr:row>
      <xdr:rowOff>0</xdr:rowOff>
    </xdr:from>
    <xdr:ext cx="304800" cy="414337"/>
    <xdr:sp macro="" textlink="">
      <xdr:nvSpPr>
        <xdr:cNvPr id="1193" name="AutoShape 2"/>
        <xdr:cNvSpPr>
          <a:spLocks noChangeAspect="1" noChangeArrowheads="1"/>
        </xdr:cNvSpPr>
      </xdr:nvSpPr>
      <xdr:spPr bwMode="auto">
        <a:xfrm>
          <a:off x="285750" y="1631537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1088</xdr:row>
      <xdr:rowOff>0</xdr:rowOff>
    </xdr:from>
    <xdr:ext cx="304800" cy="414337"/>
    <xdr:sp macro="" textlink="">
      <xdr:nvSpPr>
        <xdr:cNvPr id="1194" name="AutoShape 2"/>
        <xdr:cNvSpPr>
          <a:spLocks noChangeAspect="1" noChangeArrowheads="1"/>
        </xdr:cNvSpPr>
      </xdr:nvSpPr>
      <xdr:spPr bwMode="auto">
        <a:xfrm>
          <a:off x="285750" y="1637252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1088</xdr:row>
      <xdr:rowOff>0</xdr:rowOff>
    </xdr:from>
    <xdr:ext cx="304800" cy="414337"/>
    <xdr:sp macro="" textlink="">
      <xdr:nvSpPr>
        <xdr:cNvPr id="1195" name="AutoShape 4"/>
        <xdr:cNvSpPr>
          <a:spLocks noChangeAspect="1" noChangeArrowheads="1"/>
        </xdr:cNvSpPr>
      </xdr:nvSpPr>
      <xdr:spPr bwMode="auto">
        <a:xfrm>
          <a:off x="285750" y="1637252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1088</xdr:row>
      <xdr:rowOff>0</xdr:rowOff>
    </xdr:from>
    <xdr:ext cx="304800" cy="414337"/>
    <xdr:sp macro="" textlink="">
      <xdr:nvSpPr>
        <xdr:cNvPr id="1196" name="AutoShape 5"/>
        <xdr:cNvSpPr>
          <a:spLocks noChangeAspect="1" noChangeArrowheads="1"/>
        </xdr:cNvSpPr>
      </xdr:nvSpPr>
      <xdr:spPr bwMode="auto">
        <a:xfrm>
          <a:off x="285750" y="1637252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1088</xdr:row>
      <xdr:rowOff>0</xdr:rowOff>
    </xdr:from>
    <xdr:ext cx="304800" cy="414337"/>
    <xdr:sp macro="" textlink="">
      <xdr:nvSpPr>
        <xdr:cNvPr id="1197" name="AutoShape 2"/>
        <xdr:cNvSpPr>
          <a:spLocks noChangeAspect="1" noChangeArrowheads="1"/>
        </xdr:cNvSpPr>
      </xdr:nvSpPr>
      <xdr:spPr bwMode="auto">
        <a:xfrm>
          <a:off x="285750" y="1637252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1088</xdr:row>
      <xdr:rowOff>0</xdr:rowOff>
    </xdr:from>
    <xdr:ext cx="304800" cy="414337"/>
    <xdr:sp macro="" textlink="">
      <xdr:nvSpPr>
        <xdr:cNvPr id="1198" name="AutoShape 2"/>
        <xdr:cNvSpPr>
          <a:spLocks noChangeAspect="1" noChangeArrowheads="1"/>
        </xdr:cNvSpPr>
      </xdr:nvSpPr>
      <xdr:spPr bwMode="auto">
        <a:xfrm>
          <a:off x="285750" y="1637252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1088</xdr:row>
      <xdr:rowOff>0</xdr:rowOff>
    </xdr:from>
    <xdr:ext cx="304800" cy="414337"/>
    <xdr:sp macro="" textlink="">
      <xdr:nvSpPr>
        <xdr:cNvPr id="1199" name="AutoShape 4"/>
        <xdr:cNvSpPr>
          <a:spLocks noChangeAspect="1" noChangeArrowheads="1"/>
        </xdr:cNvSpPr>
      </xdr:nvSpPr>
      <xdr:spPr bwMode="auto">
        <a:xfrm>
          <a:off x="285750" y="1637252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1088</xdr:row>
      <xdr:rowOff>0</xdr:rowOff>
    </xdr:from>
    <xdr:ext cx="304800" cy="414337"/>
    <xdr:sp macro="" textlink="">
      <xdr:nvSpPr>
        <xdr:cNvPr id="1200" name="AutoShape 5"/>
        <xdr:cNvSpPr>
          <a:spLocks noChangeAspect="1" noChangeArrowheads="1"/>
        </xdr:cNvSpPr>
      </xdr:nvSpPr>
      <xdr:spPr bwMode="auto">
        <a:xfrm>
          <a:off x="285750" y="1637252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</xdr:colOff>
      <xdr:row>1088</xdr:row>
      <xdr:rowOff>0</xdr:rowOff>
    </xdr:from>
    <xdr:ext cx="304800" cy="414337"/>
    <xdr:sp macro="" textlink="">
      <xdr:nvSpPr>
        <xdr:cNvPr id="1201" name="AutoShape 2"/>
        <xdr:cNvSpPr>
          <a:spLocks noChangeAspect="1" noChangeArrowheads="1"/>
        </xdr:cNvSpPr>
      </xdr:nvSpPr>
      <xdr:spPr bwMode="auto">
        <a:xfrm>
          <a:off x="333375" y="1637252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1088</xdr:row>
      <xdr:rowOff>0</xdr:rowOff>
    </xdr:from>
    <xdr:ext cx="304800" cy="414337"/>
    <xdr:sp macro="" textlink="">
      <xdr:nvSpPr>
        <xdr:cNvPr id="1202" name="AutoShape 2"/>
        <xdr:cNvSpPr>
          <a:spLocks noChangeAspect="1" noChangeArrowheads="1"/>
        </xdr:cNvSpPr>
      </xdr:nvSpPr>
      <xdr:spPr bwMode="auto">
        <a:xfrm>
          <a:off x="285750" y="1637252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1088</xdr:row>
      <xdr:rowOff>0</xdr:rowOff>
    </xdr:from>
    <xdr:ext cx="304800" cy="414337"/>
    <xdr:sp macro="" textlink="">
      <xdr:nvSpPr>
        <xdr:cNvPr id="1203" name="AutoShape 4"/>
        <xdr:cNvSpPr>
          <a:spLocks noChangeAspect="1" noChangeArrowheads="1"/>
        </xdr:cNvSpPr>
      </xdr:nvSpPr>
      <xdr:spPr bwMode="auto">
        <a:xfrm>
          <a:off x="285750" y="1637252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1088</xdr:row>
      <xdr:rowOff>0</xdr:rowOff>
    </xdr:from>
    <xdr:ext cx="304800" cy="414337"/>
    <xdr:sp macro="" textlink="">
      <xdr:nvSpPr>
        <xdr:cNvPr id="1204" name="AutoShape 5"/>
        <xdr:cNvSpPr>
          <a:spLocks noChangeAspect="1" noChangeArrowheads="1"/>
        </xdr:cNvSpPr>
      </xdr:nvSpPr>
      <xdr:spPr bwMode="auto">
        <a:xfrm>
          <a:off x="285750" y="1637252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1088</xdr:row>
      <xdr:rowOff>0</xdr:rowOff>
    </xdr:from>
    <xdr:ext cx="304800" cy="414337"/>
    <xdr:sp macro="" textlink="">
      <xdr:nvSpPr>
        <xdr:cNvPr id="1205" name="AutoShape 2"/>
        <xdr:cNvSpPr>
          <a:spLocks noChangeAspect="1" noChangeArrowheads="1"/>
        </xdr:cNvSpPr>
      </xdr:nvSpPr>
      <xdr:spPr bwMode="auto">
        <a:xfrm>
          <a:off x="285750" y="1637252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1088</xdr:row>
      <xdr:rowOff>0</xdr:rowOff>
    </xdr:from>
    <xdr:ext cx="304800" cy="414337"/>
    <xdr:sp macro="" textlink="">
      <xdr:nvSpPr>
        <xdr:cNvPr id="1206" name="AutoShape 2"/>
        <xdr:cNvSpPr>
          <a:spLocks noChangeAspect="1" noChangeArrowheads="1"/>
        </xdr:cNvSpPr>
      </xdr:nvSpPr>
      <xdr:spPr bwMode="auto">
        <a:xfrm>
          <a:off x="285750" y="1637252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1088</xdr:row>
      <xdr:rowOff>0</xdr:rowOff>
    </xdr:from>
    <xdr:ext cx="304800" cy="414337"/>
    <xdr:sp macro="" textlink="">
      <xdr:nvSpPr>
        <xdr:cNvPr id="1207" name="AutoShape 4"/>
        <xdr:cNvSpPr>
          <a:spLocks noChangeAspect="1" noChangeArrowheads="1"/>
        </xdr:cNvSpPr>
      </xdr:nvSpPr>
      <xdr:spPr bwMode="auto">
        <a:xfrm>
          <a:off x="285750" y="1637252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1088</xdr:row>
      <xdr:rowOff>0</xdr:rowOff>
    </xdr:from>
    <xdr:ext cx="304800" cy="414337"/>
    <xdr:sp macro="" textlink="">
      <xdr:nvSpPr>
        <xdr:cNvPr id="1208" name="AutoShape 5"/>
        <xdr:cNvSpPr>
          <a:spLocks noChangeAspect="1" noChangeArrowheads="1"/>
        </xdr:cNvSpPr>
      </xdr:nvSpPr>
      <xdr:spPr bwMode="auto">
        <a:xfrm>
          <a:off x="285750" y="1637252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1088</xdr:row>
      <xdr:rowOff>0</xdr:rowOff>
    </xdr:from>
    <xdr:ext cx="304800" cy="414337"/>
    <xdr:sp macro="" textlink="">
      <xdr:nvSpPr>
        <xdr:cNvPr id="1209" name="AutoShape 2"/>
        <xdr:cNvSpPr>
          <a:spLocks noChangeAspect="1" noChangeArrowheads="1"/>
        </xdr:cNvSpPr>
      </xdr:nvSpPr>
      <xdr:spPr bwMode="auto">
        <a:xfrm>
          <a:off x="285750" y="1637252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1088</xdr:row>
      <xdr:rowOff>0</xdr:rowOff>
    </xdr:from>
    <xdr:ext cx="304800" cy="414337"/>
    <xdr:sp macro="" textlink="">
      <xdr:nvSpPr>
        <xdr:cNvPr id="1210" name="AutoShape 2"/>
        <xdr:cNvSpPr>
          <a:spLocks noChangeAspect="1" noChangeArrowheads="1"/>
        </xdr:cNvSpPr>
      </xdr:nvSpPr>
      <xdr:spPr bwMode="auto">
        <a:xfrm>
          <a:off x="285750" y="1637252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1088</xdr:row>
      <xdr:rowOff>0</xdr:rowOff>
    </xdr:from>
    <xdr:ext cx="304800" cy="414337"/>
    <xdr:sp macro="" textlink="">
      <xdr:nvSpPr>
        <xdr:cNvPr id="1211" name="AutoShape 4"/>
        <xdr:cNvSpPr>
          <a:spLocks noChangeAspect="1" noChangeArrowheads="1"/>
        </xdr:cNvSpPr>
      </xdr:nvSpPr>
      <xdr:spPr bwMode="auto">
        <a:xfrm>
          <a:off x="285750" y="1637252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1088</xdr:row>
      <xdr:rowOff>0</xdr:rowOff>
    </xdr:from>
    <xdr:ext cx="304800" cy="414337"/>
    <xdr:sp macro="" textlink="">
      <xdr:nvSpPr>
        <xdr:cNvPr id="1212" name="AutoShape 5"/>
        <xdr:cNvSpPr>
          <a:spLocks noChangeAspect="1" noChangeArrowheads="1"/>
        </xdr:cNvSpPr>
      </xdr:nvSpPr>
      <xdr:spPr bwMode="auto">
        <a:xfrm>
          <a:off x="285750" y="1637252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1088</xdr:row>
      <xdr:rowOff>0</xdr:rowOff>
    </xdr:from>
    <xdr:ext cx="304800" cy="414337"/>
    <xdr:sp macro="" textlink="">
      <xdr:nvSpPr>
        <xdr:cNvPr id="1213" name="AutoShape 2"/>
        <xdr:cNvSpPr>
          <a:spLocks noChangeAspect="1" noChangeArrowheads="1"/>
        </xdr:cNvSpPr>
      </xdr:nvSpPr>
      <xdr:spPr bwMode="auto">
        <a:xfrm>
          <a:off x="285750" y="1637252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687</xdr:row>
      <xdr:rowOff>0</xdr:rowOff>
    </xdr:from>
    <xdr:ext cx="304800" cy="223837"/>
    <xdr:sp macro="" textlink="">
      <xdr:nvSpPr>
        <xdr:cNvPr id="1214" name="AutoShape 2"/>
        <xdr:cNvSpPr>
          <a:spLocks noChangeAspect="1" noChangeArrowheads="1"/>
        </xdr:cNvSpPr>
      </xdr:nvSpPr>
      <xdr:spPr bwMode="auto">
        <a:xfrm>
          <a:off x="285750" y="1280160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687</xdr:row>
      <xdr:rowOff>0</xdr:rowOff>
    </xdr:from>
    <xdr:ext cx="304800" cy="223837"/>
    <xdr:sp macro="" textlink="">
      <xdr:nvSpPr>
        <xdr:cNvPr id="1215" name="AutoShape 4"/>
        <xdr:cNvSpPr>
          <a:spLocks noChangeAspect="1" noChangeArrowheads="1"/>
        </xdr:cNvSpPr>
      </xdr:nvSpPr>
      <xdr:spPr bwMode="auto">
        <a:xfrm>
          <a:off x="285750" y="1280160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687</xdr:row>
      <xdr:rowOff>0</xdr:rowOff>
    </xdr:from>
    <xdr:ext cx="304800" cy="223837"/>
    <xdr:sp macro="" textlink="">
      <xdr:nvSpPr>
        <xdr:cNvPr id="1216" name="AutoShape 5"/>
        <xdr:cNvSpPr>
          <a:spLocks noChangeAspect="1" noChangeArrowheads="1"/>
        </xdr:cNvSpPr>
      </xdr:nvSpPr>
      <xdr:spPr bwMode="auto">
        <a:xfrm>
          <a:off x="285750" y="1280160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687</xdr:row>
      <xdr:rowOff>0</xdr:rowOff>
    </xdr:from>
    <xdr:ext cx="304800" cy="223837"/>
    <xdr:sp macro="" textlink="">
      <xdr:nvSpPr>
        <xdr:cNvPr id="1217" name="AutoShape 2"/>
        <xdr:cNvSpPr>
          <a:spLocks noChangeAspect="1" noChangeArrowheads="1"/>
        </xdr:cNvSpPr>
      </xdr:nvSpPr>
      <xdr:spPr bwMode="auto">
        <a:xfrm>
          <a:off x="285750" y="1280160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687</xdr:row>
      <xdr:rowOff>0</xdr:rowOff>
    </xdr:from>
    <xdr:ext cx="304800" cy="223837"/>
    <xdr:sp macro="" textlink="">
      <xdr:nvSpPr>
        <xdr:cNvPr id="1218" name="AutoShape 2"/>
        <xdr:cNvSpPr>
          <a:spLocks noChangeAspect="1" noChangeArrowheads="1"/>
        </xdr:cNvSpPr>
      </xdr:nvSpPr>
      <xdr:spPr bwMode="auto">
        <a:xfrm>
          <a:off x="285750" y="1280160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687</xdr:row>
      <xdr:rowOff>0</xdr:rowOff>
    </xdr:from>
    <xdr:ext cx="304800" cy="223837"/>
    <xdr:sp macro="" textlink="">
      <xdr:nvSpPr>
        <xdr:cNvPr id="1219" name="AutoShape 4"/>
        <xdr:cNvSpPr>
          <a:spLocks noChangeAspect="1" noChangeArrowheads="1"/>
        </xdr:cNvSpPr>
      </xdr:nvSpPr>
      <xdr:spPr bwMode="auto">
        <a:xfrm>
          <a:off x="285750" y="1280160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687</xdr:row>
      <xdr:rowOff>0</xdr:rowOff>
    </xdr:from>
    <xdr:ext cx="304800" cy="223837"/>
    <xdr:sp macro="" textlink="">
      <xdr:nvSpPr>
        <xdr:cNvPr id="1220" name="AutoShape 5"/>
        <xdr:cNvSpPr>
          <a:spLocks noChangeAspect="1" noChangeArrowheads="1"/>
        </xdr:cNvSpPr>
      </xdr:nvSpPr>
      <xdr:spPr bwMode="auto">
        <a:xfrm>
          <a:off x="285750" y="1280160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687</xdr:row>
      <xdr:rowOff>0</xdr:rowOff>
    </xdr:from>
    <xdr:ext cx="304800" cy="223837"/>
    <xdr:sp macro="" textlink="">
      <xdr:nvSpPr>
        <xdr:cNvPr id="1221" name="AutoShape 2"/>
        <xdr:cNvSpPr>
          <a:spLocks noChangeAspect="1" noChangeArrowheads="1"/>
        </xdr:cNvSpPr>
      </xdr:nvSpPr>
      <xdr:spPr bwMode="auto">
        <a:xfrm>
          <a:off x="285750" y="1280160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223837"/>
    <xdr:sp macro="" textlink="">
      <xdr:nvSpPr>
        <xdr:cNvPr id="1222" name="AutoShape 2"/>
        <xdr:cNvSpPr>
          <a:spLocks noChangeAspect="1" noChangeArrowheads="1"/>
        </xdr:cNvSpPr>
      </xdr:nvSpPr>
      <xdr:spPr bwMode="auto">
        <a:xfrm>
          <a:off x="285750" y="1283970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223837"/>
    <xdr:sp macro="" textlink="">
      <xdr:nvSpPr>
        <xdr:cNvPr id="1223" name="AutoShape 4"/>
        <xdr:cNvSpPr>
          <a:spLocks noChangeAspect="1" noChangeArrowheads="1"/>
        </xdr:cNvSpPr>
      </xdr:nvSpPr>
      <xdr:spPr bwMode="auto">
        <a:xfrm>
          <a:off x="285750" y="1283970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223837"/>
    <xdr:sp macro="" textlink="">
      <xdr:nvSpPr>
        <xdr:cNvPr id="1224" name="AutoShape 5"/>
        <xdr:cNvSpPr>
          <a:spLocks noChangeAspect="1" noChangeArrowheads="1"/>
        </xdr:cNvSpPr>
      </xdr:nvSpPr>
      <xdr:spPr bwMode="auto">
        <a:xfrm>
          <a:off x="285750" y="1283970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223837"/>
    <xdr:sp macro="" textlink="">
      <xdr:nvSpPr>
        <xdr:cNvPr id="1225" name="AutoShape 2"/>
        <xdr:cNvSpPr>
          <a:spLocks noChangeAspect="1" noChangeArrowheads="1"/>
        </xdr:cNvSpPr>
      </xdr:nvSpPr>
      <xdr:spPr bwMode="auto">
        <a:xfrm>
          <a:off x="285750" y="1283970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687</xdr:row>
      <xdr:rowOff>0</xdr:rowOff>
    </xdr:from>
    <xdr:ext cx="304800" cy="223837"/>
    <xdr:sp macro="" textlink="">
      <xdr:nvSpPr>
        <xdr:cNvPr id="1226" name="AutoShape 2"/>
        <xdr:cNvSpPr>
          <a:spLocks noChangeAspect="1" noChangeArrowheads="1"/>
        </xdr:cNvSpPr>
      </xdr:nvSpPr>
      <xdr:spPr bwMode="auto">
        <a:xfrm>
          <a:off x="285750" y="1280160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687</xdr:row>
      <xdr:rowOff>0</xdr:rowOff>
    </xdr:from>
    <xdr:ext cx="304800" cy="223837"/>
    <xdr:sp macro="" textlink="">
      <xdr:nvSpPr>
        <xdr:cNvPr id="1227" name="AutoShape 4"/>
        <xdr:cNvSpPr>
          <a:spLocks noChangeAspect="1" noChangeArrowheads="1"/>
        </xdr:cNvSpPr>
      </xdr:nvSpPr>
      <xdr:spPr bwMode="auto">
        <a:xfrm>
          <a:off x="285750" y="1280160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687</xdr:row>
      <xdr:rowOff>0</xdr:rowOff>
    </xdr:from>
    <xdr:ext cx="304800" cy="223837"/>
    <xdr:sp macro="" textlink="">
      <xdr:nvSpPr>
        <xdr:cNvPr id="1228" name="AutoShape 5"/>
        <xdr:cNvSpPr>
          <a:spLocks noChangeAspect="1" noChangeArrowheads="1"/>
        </xdr:cNvSpPr>
      </xdr:nvSpPr>
      <xdr:spPr bwMode="auto">
        <a:xfrm>
          <a:off x="285750" y="1280160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687</xdr:row>
      <xdr:rowOff>0</xdr:rowOff>
    </xdr:from>
    <xdr:ext cx="304800" cy="223837"/>
    <xdr:sp macro="" textlink="">
      <xdr:nvSpPr>
        <xdr:cNvPr id="1229" name="AutoShape 2"/>
        <xdr:cNvSpPr>
          <a:spLocks noChangeAspect="1" noChangeArrowheads="1"/>
        </xdr:cNvSpPr>
      </xdr:nvSpPr>
      <xdr:spPr bwMode="auto">
        <a:xfrm>
          <a:off x="285750" y="1280160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687</xdr:row>
      <xdr:rowOff>0</xdr:rowOff>
    </xdr:from>
    <xdr:ext cx="304800" cy="223837"/>
    <xdr:sp macro="" textlink="">
      <xdr:nvSpPr>
        <xdr:cNvPr id="1230" name="AutoShape 2"/>
        <xdr:cNvSpPr>
          <a:spLocks noChangeAspect="1" noChangeArrowheads="1"/>
        </xdr:cNvSpPr>
      </xdr:nvSpPr>
      <xdr:spPr bwMode="auto">
        <a:xfrm>
          <a:off x="285750" y="1280160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687</xdr:row>
      <xdr:rowOff>0</xdr:rowOff>
    </xdr:from>
    <xdr:ext cx="304800" cy="223837"/>
    <xdr:sp macro="" textlink="">
      <xdr:nvSpPr>
        <xdr:cNvPr id="1231" name="AutoShape 4"/>
        <xdr:cNvSpPr>
          <a:spLocks noChangeAspect="1" noChangeArrowheads="1"/>
        </xdr:cNvSpPr>
      </xdr:nvSpPr>
      <xdr:spPr bwMode="auto">
        <a:xfrm>
          <a:off x="285750" y="1280160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687</xdr:row>
      <xdr:rowOff>0</xdr:rowOff>
    </xdr:from>
    <xdr:ext cx="304800" cy="223837"/>
    <xdr:sp macro="" textlink="">
      <xdr:nvSpPr>
        <xdr:cNvPr id="1232" name="AutoShape 5"/>
        <xdr:cNvSpPr>
          <a:spLocks noChangeAspect="1" noChangeArrowheads="1"/>
        </xdr:cNvSpPr>
      </xdr:nvSpPr>
      <xdr:spPr bwMode="auto">
        <a:xfrm>
          <a:off x="285750" y="1280160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687</xdr:row>
      <xdr:rowOff>0</xdr:rowOff>
    </xdr:from>
    <xdr:ext cx="304800" cy="223837"/>
    <xdr:sp macro="" textlink="">
      <xdr:nvSpPr>
        <xdr:cNvPr id="1233" name="AutoShape 2"/>
        <xdr:cNvSpPr>
          <a:spLocks noChangeAspect="1" noChangeArrowheads="1"/>
        </xdr:cNvSpPr>
      </xdr:nvSpPr>
      <xdr:spPr bwMode="auto">
        <a:xfrm>
          <a:off x="285750" y="1280160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223837"/>
    <xdr:sp macro="" textlink="">
      <xdr:nvSpPr>
        <xdr:cNvPr id="1234" name="AutoShape 2"/>
        <xdr:cNvSpPr>
          <a:spLocks noChangeAspect="1" noChangeArrowheads="1"/>
        </xdr:cNvSpPr>
      </xdr:nvSpPr>
      <xdr:spPr bwMode="auto">
        <a:xfrm>
          <a:off x="285750" y="1283970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223837"/>
    <xdr:sp macro="" textlink="">
      <xdr:nvSpPr>
        <xdr:cNvPr id="1235" name="AutoShape 4"/>
        <xdr:cNvSpPr>
          <a:spLocks noChangeAspect="1" noChangeArrowheads="1"/>
        </xdr:cNvSpPr>
      </xdr:nvSpPr>
      <xdr:spPr bwMode="auto">
        <a:xfrm>
          <a:off x="285750" y="1283970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223837"/>
    <xdr:sp macro="" textlink="">
      <xdr:nvSpPr>
        <xdr:cNvPr id="1236" name="AutoShape 5"/>
        <xdr:cNvSpPr>
          <a:spLocks noChangeAspect="1" noChangeArrowheads="1"/>
        </xdr:cNvSpPr>
      </xdr:nvSpPr>
      <xdr:spPr bwMode="auto">
        <a:xfrm>
          <a:off x="285750" y="1283970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223837"/>
    <xdr:sp macro="" textlink="">
      <xdr:nvSpPr>
        <xdr:cNvPr id="1237" name="AutoShape 2"/>
        <xdr:cNvSpPr>
          <a:spLocks noChangeAspect="1" noChangeArrowheads="1"/>
        </xdr:cNvSpPr>
      </xdr:nvSpPr>
      <xdr:spPr bwMode="auto">
        <a:xfrm>
          <a:off x="285750" y="1283970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1058</xdr:row>
      <xdr:rowOff>0</xdr:rowOff>
    </xdr:from>
    <xdr:ext cx="304800" cy="223837"/>
    <xdr:sp macro="" textlink="">
      <xdr:nvSpPr>
        <xdr:cNvPr id="1238" name="AutoShape 2"/>
        <xdr:cNvSpPr>
          <a:spLocks noChangeAspect="1" noChangeArrowheads="1"/>
        </xdr:cNvSpPr>
      </xdr:nvSpPr>
      <xdr:spPr bwMode="auto">
        <a:xfrm>
          <a:off x="285750" y="1754385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1058</xdr:row>
      <xdr:rowOff>0</xdr:rowOff>
    </xdr:from>
    <xdr:ext cx="304800" cy="223837"/>
    <xdr:sp macro="" textlink="">
      <xdr:nvSpPr>
        <xdr:cNvPr id="1239" name="AutoShape 4"/>
        <xdr:cNvSpPr>
          <a:spLocks noChangeAspect="1" noChangeArrowheads="1"/>
        </xdr:cNvSpPr>
      </xdr:nvSpPr>
      <xdr:spPr bwMode="auto">
        <a:xfrm>
          <a:off x="285750" y="1754385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1058</xdr:row>
      <xdr:rowOff>0</xdr:rowOff>
    </xdr:from>
    <xdr:ext cx="304800" cy="223837"/>
    <xdr:sp macro="" textlink="">
      <xdr:nvSpPr>
        <xdr:cNvPr id="1240" name="AutoShape 5"/>
        <xdr:cNvSpPr>
          <a:spLocks noChangeAspect="1" noChangeArrowheads="1"/>
        </xdr:cNvSpPr>
      </xdr:nvSpPr>
      <xdr:spPr bwMode="auto">
        <a:xfrm>
          <a:off x="285750" y="1754385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1058</xdr:row>
      <xdr:rowOff>0</xdr:rowOff>
    </xdr:from>
    <xdr:ext cx="304800" cy="223837"/>
    <xdr:sp macro="" textlink="">
      <xdr:nvSpPr>
        <xdr:cNvPr id="1241" name="AutoShape 2"/>
        <xdr:cNvSpPr>
          <a:spLocks noChangeAspect="1" noChangeArrowheads="1"/>
        </xdr:cNvSpPr>
      </xdr:nvSpPr>
      <xdr:spPr bwMode="auto">
        <a:xfrm>
          <a:off x="285750" y="1754385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1058</xdr:row>
      <xdr:rowOff>0</xdr:rowOff>
    </xdr:from>
    <xdr:ext cx="304800" cy="223837"/>
    <xdr:sp macro="" textlink="">
      <xdr:nvSpPr>
        <xdr:cNvPr id="1242" name="AutoShape 2"/>
        <xdr:cNvSpPr>
          <a:spLocks noChangeAspect="1" noChangeArrowheads="1"/>
        </xdr:cNvSpPr>
      </xdr:nvSpPr>
      <xdr:spPr bwMode="auto">
        <a:xfrm>
          <a:off x="285750" y="1754385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1058</xdr:row>
      <xdr:rowOff>0</xdr:rowOff>
    </xdr:from>
    <xdr:ext cx="304800" cy="223837"/>
    <xdr:sp macro="" textlink="">
      <xdr:nvSpPr>
        <xdr:cNvPr id="1243" name="AutoShape 4"/>
        <xdr:cNvSpPr>
          <a:spLocks noChangeAspect="1" noChangeArrowheads="1"/>
        </xdr:cNvSpPr>
      </xdr:nvSpPr>
      <xdr:spPr bwMode="auto">
        <a:xfrm>
          <a:off x="285750" y="1754385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1058</xdr:row>
      <xdr:rowOff>0</xdr:rowOff>
    </xdr:from>
    <xdr:ext cx="304800" cy="223837"/>
    <xdr:sp macro="" textlink="">
      <xdr:nvSpPr>
        <xdr:cNvPr id="1244" name="AutoShape 5"/>
        <xdr:cNvSpPr>
          <a:spLocks noChangeAspect="1" noChangeArrowheads="1"/>
        </xdr:cNvSpPr>
      </xdr:nvSpPr>
      <xdr:spPr bwMode="auto">
        <a:xfrm>
          <a:off x="285750" y="1754385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1058</xdr:row>
      <xdr:rowOff>0</xdr:rowOff>
    </xdr:from>
    <xdr:ext cx="304800" cy="223837"/>
    <xdr:sp macro="" textlink="">
      <xdr:nvSpPr>
        <xdr:cNvPr id="1245" name="AutoShape 2"/>
        <xdr:cNvSpPr>
          <a:spLocks noChangeAspect="1" noChangeArrowheads="1"/>
        </xdr:cNvSpPr>
      </xdr:nvSpPr>
      <xdr:spPr bwMode="auto">
        <a:xfrm>
          <a:off x="285750" y="175438594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618</xdr:row>
      <xdr:rowOff>0</xdr:rowOff>
    </xdr:from>
    <xdr:to>
      <xdr:col>1</xdr:col>
      <xdr:colOff>304800</xdr:colOff>
      <xdr:row>643</xdr:row>
      <xdr:rowOff>23812</xdr:rowOff>
    </xdr:to>
    <xdr:sp macro="" textlink="">
      <xdr:nvSpPr>
        <xdr:cNvPr id="2" name="AutoShape 12" descr="Пирамидка 8 дет."/>
        <xdr:cNvSpPr>
          <a:spLocks noChangeAspect="1" noChangeArrowheads="1"/>
        </xdr:cNvSpPr>
      </xdr:nvSpPr>
      <xdr:spPr bwMode="auto">
        <a:xfrm>
          <a:off x="285750" y="12251055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304800</xdr:colOff>
      <xdr:row>643</xdr:row>
      <xdr:rowOff>23812</xdr:rowOff>
    </xdr:to>
    <xdr:sp macro="" textlink="">
      <xdr:nvSpPr>
        <xdr:cNvPr id="3" name="AutoShape 13" descr="Пирамидка 8 дет."/>
        <xdr:cNvSpPr>
          <a:spLocks noChangeAspect="1" noChangeArrowheads="1"/>
        </xdr:cNvSpPr>
      </xdr:nvSpPr>
      <xdr:spPr bwMode="auto">
        <a:xfrm>
          <a:off x="285750" y="12251055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304800</xdr:colOff>
      <xdr:row>643</xdr:row>
      <xdr:rowOff>23812</xdr:rowOff>
    </xdr:to>
    <xdr:sp macro="" textlink="">
      <xdr:nvSpPr>
        <xdr:cNvPr id="4" name="AutoShape 28" descr="Стенд информационный Информация, 4 отд., 500х750, красный, настенный  #1"/>
        <xdr:cNvSpPr>
          <a:spLocks noChangeAspect="1" noChangeArrowheads="1"/>
        </xdr:cNvSpPr>
      </xdr:nvSpPr>
      <xdr:spPr bwMode="auto">
        <a:xfrm>
          <a:off x="285750" y="12251055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148167</xdr:colOff>
      <xdr:row>618</xdr:row>
      <xdr:rowOff>0</xdr:rowOff>
    </xdr:from>
    <xdr:to>
      <xdr:col>1</xdr:col>
      <xdr:colOff>452967</xdr:colOff>
      <xdr:row>643</xdr:row>
      <xdr:rowOff>33338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433917" y="122510550"/>
          <a:ext cx="304800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304800</xdr:colOff>
      <xdr:row>643</xdr:row>
      <xdr:rowOff>33337</xdr:rowOff>
    </xdr:to>
    <xdr:sp macro="" textlink="">
      <xdr:nvSpPr>
        <xdr:cNvPr id="6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304800</xdr:colOff>
      <xdr:row>643</xdr:row>
      <xdr:rowOff>33337</xdr:rowOff>
    </xdr:to>
    <xdr:sp macro="" textlink="">
      <xdr:nvSpPr>
        <xdr:cNvPr id="7" name="AutoShape 4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304800</xdr:colOff>
      <xdr:row>643</xdr:row>
      <xdr:rowOff>33337</xdr:rowOff>
    </xdr:to>
    <xdr:sp macro="" textlink="">
      <xdr:nvSpPr>
        <xdr:cNvPr id="8" name="AutoShape 5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304800</xdr:colOff>
      <xdr:row>643</xdr:row>
      <xdr:rowOff>33337</xdr:rowOff>
    </xdr:to>
    <xdr:sp macro="" textlink="">
      <xdr:nvSpPr>
        <xdr:cNvPr id="9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1" name="AutoShape 4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2" name="AutoShape 5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3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14" name="AutoShape 12" descr="Пирамидка 8 дет."/>
        <xdr:cNvSpPr>
          <a:spLocks noChangeAspect="1" noChangeArrowheads="1"/>
        </xdr:cNvSpPr>
      </xdr:nvSpPr>
      <xdr:spPr bwMode="auto">
        <a:xfrm>
          <a:off x="285750" y="12251055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15" name="AutoShape 13" descr="Пирамидка 8 дет."/>
        <xdr:cNvSpPr>
          <a:spLocks noChangeAspect="1" noChangeArrowheads="1"/>
        </xdr:cNvSpPr>
      </xdr:nvSpPr>
      <xdr:spPr bwMode="auto">
        <a:xfrm>
          <a:off x="285750" y="12251055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16" name="AutoShape 28" descr="Стенд информационный Информация, 4 отд., 500х750, красный, настенный  #1"/>
        <xdr:cNvSpPr>
          <a:spLocks noChangeAspect="1" noChangeArrowheads="1"/>
        </xdr:cNvSpPr>
      </xdr:nvSpPr>
      <xdr:spPr bwMode="auto">
        <a:xfrm>
          <a:off x="285750" y="12251055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148167</xdr:colOff>
      <xdr:row>618</xdr:row>
      <xdr:rowOff>0</xdr:rowOff>
    </xdr:from>
    <xdr:ext cx="304800" cy="223838"/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433917" y="122510550"/>
          <a:ext cx="304800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8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9" name="AutoShape 4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0" name="AutoShape 5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1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2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3" name="AutoShape 4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4" name="AutoShape 5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5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762</xdr:row>
      <xdr:rowOff>0</xdr:rowOff>
    </xdr:from>
    <xdr:ext cx="304800" cy="223837"/>
    <xdr:sp macro="" textlink="">
      <xdr:nvSpPr>
        <xdr:cNvPr id="26" name="AutoShape 2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762</xdr:row>
      <xdr:rowOff>0</xdr:rowOff>
    </xdr:from>
    <xdr:ext cx="304800" cy="223837"/>
    <xdr:sp macro="" textlink="">
      <xdr:nvSpPr>
        <xdr:cNvPr id="27" name="AutoShape 4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762</xdr:row>
      <xdr:rowOff>0</xdr:rowOff>
    </xdr:from>
    <xdr:ext cx="304800" cy="223837"/>
    <xdr:sp macro="" textlink="">
      <xdr:nvSpPr>
        <xdr:cNvPr id="28" name="AutoShape 5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762</xdr:row>
      <xdr:rowOff>0</xdr:rowOff>
    </xdr:from>
    <xdr:ext cx="304800" cy="223837"/>
    <xdr:sp macro="" textlink="">
      <xdr:nvSpPr>
        <xdr:cNvPr id="29" name="AutoShape 2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0" name="AutoShape 2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1" name="AutoShape 4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2" name="AutoShape 5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3" name="AutoShape 2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4" name="AutoShape 2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5" name="AutoShape 4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6" name="AutoShape 5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7" name="AutoShape 2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8" name="AutoShape 2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9" name="AutoShape 4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40" name="AutoShape 5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41" name="AutoShape 2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834</xdr:row>
      <xdr:rowOff>0</xdr:rowOff>
    </xdr:from>
    <xdr:ext cx="304800" cy="223837"/>
    <xdr:sp macro="" textlink="">
      <xdr:nvSpPr>
        <xdr:cNvPr id="42" name="AutoShape 2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834</xdr:row>
      <xdr:rowOff>0</xdr:rowOff>
    </xdr:from>
    <xdr:ext cx="304800" cy="223837"/>
    <xdr:sp macro="" textlink="">
      <xdr:nvSpPr>
        <xdr:cNvPr id="43" name="AutoShape 4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834</xdr:row>
      <xdr:rowOff>0</xdr:rowOff>
    </xdr:from>
    <xdr:ext cx="304800" cy="223837"/>
    <xdr:sp macro="" textlink="">
      <xdr:nvSpPr>
        <xdr:cNvPr id="44" name="AutoShape 5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834</xdr:row>
      <xdr:rowOff>0</xdr:rowOff>
    </xdr:from>
    <xdr:ext cx="304800" cy="223837"/>
    <xdr:sp macro="" textlink="">
      <xdr:nvSpPr>
        <xdr:cNvPr id="45" name="AutoShape 2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6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7" name="AutoShape 4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8" name="AutoShape 5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9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0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1" name="AutoShape 4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2" name="AutoShape 5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3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4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5" name="AutoShape 4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6" name="AutoShape 5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7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8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9" name="AutoShape 4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0" name="AutoShape 5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1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2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3" name="AutoShape 4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4" name="AutoShape 5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5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6" name="AutoShape 2"/>
        <xdr:cNvSpPr>
          <a:spLocks noChangeAspect="1" noChangeArrowheads="1"/>
        </xdr:cNvSpPr>
      </xdr:nvSpPr>
      <xdr:spPr bwMode="auto">
        <a:xfrm>
          <a:off x="285750" y="1207674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7" name="AutoShape 4"/>
        <xdr:cNvSpPr>
          <a:spLocks noChangeAspect="1" noChangeArrowheads="1"/>
        </xdr:cNvSpPr>
      </xdr:nvSpPr>
      <xdr:spPr bwMode="auto">
        <a:xfrm>
          <a:off x="285750" y="1207674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8" name="AutoShape 5"/>
        <xdr:cNvSpPr>
          <a:spLocks noChangeAspect="1" noChangeArrowheads="1"/>
        </xdr:cNvSpPr>
      </xdr:nvSpPr>
      <xdr:spPr bwMode="auto">
        <a:xfrm>
          <a:off x="285750" y="1207674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9" name="AutoShape 2"/>
        <xdr:cNvSpPr>
          <a:spLocks noChangeAspect="1" noChangeArrowheads="1"/>
        </xdr:cNvSpPr>
      </xdr:nvSpPr>
      <xdr:spPr bwMode="auto">
        <a:xfrm>
          <a:off x="285750" y="1207674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70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71" name="AutoShape 4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72" name="AutoShape 5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73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74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75" name="AutoShape 4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76" name="AutoShape 5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77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78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79" name="AutoShape 4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80" name="AutoShape 5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81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817</xdr:row>
      <xdr:rowOff>0</xdr:rowOff>
    </xdr:from>
    <xdr:ext cx="304800" cy="223837"/>
    <xdr:sp macro="" textlink="">
      <xdr:nvSpPr>
        <xdr:cNvPr id="82" name="AutoShape 2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817</xdr:row>
      <xdr:rowOff>0</xdr:rowOff>
    </xdr:from>
    <xdr:ext cx="304800" cy="223837"/>
    <xdr:sp macro="" textlink="">
      <xdr:nvSpPr>
        <xdr:cNvPr id="83" name="AutoShape 4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817</xdr:row>
      <xdr:rowOff>0</xdr:rowOff>
    </xdr:from>
    <xdr:ext cx="304800" cy="223837"/>
    <xdr:sp macro="" textlink="">
      <xdr:nvSpPr>
        <xdr:cNvPr id="84" name="AutoShape 5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817</xdr:row>
      <xdr:rowOff>0</xdr:rowOff>
    </xdr:from>
    <xdr:ext cx="304800" cy="223837"/>
    <xdr:sp macro="" textlink="">
      <xdr:nvSpPr>
        <xdr:cNvPr id="85" name="AutoShape 2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6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7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8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9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90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91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92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93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4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5" name="AutoShape 4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6" name="AutoShape 5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7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819</xdr:row>
      <xdr:rowOff>0</xdr:rowOff>
    </xdr:from>
    <xdr:ext cx="304800" cy="223837"/>
    <xdr:sp macro="" textlink="">
      <xdr:nvSpPr>
        <xdr:cNvPr id="98" name="AutoShape 2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819</xdr:row>
      <xdr:rowOff>0</xdr:rowOff>
    </xdr:from>
    <xdr:ext cx="304800" cy="223837"/>
    <xdr:sp macro="" textlink="">
      <xdr:nvSpPr>
        <xdr:cNvPr id="99" name="AutoShape 4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819</xdr:row>
      <xdr:rowOff>0</xdr:rowOff>
    </xdr:from>
    <xdr:ext cx="304800" cy="223837"/>
    <xdr:sp macro="" textlink="">
      <xdr:nvSpPr>
        <xdr:cNvPr id="100" name="AutoShape 5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819</xdr:row>
      <xdr:rowOff>0</xdr:rowOff>
    </xdr:from>
    <xdr:ext cx="304800" cy="223837"/>
    <xdr:sp macro="" textlink="">
      <xdr:nvSpPr>
        <xdr:cNvPr id="101" name="AutoShape 2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2" name="AutoShape 2"/>
        <xdr:cNvSpPr>
          <a:spLocks noChangeAspect="1" noChangeArrowheads="1"/>
        </xdr:cNvSpPr>
      </xdr:nvSpPr>
      <xdr:spPr bwMode="auto">
        <a:xfrm>
          <a:off x="285750" y="1211484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3" name="AutoShape 4"/>
        <xdr:cNvSpPr>
          <a:spLocks noChangeAspect="1" noChangeArrowheads="1"/>
        </xdr:cNvSpPr>
      </xdr:nvSpPr>
      <xdr:spPr bwMode="auto">
        <a:xfrm>
          <a:off x="285750" y="1211484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4" name="AutoShape 5"/>
        <xdr:cNvSpPr>
          <a:spLocks noChangeAspect="1" noChangeArrowheads="1"/>
        </xdr:cNvSpPr>
      </xdr:nvSpPr>
      <xdr:spPr bwMode="auto">
        <a:xfrm>
          <a:off x="285750" y="1211484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5" name="AutoShape 2"/>
        <xdr:cNvSpPr>
          <a:spLocks noChangeAspect="1" noChangeArrowheads="1"/>
        </xdr:cNvSpPr>
      </xdr:nvSpPr>
      <xdr:spPr bwMode="auto">
        <a:xfrm>
          <a:off x="285750" y="1211484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6" name="AutoShape 2"/>
        <xdr:cNvSpPr>
          <a:spLocks noChangeAspect="1" noChangeArrowheads="1"/>
        </xdr:cNvSpPr>
      </xdr:nvSpPr>
      <xdr:spPr bwMode="auto">
        <a:xfrm>
          <a:off x="285750" y="114795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7" name="AutoShape 4"/>
        <xdr:cNvSpPr>
          <a:spLocks noChangeAspect="1" noChangeArrowheads="1"/>
        </xdr:cNvSpPr>
      </xdr:nvSpPr>
      <xdr:spPr bwMode="auto">
        <a:xfrm>
          <a:off x="285750" y="114795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8" name="AutoShape 5"/>
        <xdr:cNvSpPr>
          <a:spLocks noChangeAspect="1" noChangeArrowheads="1"/>
        </xdr:cNvSpPr>
      </xdr:nvSpPr>
      <xdr:spPr bwMode="auto">
        <a:xfrm>
          <a:off x="285750" y="114795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9" name="AutoShape 2"/>
        <xdr:cNvSpPr>
          <a:spLocks noChangeAspect="1" noChangeArrowheads="1"/>
        </xdr:cNvSpPr>
      </xdr:nvSpPr>
      <xdr:spPr bwMode="auto">
        <a:xfrm>
          <a:off x="285750" y="114795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10" name="AutoShape 2"/>
        <xdr:cNvSpPr>
          <a:spLocks noChangeAspect="1" noChangeArrowheads="1"/>
        </xdr:cNvSpPr>
      </xdr:nvSpPr>
      <xdr:spPr bwMode="auto">
        <a:xfrm>
          <a:off x="285750" y="115176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11" name="AutoShape 4"/>
        <xdr:cNvSpPr>
          <a:spLocks noChangeAspect="1" noChangeArrowheads="1"/>
        </xdr:cNvSpPr>
      </xdr:nvSpPr>
      <xdr:spPr bwMode="auto">
        <a:xfrm>
          <a:off x="285750" y="115176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12" name="AutoShape 5"/>
        <xdr:cNvSpPr>
          <a:spLocks noChangeAspect="1" noChangeArrowheads="1"/>
        </xdr:cNvSpPr>
      </xdr:nvSpPr>
      <xdr:spPr bwMode="auto">
        <a:xfrm>
          <a:off x="285750" y="115176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13" name="AutoShape 2"/>
        <xdr:cNvSpPr>
          <a:spLocks noChangeAspect="1" noChangeArrowheads="1"/>
        </xdr:cNvSpPr>
      </xdr:nvSpPr>
      <xdr:spPr bwMode="auto">
        <a:xfrm>
          <a:off x="285750" y="115176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14" name="AutoShape 2"/>
        <xdr:cNvSpPr>
          <a:spLocks noChangeAspect="1" noChangeArrowheads="1"/>
        </xdr:cNvSpPr>
      </xdr:nvSpPr>
      <xdr:spPr bwMode="auto">
        <a:xfrm>
          <a:off x="285750" y="1165193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15" name="AutoShape 4"/>
        <xdr:cNvSpPr>
          <a:spLocks noChangeAspect="1" noChangeArrowheads="1"/>
        </xdr:cNvSpPr>
      </xdr:nvSpPr>
      <xdr:spPr bwMode="auto">
        <a:xfrm>
          <a:off x="285750" y="1165193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16" name="AutoShape 5"/>
        <xdr:cNvSpPr>
          <a:spLocks noChangeAspect="1" noChangeArrowheads="1"/>
        </xdr:cNvSpPr>
      </xdr:nvSpPr>
      <xdr:spPr bwMode="auto">
        <a:xfrm>
          <a:off x="285750" y="1165193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17" name="AutoShape 2"/>
        <xdr:cNvSpPr>
          <a:spLocks noChangeAspect="1" noChangeArrowheads="1"/>
        </xdr:cNvSpPr>
      </xdr:nvSpPr>
      <xdr:spPr bwMode="auto">
        <a:xfrm>
          <a:off x="285750" y="1165193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18" name="AutoShape 2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19" name="AutoShape 4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20" name="AutoShape 5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21" name="AutoShape 2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22" name="AutoShape 2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23" name="AutoShape 4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24" name="AutoShape 5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25" name="AutoShape 2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26" name="AutoShape 2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27" name="AutoShape 4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28" name="AutoShape 5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29" name="AutoShape 2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30" name="AutoShape 2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31" name="AutoShape 4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32" name="AutoShape 5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33" name="AutoShape 2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34" name="AutoShape 2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35" name="AutoShape 4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36" name="AutoShape 5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37" name="AutoShape 2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38" name="AutoShape 2"/>
        <xdr:cNvSpPr>
          <a:spLocks noChangeAspect="1" noChangeArrowheads="1"/>
        </xdr:cNvSpPr>
      </xdr:nvSpPr>
      <xdr:spPr bwMode="auto">
        <a:xfrm>
          <a:off x="285750" y="118062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39" name="AutoShape 4"/>
        <xdr:cNvSpPr>
          <a:spLocks noChangeAspect="1" noChangeArrowheads="1"/>
        </xdr:cNvSpPr>
      </xdr:nvSpPr>
      <xdr:spPr bwMode="auto">
        <a:xfrm>
          <a:off x="285750" y="118062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40" name="AutoShape 5"/>
        <xdr:cNvSpPr>
          <a:spLocks noChangeAspect="1" noChangeArrowheads="1"/>
        </xdr:cNvSpPr>
      </xdr:nvSpPr>
      <xdr:spPr bwMode="auto">
        <a:xfrm>
          <a:off x="285750" y="118062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41" name="AutoShape 2"/>
        <xdr:cNvSpPr>
          <a:spLocks noChangeAspect="1" noChangeArrowheads="1"/>
        </xdr:cNvSpPr>
      </xdr:nvSpPr>
      <xdr:spPr bwMode="auto">
        <a:xfrm>
          <a:off x="285750" y="118062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42" name="AutoShape 2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43" name="AutoShape 4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44" name="AutoShape 5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45" name="AutoShape 2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46" name="AutoShape 2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47" name="AutoShape 4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48" name="AutoShape 5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49" name="AutoShape 2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50" name="AutoShape 2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51" name="AutoShape 4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52" name="AutoShape 5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53" name="AutoShape 2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54" name="AutoShape 2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55" name="AutoShape 4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56" name="AutoShape 5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57" name="AutoShape 2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58" name="AutoShape 2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59" name="AutoShape 4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60" name="AutoShape 5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61" name="AutoShape 2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223837"/>
    <xdr:sp macro="" textlink="">
      <xdr:nvSpPr>
        <xdr:cNvPr id="162" name="AutoShape 2"/>
        <xdr:cNvSpPr>
          <a:spLocks noChangeAspect="1" noChangeArrowheads="1"/>
        </xdr:cNvSpPr>
      </xdr:nvSpPr>
      <xdr:spPr bwMode="auto">
        <a:xfrm>
          <a:off x="285750" y="1509998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223837"/>
    <xdr:sp macro="" textlink="">
      <xdr:nvSpPr>
        <xdr:cNvPr id="163" name="AutoShape 4"/>
        <xdr:cNvSpPr>
          <a:spLocks noChangeAspect="1" noChangeArrowheads="1"/>
        </xdr:cNvSpPr>
      </xdr:nvSpPr>
      <xdr:spPr bwMode="auto">
        <a:xfrm>
          <a:off x="285750" y="1509998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223837"/>
    <xdr:sp macro="" textlink="">
      <xdr:nvSpPr>
        <xdr:cNvPr id="164" name="AutoShape 5"/>
        <xdr:cNvSpPr>
          <a:spLocks noChangeAspect="1" noChangeArrowheads="1"/>
        </xdr:cNvSpPr>
      </xdr:nvSpPr>
      <xdr:spPr bwMode="auto">
        <a:xfrm>
          <a:off x="285750" y="1509998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223837"/>
    <xdr:sp macro="" textlink="">
      <xdr:nvSpPr>
        <xdr:cNvPr id="165" name="AutoShape 2"/>
        <xdr:cNvSpPr>
          <a:spLocks noChangeAspect="1" noChangeArrowheads="1"/>
        </xdr:cNvSpPr>
      </xdr:nvSpPr>
      <xdr:spPr bwMode="auto">
        <a:xfrm>
          <a:off x="285750" y="1509998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66" name="AutoShape 2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67" name="AutoShape 4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68" name="AutoShape 5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69" name="AutoShape 2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70" name="AutoShape 2"/>
        <xdr:cNvSpPr>
          <a:spLocks noChangeAspect="1" noChangeArrowheads="1"/>
        </xdr:cNvSpPr>
      </xdr:nvSpPr>
      <xdr:spPr bwMode="auto">
        <a:xfrm>
          <a:off x="285750" y="119605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71" name="AutoShape 4"/>
        <xdr:cNvSpPr>
          <a:spLocks noChangeAspect="1" noChangeArrowheads="1"/>
        </xdr:cNvSpPr>
      </xdr:nvSpPr>
      <xdr:spPr bwMode="auto">
        <a:xfrm>
          <a:off x="285750" y="119605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72" name="AutoShape 5"/>
        <xdr:cNvSpPr>
          <a:spLocks noChangeAspect="1" noChangeArrowheads="1"/>
        </xdr:cNvSpPr>
      </xdr:nvSpPr>
      <xdr:spPr bwMode="auto">
        <a:xfrm>
          <a:off x="285750" y="119605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73" name="AutoShape 2"/>
        <xdr:cNvSpPr>
          <a:spLocks noChangeAspect="1" noChangeArrowheads="1"/>
        </xdr:cNvSpPr>
      </xdr:nvSpPr>
      <xdr:spPr bwMode="auto">
        <a:xfrm>
          <a:off x="285750" y="119605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618</xdr:row>
      <xdr:rowOff>0</xdr:rowOff>
    </xdr:from>
    <xdr:to>
      <xdr:col>1</xdr:col>
      <xdr:colOff>304800</xdr:colOff>
      <xdr:row>643</xdr:row>
      <xdr:rowOff>23812</xdr:rowOff>
    </xdr:to>
    <xdr:sp macro="" textlink="">
      <xdr:nvSpPr>
        <xdr:cNvPr id="174" name="AutoShape 12" descr="Пирамидка 8 дет."/>
        <xdr:cNvSpPr>
          <a:spLocks noChangeAspect="1" noChangeArrowheads="1"/>
        </xdr:cNvSpPr>
      </xdr:nvSpPr>
      <xdr:spPr bwMode="auto">
        <a:xfrm>
          <a:off x="285750" y="12251055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304800</xdr:colOff>
      <xdr:row>643</xdr:row>
      <xdr:rowOff>23812</xdr:rowOff>
    </xdr:to>
    <xdr:sp macro="" textlink="">
      <xdr:nvSpPr>
        <xdr:cNvPr id="175" name="AutoShape 13" descr="Пирамидка 8 дет."/>
        <xdr:cNvSpPr>
          <a:spLocks noChangeAspect="1" noChangeArrowheads="1"/>
        </xdr:cNvSpPr>
      </xdr:nvSpPr>
      <xdr:spPr bwMode="auto">
        <a:xfrm>
          <a:off x="285750" y="12251055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304800</xdr:colOff>
      <xdr:row>643</xdr:row>
      <xdr:rowOff>23812</xdr:rowOff>
    </xdr:to>
    <xdr:sp macro="" textlink="">
      <xdr:nvSpPr>
        <xdr:cNvPr id="176" name="AutoShape 28" descr="Стенд информационный Информация, 4 отд., 500х750, красный, настенный  #1"/>
        <xdr:cNvSpPr>
          <a:spLocks noChangeAspect="1" noChangeArrowheads="1"/>
        </xdr:cNvSpPr>
      </xdr:nvSpPr>
      <xdr:spPr bwMode="auto">
        <a:xfrm>
          <a:off x="285750" y="12251055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148167</xdr:colOff>
      <xdr:row>618</xdr:row>
      <xdr:rowOff>0</xdr:rowOff>
    </xdr:from>
    <xdr:to>
      <xdr:col>1</xdr:col>
      <xdr:colOff>452967</xdr:colOff>
      <xdr:row>643</xdr:row>
      <xdr:rowOff>33338</xdr:rowOff>
    </xdr:to>
    <xdr:sp macro="" textlink="">
      <xdr:nvSpPr>
        <xdr:cNvPr id="177" name="AutoShape 1"/>
        <xdr:cNvSpPr>
          <a:spLocks noChangeAspect="1" noChangeArrowheads="1"/>
        </xdr:cNvSpPr>
      </xdr:nvSpPr>
      <xdr:spPr bwMode="auto">
        <a:xfrm>
          <a:off x="433917" y="122510550"/>
          <a:ext cx="304800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304800</xdr:colOff>
      <xdr:row>643</xdr:row>
      <xdr:rowOff>33337</xdr:rowOff>
    </xdr:to>
    <xdr:sp macro="" textlink="">
      <xdr:nvSpPr>
        <xdr:cNvPr id="178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304800</xdr:colOff>
      <xdr:row>643</xdr:row>
      <xdr:rowOff>33337</xdr:rowOff>
    </xdr:to>
    <xdr:sp macro="" textlink="">
      <xdr:nvSpPr>
        <xdr:cNvPr id="179" name="AutoShape 4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304800</xdr:colOff>
      <xdr:row>643</xdr:row>
      <xdr:rowOff>33337</xdr:rowOff>
    </xdr:to>
    <xdr:sp macro="" textlink="">
      <xdr:nvSpPr>
        <xdr:cNvPr id="180" name="AutoShape 5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304800</xdr:colOff>
      <xdr:row>643</xdr:row>
      <xdr:rowOff>33337</xdr:rowOff>
    </xdr:to>
    <xdr:sp macro="" textlink="">
      <xdr:nvSpPr>
        <xdr:cNvPr id="181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82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83" name="AutoShape 4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84" name="AutoShape 5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85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186" name="AutoShape 12" descr="Пирамидка 8 дет."/>
        <xdr:cNvSpPr>
          <a:spLocks noChangeAspect="1" noChangeArrowheads="1"/>
        </xdr:cNvSpPr>
      </xdr:nvSpPr>
      <xdr:spPr bwMode="auto">
        <a:xfrm>
          <a:off x="285750" y="12251055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187" name="AutoShape 13" descr="Пирамидка 8 дет."/>
        <xdr:cNvSpPr>
          <a:spLocks noChangeAspect="1" noChangeArrowheads="1"/>
        </xdr:cNvSpPr>
      </xdr:nvSpPr>
      <xdr:spPr bwMode="auto">
        <a:xfrm>
          <a:off x="285750" y="12251055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188" name="AutoShape 28" descr="Стенд информационный Информация, 4 отд., 500х750, красный, настенный  #1"/>
        <xdr:cNvSpPr>
          <a:spLocks noChangeAspect="1" noChangeArrowheads="1"/>
        </xdr:cNvSpPr>
      </xdr:nvSpPr>
      <xdr:spPr bwMode="auto">
        <a:xfrm>
          <a:off x="285750" y="12251055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148167</xdr:colOff>
      <xdr:row>618</xdr:row>
      <xdr:rowOff>0</xdr:rowOff>
    </xdr:from>
    <xdr:ext cx="304800" cy="223838"/>
    <xdr:sp macro="" textlink="">
      <xdr:nvSpPr>
        <xdr:cNvPr id="189" name="AutoShape 1"/>
        <xdr:cNvSpPr>
          <a:spLocks noChangeAspect="1" noChangeArrowheads="1"/>
        </xdr:cNvSpPr>
      </xdr:nvSpPr>
      <xdr:spPr bwMode="auto">
        <a:xfrm>
          <a:off x="433917" y="122510550"/>
          <a:ext cx="304800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90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91" name="AutoShape 4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92" name="AutoShape 5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93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94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95" name="AutoShape 4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96" name="AutoShape 5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97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98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99" name="AutoShape 4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00" name="AutoShape 5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01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02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03" name="AutoShape 4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04" name="AutoShape 5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05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06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07" name="AutoShape 4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08" name="AutoShape 5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09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10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11" name="AutoShape 4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12" name="AutoShape 5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13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14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15" name="AutoShape 4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16" name="AutoShape 5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17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18" name="AutoShape 2"/>
        <xdr:cNvSpPr>
          <a:spLocks noChangeAspect="1" noChangeArrowheads="1"/>
        </xdr:cNvSpPr>
      </xdr:nvSpPr>
      <xdr:spPr bwMode="auto">
        <a:xfrm>
          <a:off x="285750" y="1207674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19" name="AutoShape 4"/>
        <xdr:cNvSpPr>
          <a:spLocks noChangeAspect="1" noChangeArrowheads="1"/>
        </xdr:cNvSpPr>
      </xdr:nvSpPr>
      <xdr:spPr bwMode="auto">
        <a:xfrm>
          <a:off x="285750" y="1207674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20" name="AutoShape 5"/>
        <xdr:cNvSpPr>
          <a:spLocks noChangeAspect="1" noChangeArrowheads="1"/>
        </xdr:cNvSpPr>
      </xdr:nvSpPr>
      <xdr:spPr bwMode="auto">
        <a:xfrm>
          <a:off x="285750" y="1207674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21" name="AutoShape 2"/>
        <xdr:cNvSpPr>
          <a:spLocks noChangeAspect="1" noChangeArrowheads="1"/>
        </xdr:cNvSpPr>
      </xdr:nvSpPr>
      <xdr:spPr bwMode="auto">
        <a:xfrm>
          <a:off x="285750" y="1207674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22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23" name="AutoShape 4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24" name="AutoShape 5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25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26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27" name="AutoShape 4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28" name="AutoShape 5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29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30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31" name="AutoShape 4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32" name="AutoShape 5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33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34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35" name="AutoShape 4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36" name="AutoShape 5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37" name="AutoShape 2"/>
        <xdr:cNvSpPr>
          <a:spLocks noChangeAspect="1" noChangeArrowheads="1"/>
        </xdr:cNvSpPr>
      </xdr:nvSpPr>
      <xdr:spPr bwMode="auto">
        <a:xfrm>
          <a:off x="285750" y="1225105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38" name="AutoShape 2"/>
        <xdr:cNvSpPr>
          <a:spLocks noChangeAspect="1" noChangeArrowheads="1"/>
        </xdr:cNvSpPr>
      </xdr:nvSpPr>
      <xdr:spPr bwMode="auto">
        <a:xfrm>
          <a:off x="285750" y="1211484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39" name="AutoShape 4"/>
        <xdr:cNvSpPr>
          <a:spLocks noChangeAspect="1" noChangeArrowheads="1"/>
        </xdr:cNvSpPr>
      </xdr:nvSpPr>
      <xdr:spPr bwMode="auto">
        <a:xfrm>
          <a:off x="285750" y="1211484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40" name="AutoShape 5"/>
        <xdr:cNvSpPr>
          <a:spLocks noChangeAspect="1" noChangeArrowheads="1"/>
        </xdr:cNvSpPr>
      </xdr:nvSpPr>
      <xdr:spPr bwMode="auto">
        <a:xfrm>
          <a:off x="285750" y="1211484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41" name="AutoShape 2"/>
        <xdr:cNvSpPr>
          <a:spLocks noChangeAspect="1" noChangeArrowheads="1"/>
        </xdr:cNvSpPr>
      </xdr:nvSpPr>
      <xdr:spPr bwMode="auto">
        <a:xfrm>
          <a:off x="285750" y="1211484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42" name="AutoShape 2"/>
        <xdr:cNvSpPr>
          <a:spLocks noChangeAspect="1" noChangeArrowheads="1"/>
        </xdr:cNvSpPr>
      </xdr:nvSpPr>
      <xdr:spPr bwMode="auto">
        <a:xfrm>
          <a:off x="285750" y="114795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43" name="AutoShape 4"/>
        <xdr:cNvSpPr>
          <a:spLocks noChangeAspect="1" noChangeArrowheads="1"/>
        </xdr:cNvSpPr>
      </xdr:nvSpPr>
      <xdr:spPr bwMode="auto">
        <a:xfrm>
          <a:off x="285750" y="114795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44" name="AutoShape 5"/>
        <xdr:cNvSpPr>
          <a:spLocks noChangeAspect="1" noChangeArrowheads="1"/>
        </xdr:cNvSpPr>
      </xdr:nvSpPr>
      <xdr:spPr bwMode="auto">
        <a:xfrm>
          <a:off x="285750" y="114795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45" name="AutoShape 2"/>
        <xdr:cNvSpPr>
          <a:spLocks noChangeAspect="1" noChangeArrowheads="1"/>
        </xdr:cNvSpPr>
      </xdr:nvSpPr>
      <xdr:spPr bwMode="auto">
        <a:xfrm>
          <a:off x="285750" y="114795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46" name="AutoShape 2"/>
        <xdr:cNvSpPr>
          <a:spLocks noChangeAspect="1" noChangeArrowheads="1"/>
        </xdr:cNvSpPr>
      </xdr:nvSpPr>
      <xdr:spPr bwMode="auto">
        <a:xfrm>
          <a:off x="285750" y="115176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47" name="AutoShape 4"/>
        <xdr:cNvSpPr>
          <a:spLocks noChangeAspect="1" noChangeArrowheads="1"/>
        </xdr:cNvSpPr>
      </xdr:nvSpPr>
      <xdr:spPr bwMode="auto">
        <a:xfrm>
          <a:off x="285750" y="115176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48" name="AutoShape 5"/>
        <xdr:cNvSpPr>
          <a:spLocks noChangeAspect="1" noChangeArrowheads="1"/>
        </xdr:cNvSpPr>
      </xdr:nvSpPr>
      <xdr:spPr bwMode="auto">
        <a:xfrm>
          <a:off x="285750" y="115176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49" name="AutoShape 2"/>
        <xdr:cNvSpPr>
          <a:spLocks noChangeAspect="1" noChangeArrowheads="1"/>
        </xdr:cNvSpPr>
      </xdr:nvSpPr>
      <xdr:spPr bwMode="auto">
        <a:xfrm>
          <a:off x="285750" y="115176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50" name="AutoShape 2"/>
        <xdr:cNvSpPr>
          <a:spLocks noChangeAspect="1" noChangeArrowheads="1"/>
        </xdr:cNvSpPr>
      </xdr:nvSpPr>
      <xdr:spPr bwMode="auto">
        <a:xfrm>
          <a:off x="285750" y="1165193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51" name="AutoShape 4"/>
        <xdr:cNvSpPr>
          <a:spLocks noChangeAspect="1" noChangeArrowheads="1"/>
        </xdr:cNvSpPr>
      </xdr:nvSpPr>
      <xdr:spPr bwMode="auto">
        <a:xfrm>
          <a:off x="285750" y="1165193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52" name="AutoShape 5"/>
        <xdr:cNvSpPr>
          <a:spLocks noChangeAspect="1" noChangeArrowheads="1"/>
        </xdr:cNvSpPr>
      </xdr:nvSpPr>
      <xdr:spPr bwMode="auto">
        <a:xfrm>
          <a:off x="285750" y="1165193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53" name="AutoShape 2"/>
        <xdr:cNvSpPr>
          <a:spLocks noChangeAspect="1" noChangeArrowheads="1"/>
        </xdr:cNvSpPr>
      </xdr:nvSpPr>
      <xdr:spPr bwMode="auto">
        <a:xfrm>
          <a:off x="285750" y="1165193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54" name="AutoShape 2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55" name="AutoShape 4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56" name="AutoShape 5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57" name="AutoShape 2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58" name="AutoShape 2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59" name="AutoShape 4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60" name="AutoShape 5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61" name="AutoShape 2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62" name="AutoShape 2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63" name="AutoShape 4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64" name="AutoShape 5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65" name="AutoShape 2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66" name="AutoShape 2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67" name="AutoShape 4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68" name="AutoShape 5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69" name="AutoShape 2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70" name="AutoShape 2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71" name="AutoShape 4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72" name="AutoShape 5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73" name="AutoShape 2"/>
        <xdr:cNvSpPr>
          <a:spLocks noChangeAspect="1" noChangeArrowheads="1"/>
        </xdr:cNvSpPr>
      </xdr:nvSpPr>
      <xdr:spPr bwMode="auto">
        <a:xfrm>
          <a:off x="285750" y="117681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74" name="AutoShape 2"/>
        <xdr:cNvSpPr>
          <a:spLocks noChangeAspect="1" noChangeArrowheads="1"/>
        </xdr:cNvSpPr>
      </xdr:nvSpPr>
      <xdr:spPr bwMode="auto">
        <a:xfrm>
          <a:off x="285750" y="118062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75" name="AutoShape 4"/>
        <xdr:cNvSpPr>
          <a:spLocks noChangeAspect="1" noChangeArrowheads="1"/>
        </xdr:cNvSpPr>
      </xdr:nvSpPr>
      <xdr:spPr bwMode="auto">
        <a:xfrm>
          <a:off x="285750" y="118062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76" name="AutoShape 5"/>
        <xdr:cNvSpPr>
          <a:spLocks noChangeAspect="1" noChangeArrowheads="1"/>
        </xdr:cNvSpPr>
      </xdr:nvSpPr>
      <xdr:spPr bwMode="auto">
        <a:xfrm>
          <a:off x="285750" y="118062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77" name="AutoShape 2"/>
        <xdr:cNvSpPr>
          <a:spLocks noChangeAspect="1" noChangeArrowheads="1"/>
        </xdr:cNvSpPr>
      </xdr:nvSpPr>
      <xdr:spPr bwMode="auto">
        <a:xfrm>
          <a:off x="285750" y="118062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78" name="AutoShape 2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79" name="AutoShape 4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80" name="AutoShape 5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81" name="AutoShape 2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82" name="AutoShape 2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83" name="AutoShape 4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84" name="AutoShape 5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85" name="AutoShape 2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86" name="AutoShape 2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87" name="AutoShape 4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88" name="AutoShape 5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89" name="AutoShape 2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90" name="AutoShape 2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91" name="AutoShape 4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92" name="AutoShape 5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93" name="AutoShape 2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94" name="AutoShape 2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95" name="AutoShape 4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96" name="AutoShape 5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97" name="AutoShape 2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98" name="AutoShape 2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99" name="AutoShape 4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00" name="AutoShape 5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01" name="AutoShape 2"/>
        <xdr:cNvSpPr>
          <a:spLocks noChangeAspect="1" noChangeArrowheads="1"/>
        </xdr:cNvSpPr>
      </xdr:nvSpPr>
      <xdr:spPr bwMode="auto">
        <a:xfrm>
          <a:off x="285750" y="119224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02" name="AutoShape 2"/>
        <xdr:cNvSpPr>
          <a:spLocks noChangeAspect="1" noChangeArrowheads="1"/>
        </xdr:cNvSpPr>
      </xdr:nvSpPr>
      <xdr:spPr bwMode="auto">
        <a:xfrm>
          <a:off x="285750" y="119605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03" name="AutoShape 4"/>
        <xdr:cNvSpPr>
          <a:spLocks noChangeAspect="1" noChangeArrowheads="1"/>
        </xdr:cNvSpPr>
      </xdr:nvSpPr>
      <xdr:spPr bwMode="auto">
        <a:xfrm>
          <a:off x="285750" y="119605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04" name="AutoShape 5"/>
        <xdr:cNvSpPr>
          <a:spLocks noChangeAspect="1" noChangeArrowheads="1"/>
        </xdr:cNvSpPr>
      </xdr:nvSpPr>
      <xdr:spPr bwMode="auto">
        <a:xfrm>
          <a:off x="285750" y="119605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05" name="AutoShape 2"/>
        <xdr:cNvSpPr>
          <a:spLocks noChangeAspect="1" noChangeArrowheads="1"/>
        </xdr:cNvSpPr>
      </xdr:nvSpPr>
      <xdr:spPr bwMode="auto">
        <a:xfrm>
          <a:off x="285750" y="1196054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762</xdr:row>
      <xdr:rowOff>0</xdr:rowOff>
    </xdr:from>
    <xdr:ext cx="304800" cy="223837"/>
    <xdr:sp macro="" textlink="">
      <xdr:nvSpPr>
        <xdr:cNvPr id="306" name="AutoShape 2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762</xdr:row>
      <xdr:rowOff>0</xdr:rowOff>
    </xdr:from>
    <xdr:ext cx="304800" cy="223837"/>
    <xdr:sp macro="" textlink="">
      <xdr:nvSpPr>
        <xdr:cNvPr id="307" name="AutoShape 4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762</xdr:row>
      <xdr:rowOff>0</xdr:rowOff>
    </xdr:from>
    <xdr:ext cx="304800" cy="223837"/>
    <xdr:sp macro="" textlink="">
      <xdr:nvSpPr>
        <xdr:cNvPr id="308" name="AutoShape 5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762</xdr:row>
      <xdr:rowOff>0</xdr:rowOff>
    </xdr:from>
    <xdr:ext cx="304800" cy="223837"/>
    <xdr:sp macro="" textlink="">
      <xdr:nvSpPr>
        <xdr:cNvPr id="309" name="AutoShape 2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10" name="AutoShape 2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11" name="AutoShape 4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12" name="AutoShape 5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13" name="AutoShape 2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14" name="AutoShape 2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15" name="AutoShape 4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16" name="AutoShape 5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17" name="AutoShape 2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18" name="AutoShape 2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19" name="AutoShape 4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20" name="AutoShape 5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21" name="AutoShape 2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834</xdr:row>
      <xdr:rowOff>0</xdr:rowOff>
    </xdr:from>
    <xdr:ext cx="304800" cy="223837"/>
    <xdr:sp macro="" textlink="">
      <xdr:nvSpPr>
        <xdr:cNvPr id="322" name="AutoShape 2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834</xdr:row>
      <xdr:rowOff>0</xdr:rowOff>
    </xdr:from>
    <xdr:ext cx="304800" cy="223837"/>
    <xdr:sp macro="" textlink="">
      <xdr:nvSpPr>
        <xdr:cNvPr id="323" name="AutoShape 4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834</xdr:row>
      <xdr:rowOff>0</xdr:rowOff>
    </xdr:from>
    <xdr:ext cx="304800" cy="223837"/>
    <xdr:sp macro="" textlink="">
      <xdr:nvSpPr>
        <xdr:cNvPr id="324" name="AutoShape 5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834</xdr:row>
      <xdr:rowOff>0</xdr:rowOff>
    </xdr:from>
    <xdr:ext cx="304800" cy="223837"/>
    <xdr:sp macro="" textlink="">
      <xdr:nvSpPr>
        <xdr:cNvPr id="325" name="AutoShape 2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817</xdr:row>
      <xdr:rowOff>0</xdr:rowOff>
    </xdr:from>
    <xdr:ext cx="304800" cy="223837"/>
    <xdr:sp macro="" textlink="">
      <xdr:nvSpPr>
        <xdr:cNvPr id="326" name="AutoShape 2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817</xdr:row>
      <xdr:rowOff>0</xdr:rowOff>
    </xdr:from>
    <xdr:ext cx="304800" cy="223837"/>
    <xdr:sp macro="" textlink="">
      <xdr:nvSpPr>
        <xdr:cNvPr id="327" name="AutoShape 4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817</xdr:row>
      <xdr:rowOff>0</xdr:rowOff>
    </xdr:from>
    <xdr:ext cx="304800" cy="223837"/>
    <xdr:sp macro="" textlink="">
      <xdr:nvSpPr>
        <xdr:cNvPr id="328" name="AutoShape 5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817</xdr:row>
      <xdr:rowOff>0</xdr:rowOff>
    </xdr:from>
    <xdr:ext cx="304800" cy="223837"/>
    <xdr:sp macro="" textlink="">
      <xdr:nvSpPr>
        <xdr:cNvPr id="329" name="AutoShape 2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819</xdr:row>
      <xdr:rowOff>0</xdr:rowOff>
    </xdr:from>
    <xdr:ext cx="304800" cy="223837"/>
    <xdr:sp macro="" textlink="">
      <xdr:nvSpPr>
        <xdr:cNvPr id="330" name="AutoShape 2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819</xdr:row>
      <xdr:rowOff>0</xdr:rowOff>
    </xdr:from>
    <xdr:ext cx="304800" cy="223837"/>
    <xdr:sp macro="" textlink="">
      <xdr:nvSpPr>
        <xdr:cNvPr id="331" name="AutoShape 4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819</xdr:row>
      <xdr:rowOff>0</xdr:rowOff>
    </xdr:from>
    <xdr:ext cx="304800" cy="223837"/>
    <xdr:sp macro="" textlink="">
      <xdr:nvSpPr>
        <xdr:cNvPr id="332" name="AutoShape 5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819</xdr:row>
      <xdr:rowOff>0</xdr:rowOff>
    </xdr:from>
    <xdr:ext cx="304800" cy="223837"/>
    <xdr:sp macro="" textlink="">
      <xdr:nvSpPr>
        <xdr:cNvPr id="333" name="AutoShape 2"/>
        <xdr:cNvSpPr>
          <a:spLocks noChangeAspect="1" noChangeArrowheads="1"/>
        </xdr:cNvSpPr>
      </xdr:nvSpPr>
      <xdr:spPr bwMode="auto">
        <a:xfrm>
          <a:off x="285750" y="1456086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223837"/>
    <xdr:sp macro="" textlink="">
      <xdr:nvSpPr>
        <xdr:cNvPr id="334" name="AutoShape 2"/>
        <xdr:cNvSpPr>
          <a:spLocks noChangeAspect="1" noChangeArrowheads="1"/>
        </xdr:cNvSpPr>
      </xdr:nvSpPr>
      <xdr:spPr bwMode="auto">
        <a:xfrm>
          <a:off x="285750" y="1509998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223837"/>
    <xdr:sp macro="" textlink="">
      <xdr:nvSpPr>
        <xdr:cNvPr id="335" name="AutoShape 4"/>
        <xdr:cNvSpPr>
          <a:spLocks noChangeAspect="1" noChangeArrowheads="1"/>
        </xdr:cNvSpPr>
      </xdr:nvSpPr>
      <xdr:spPr bwMode="auto">
        <a:xfrm>
          <a:off x="285750" y="1509998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223837"/>
    <xdr:sp macro="" textlink="">
      <xdr:nvSpPr>
        <xdr:cNvPr id="336" name="AutoShape 5"/>
        <xdr:cNvSpPr>
          <a:spLocks noChangeAspect="1" noChangeArrowheads="1"/>
        </xdr:cNvSpPr>
      </xdr:nvSpPr>
      <xdr:spPr bwMode="auto">
        <a:xfrm>
          <a:off x="285750" y="1509998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223837"/>
    <xdr:sp macro="" textlink="">
      <xdr:nvSpPr>
        <xdr:cNvPr id="337" name="AutoShape 2"/>
        <xdr:cNvSpPr>
          <a:spLocks noChangeAspect="1" noChangeArrowheads="1"/>
        </xdr:cNvSpPr>
      </xdr:nvSpPr>
      <xdr:spPr bwMode="auto">
        <a:xfrm>
          <a:off x="285750" y="1509998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338" name="AutoShape 12" descr="Пирамидка 8 дет."/>
        <xdr:cNvSpPr>
          <a:spLocks noChangeAspect="1" noChangeArrowheads="1"/>
        </xdr:cNvSpPr>
      </xdr:nvSpPr>
      <xdr:spPr bwMode="auto">
        <a:xfrm>
          <a:off x="285750" y="12270105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339" name="AutoShape 13" descr="Пирамидка 8 дет."/>
        <xdr:cNvSpPr>
          <a:spLocks noChangeAspect="1" noChangeArrowheads="1"/>
        </xdr:cNvSpPr>
      </xdr:nvSpPr>
      <xdr:spPr bwMode="auto">
        <a:xfrm>
          <a:off x="285750" y="12270105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340" name="AutoShape 28" descr="Стенд информационный Информация, 4 отд., 500х750, красный, настенный  #1"/>
        <xdr:cNvSpPr>
          <a:spLocks noChangeAspect="1" noChangeArrowheads="1"/>
        </xdr:cNvSpPr>
      </xdr:nvSpPr>
      <xdr:spPr bwMode="auto">
        <a:xfrm>
          <a:off x="285750" y="12270105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148167</xdr:colOff>
      <xdr:row>618</xdr:row>
      <xdr:rowOff>0</xdr:rowOff>
    </xdr:from>
    <xdr:ext cx="304800" cy="223838"/>
    <xdr:sp macro="" textlink="">
      <xdr:nvSpPr>
        <xdr:cNvPr id="341" name="AutoShape 1"/>
        <xdr:cNvSpPr>
          <a:spLocks noChangeAspect="1" noChangeArrowheads="1"/>
        </xdr:cNvSpPr>
      </xdr:nvSpPr>
      <xdr:spPr bwMode="auto">
        <a:xfrm>
          <a:off x="433917" y="122701050"/>
          <a:ext cx="304800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42" name="AutoShape 2"/>
        <xdr:cNvSpPr>
          <a:spLocks noChangeAspect="1" noChangeArrowheads="1"/>
        </xdr:cNvSpPr>
      </xdr:nvSpPr>
      <xdr:spPr bwMode="auto">
        <a:xfrm>
          <a:off x="285750" y="1227010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43" name="AutoShape 4"/>
        <xdr:cNvSpPr>
          <a:spLocks noChangeAspect="1" noChangeArrowheads="1"/>
        </xdr:cNvSpPr>
      </xdr:nvSpPr>
      <xdr:spPr bwMode="auto">
        <a:xfrm>
          <a:off x="285750" y="1227010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44" name="AutoShape 5"/>
        <xdr:cNvSpPr>
          <a:spLocks noChangeAspect="1" noChangeArrowheads="1"/>
        </xdr:cNvSpPr>
      </xdr:nvSpPr>
      <xdr:spPr bwMode="auto">
        <a:xfrm>
          <a:off x="285750" y="1227010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45" name="AutoShape 2"/>
        <xdr:cNvSpPr>
          <a:spLocks noChangeAspect="1" noChangeArrowheads="1"/>
        </xdr:cNvSpPr>
      </xdr:nvSpPr>
      <xdr:spPr bwMode="auto">
        <a:xfrm>
          <a:off x="285750" y="1227010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46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47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48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49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350" name="AutoShape 12" descr="Пирамидка 8 дет."/>
        <xdr:cNvSpPr>
          <a:spLocks noChangeAspect="1" noChangeArrowheads="1"/>
        </xdr:cNvSpPr>
      </xdr:nvSpPr>
      <xdr:spPr bwMode="auto">
        <a:xfrm>
          <a:off x="285750" y="12270105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351" name="AutoShape 13" descr="Пирамидка 8 дет."/>
        <xdr:cNvSpPr>
          <a:spLocks noChangeAspect="1" noChangeArrowheads="1"/>
        </xdr:cNvSpPr>
      </xdr:nvSpPr>
      <xdr:spPr bwMode="auto">
        <a:xfrm>
          <a:off x="285750" y="12270105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352" name="AutoShape 28" descr="Стенд информационный Информация, 4 отд., 500х750, красный, настенный  #1"/>
        <xdr:cNvSpPr>
          <a:spLocks noChangeAspect="1" noChangeArrowheads="1"/>
        </xdr:cNvSpPr>
      </xdr:nvSpPr>
      <xdr:spPr bwMode="auto">
        <a:xfrm>
          <a:off x="285750" y="12270105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148167</xdr:colOff>
      <xdr:row>618</xdr:row>
      <xdr:rowOff>0</xdr:rowOff>
    </xdr:from>
    <xdr:ext cx="304800" cy="223838"/>
    <xdr:sp macro="" textlink="">
      <xdr:nvSpPr>
        <xdr:cNvPr id="353" name="AutoShape 1"/>
        <xdr:cNvSpPr>
          <a:spLocks noChangeAspect="1" noChangeArrowheads="1"/>
        </xdr:cNvSpPr>
      </xdr:nvSpPr>
      <xdr:spPr bwMode="auto">
        <a:xfrm>
          <a:off x="433917" y="122701050"/>
          <a:ext cx="304800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54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55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56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57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58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59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60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61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62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63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64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65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66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67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68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69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70" name="AutoShape 2"/>
        <xdr:cNvSpPr>
          <a:spLocks noChangeAspect="1" noChangeArrowheads="1"/>
        </xdr:cNvSpPr>
      </xdr:nvSpPr>
      <xdr:spPr bwMode="auto">
        <a:xfrm>
          <a:off x="285750" y="1232916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71" name="AutoShape 4"/>
        <xdr:cNvSpPr>
          <a:spLocks noChangeAspect="1" noChangeArrowheads="1"/>
        </xdr:cNvSpPr>
      </xdr:nvSpPr>
      <xdr:spPr bwMode="auto">
        <a:xfrm>
          <a:off x="285750" y="1232916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72" name="AutoShape 5"/>
        <xdr:cNvSpPr>
          <a:spLocks noChangeAspect="1" noChangeArrowheads="1"/>
        </xdr:cNvSpPr>
      </xdr:nvSpPr>
      <xdr:spPr bwMode="auto">
        <a:xfrm>
          <a:off x="285750" y="1232916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73" name="AutoShape 2"/>
        <xdr:cNvSpPr>
          <a:spLocks noChangeAspect="1" noChangeArrowheads="1"/>
        </xdr:cNvSpPr>
      </xdr:nvSpPr>
      <xdr:spPr bwMode="auto">
        <a:xfrm>
          <a:off x="285750" y="1232916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74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75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76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77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78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79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80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81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82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83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84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85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86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87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88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89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90" name="AutoShape 2"/>
        <xdr:cNvSpPr>
          <a:spLocks noChangeAspect="1" noChangeArrowheads="1"/>
        </xdr:cNvSpPr>
      </xdr:nvSpPr>
      <xdr:spPr bwMode="auto">
        <a:xfrm>
          <a:off x="285750" y="1227010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91" name="AutoShape 4"/>
        <xdr:cNvSpPr>
          <a:spLocks noChangeAspect="1" noChangeArrowheads="1"/>
        </xdr:cNvSpPr>
      </xdr:nvSpPr>
      <xdr:spPr bwMode="auto">
        <a:xfrm>
          <a:off x="285750" y="1227010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92" name="AutoShape 5"/>
        <xdr:cNvSpPr>
          <a:spLocks noChangeAspect="1" noChangeArrowheads="1"/>
        </xdr:cNvSpPr>
      </xdr:nvSpPr>
      <xdr:spPr bwMode="auto">
        <a:xfrm>
          <a:off x="285750" y="1227010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93" name="AutoShape 2"/>
        <xdr:cNvSpPr>
          <a:spLocks noChangeAspect="1" noChangeArrowheads="1"/>
        </xdr:cNvSpPr>
      </xdr:nvSpPr>
      <xdr:spPr bwMode="auto">
        <a:xfrm>
          <a:off x="285750" y="1227010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94" name="AutoShape 2"/>
        <xdr:cNvSpPr>
          <a:spLocks noChangeAspect="1" noChangeArrowheads="1"/>
        </xdr:cNvSpPr>
      </xdr:nvSpPr>
      <xdr:spPr bwMode="auto">
        <a:xfrm>
          <a:off x="285750" y="1227010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95" name="AutoShape 4"/>
        <xdr:cNvSpPr>
          <a:spLocks noChangeAspect="1" noChangeArrowheads="1"/>
        </xdr:cNvSpPr>
      </xdr:nvSpPr>
      <xdr:spPr bwMode="auto">
        <a:xfrm>
          <a:off x="285750" y="1227010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96" name="AutoShape 5"/>
        <xdr:cNvSpPr>
          <a:spLocks noChangeAspect="1" noChangeArrowheads="1"/>
        </xdr:cNvSpPr>
      </xdr:nvSpPr>
      <xdr:spPr bwMode="auto">
        <a:xfrm>
          <a:off x="285750" y="1227010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97" name="AutoShape 2"/>
        <xdr:cNvSpPr>
          <a:spLocks noChangeAspect="1" noChangeArrowheads="1"/>
        </xdr:cNvSpPr>
      </xdr:nvSpPr>
      <xdr:spPr bwMode="auto">
        <a:xfrm>
          <a:off x="285750" y="1227010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398" name="AutoShape 12" descr="Пирамидка 8 дет."/>
        <xdr:cNvSpPr>
          <a:spLocks noChangeAspect="1" noChangeArrowheads="1"/>
        </xdr:cNvSpPr>
      </xdr:nvSpPr>
      <xdr:spPr bwMode="auto">
        <a:xfrm>
          <a:off x="285750" y="12270105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399" name="AutoShape 13" descr="Пирамидка 8 дет."/>
        <xdr:cNvSpPr>
          <a:spLocks noChangeAspect="1" noChangeArrowheads="1"/>
        </xdr:cNvSpPr>
      </xdr:nvSpPr>
      <xdr:spPr bwMode="auto">
        <a:xfrm>
          <a:off x="285750" y="12270105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400" name="AutoShape 28" descr="Стенд информационный Информация, 4 отд., 500х750, красный, настенный  #1"/>
        <xdr:cNvSpPr>
          <a:spLocks noChangeAspect="1" noChangeArrowheads="1"/>
        </xdr:cNvSpPr>
      </xdr:nvSpPr>
      <xdr:spPr bwMode="auto">
        <a:xfrm>
          <a:off x="285750" y="12270105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148167</xdr:colOff>
      <xdr:row>618</xdr:row>
      <xdr:rowOff>0</xdr:rowOff>
    </xdr:from>
    <xdr:ext cx="304800" cy="223838"/>
    <xdr:sp macro="" textlink="">
      <xdr:nvSpPr>
        <xdr:cNvPr id="401" name="AutoShape 1"/>
        <xdr:cNvSpPr>
          <a:spLocks noChangeAspect="1" noChangeArrowheads="1"/>
        </xdr:cNvSpPr>
      </xdr:nvSpPr>
      <xdr:spPr bwMode="auto">
        <a:xfrm>
          <a:off x="433917" y="122701050"/>
          <a:ext cx="304800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02" name="AutoShape 2"/>
        <xdr:cNvSpPr>
          <a:spLocks noChangeAspect="1" noChangeArrowheads="1"/>
        </xdr:cNvSpPr>
      </xdr:nvSpPr>
      <xdr:spPr bwMode="auto">
        <a:xfrm>
          <a:off x="285750" y="1227010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03" name="AutoShape 4"/>
        <xdr:cNvSpPr>
          <a:spLocks noChangeAspect="1" noChangeArrowheads="1"/>
        </xdr:cNvSpPr>
      </xdr:nvSpPr>
      <xdr:spPr bwMode="auto">
        <a:xfrm>
          <a:off x="285750" y="1227010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04" name="AutoShape 5"/>
        <xdr:cNvSpPr>
          <a:spLocks noChangeAspect="1" noChangeArrowheads="1"/>
        </xdr:cNvSpPr>
      </xdr:nvSpPr>
      <xdr:spPr bwMode="auto">
        <a:xfrm>
          <a:off x="285750" y="1227010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05" name="AutoShape 2"/>
        <xdr:cNvSpPr>
          <a:spLocks noChangeAspect="1" noChangeArrowheads="1"/>
        </xdr:cNvSpPr>
      </xdr:nvSpPr>
      <xdr:spPr bwMode="auto">
        <a:xfrm>
          <a:off x="285750" y="1227010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06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07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08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09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410" name="AutoShape 12" descr="Пирамидка 8 дет."/>
        <xdr:cNvSpPr>
          <a:spLocks noChangeAspect="1" noChangeArrowheads="1"/>
        </xdr:cNvSpPr>
      </xdr:nvSpPr>
      <xdr:spPr bwMode="auto">
        <a:xfrm>
          <a:off x="285750" y="12270105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411" name="AutoShape 13" descr="Пирамидка 8 дет."/>
        <xdr:cNvSpPr>
          <a:spLocks noChangeAspect="1" noChangeArrowheads="1"/>
        </xdr:cNvSpPr>
      </xdr:nvSpPr>
      <xdr:spPr bwMode="auto">
        <a:xfrm>
          <a:off x="285750" y="12270105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412" name="AutoShape 28" descr="Стенд информационный Информация, 4 отд., 500х750, красный, настенный  #1"/>
        <xdr:cNvSpPr>
          <a:spLocks noChangeAspect="1" noChangeArrowheads="1"/>
        </xdr:cNvSpPr>
      </xdr:nvSpPr>
      <xdr:spPr bwMode="auto">
        <a:xfrm>
          <a:off x="285750" y="12270105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148167</xdr:colOff>
      <xdr:row>618</xdr:row>
      <xdr:rowOff>0</xdr:rowOff>
    </xdr:from>
    <xdr:ext cx="304800" cy="223838"/>
    <xdr:sp macro="" textlink="">
      <xdr:nvSpPr>
        <xdr:cNvPr id="413" name="AutoShape 1"/>
        <xdr:cNvSpPr>
          <a:spLocks noChangeAspect="1" noChangeArrowheads="1"/>
        </xdr:cNvSpPr>
      </xdr:nvSpPr>
      <xdr:spPr bwMode="auto">
        <a:xfrm>
          <a:off x="433917" y="122701050"/>
          <a:ext cx="304800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14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15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16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17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18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19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20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21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22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23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24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25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26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27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28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29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30" name="AutoShape 2"/>
        <xdr:cNvSpPr>
          <a:spLocks noChangeAspect="1" noChangeArrowheads="1"/>
        </xdr:cNvSpPr>
      </xdr:nvSpPr>
      <xdr:spPr bwMode="auto">
        <a:xfrm>
          <a:off x="285750" y="1232916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31" name="AutoShape 4"/>
        <xdr:cNvSpPr>
          <a:spLocks noChangeAspect="1" noChangeArrowheads="1"/>
        </xdr:cNvSpPr>
      </xdr:nvSpPr>
      <xdr:spPr bwMode="auto">
        <a:xfrm>
          <a:off x="285750" y="1232916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32" name="AutoShape 5"/>
        <xdr:cNvSpPr>
          <a:spLocks noChangeAspect="1" noChangeArrowheads="1"/>
        </xdr:cNvSpPr>
      </xdr:nvSpPr>
      <xdr:spPr bwMode="auto">
        <a:xfrm>
          <a:off x="285750" y="1232916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33" name="AutoShape 2"/>
        <xdr:cNvSpPr>
          <a:spLocks noChangeAspect="1" noChangeArrowheads="1"/>
        </xdr:cNvSpPr>
      </xdr:nvSpPr>
      <xdr:spPr bwMode="auto">
        <a:xfrm>
          <a:off x="285750" y="1232916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34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35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36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37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38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39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40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41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42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43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44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45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46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47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48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49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50" name="AutoShape 2"/>
        <xdr:cNvSpPr>
          <a:spLocks noChangeAspect="1" noChangeArrowheads="1"/>
        </xdr:cNvSpPr>
      </xdr:nvSpPr>
      <xdr:spPr bwMode="auto">
        <a:xfrm>
          <a:off x="285750" y="1227010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51" name="AutoShape 4"/>
        <xdr:cNvSpPr>
          <a:spLocks noChangeAspect="1" noChangeArrowheads="1"/>
        </xdr:cNvSpPr>
      </xdr:nvSpPr>
      <xdr:spPr bwMode="auto">
        <a:xfrm>
          <a:off x="285750" y="1227010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52" name="AutoShape 5"/>
        <xdr:cNvSpPr>
          <a:spLocks noChangeAspect="1" noChangeArrowheads="1"/>
        </xdr:cNvSpPr>
      </xdr:nvSpPr>
      <xdr:spPr bwMode="auto">
        <a:xfrm>
          <a:off x="285750" y="1227010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53" name="AutoShape 2"/>
        <xdr:cNvSpPr>
          <a:spLocks noChangeAspect="1" noChangeArrowheads="1"/>
        </xdr:cNvSpPr>
      </xdr:nvSpPr>
      <xdr:spPr bwMode="auto">
        <a:xfrm>
          <a:off x="285750" y="1227010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54" name="AutoShape 2"/>
        <xdr:cNvSpPr>
          <a:spLocks noChangeAspect="1" noChangeArrowheads="1"/>
        </xdr:cNvSpPr>
      </xdr:nvSpPr>
      <xdr:spPr bwMode="auto">
        <a:xfrm>
          <a:off x="285750" y="1227010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55" name="AutoShape 4"/>
        <xdr:cNvSpPr>
          <a:spLocks noChangeAspect="1" noChangeArrowheads="1"/>
        </xdr:cNvSpPr>
      </xdr:nvSpPr>
      <xdr:spPr bwMode="auto">
        <a:xfrm>
          <a:off x="285750" y="1227010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56" name="AutoShape 5"/>
        <xdr:cNvSpPr>
          <a:spLocks noChangeAspect="1" noChangeArrowheads="1"/>
        </xdr:cNvSpPr>
      </xdr:nvSpPr>
      <xdr:spPr bwMode="auto">
        <a:xfrm>
          <a:off x="285750" y="1227010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57" name="AutoShape 2"/>
        <xdr:cNvSpPr>
          <a:spLocks noChangeAspect="1" noChangeArrowheads="1"/>
        </xdr:cNvSpPr>
      </xdr:nvSpPr>
      <xdr:spPr bwMode="auto">
        <a:xfrm>
          <a:off x="285750" y="1227010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58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59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60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61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62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63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64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65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66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67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68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69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70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71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72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73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74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75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76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77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78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79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80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81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82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83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84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85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86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87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88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89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90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91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92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93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94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95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96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97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98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99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00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01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02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03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04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05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06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07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08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09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10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11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12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13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14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15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16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17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18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19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20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21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22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23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24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25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26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27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28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29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30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31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32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33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34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35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36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37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38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39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40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41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42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43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44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45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46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47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48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49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50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51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52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53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54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55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56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57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58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59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60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61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62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63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64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65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66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67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68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69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70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71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72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73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74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75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76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77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78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79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80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81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82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83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84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85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86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87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88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89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90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91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92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93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94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95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96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97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98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99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00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01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02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03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04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05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06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07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08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09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10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11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12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13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14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15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16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17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18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19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20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21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22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23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24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25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26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27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28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29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30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31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32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33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34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35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36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37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38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39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40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41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42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43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44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45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46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47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48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49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50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51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52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53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54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55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56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57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58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59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60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61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62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63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64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65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66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67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68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69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70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71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72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73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74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75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76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77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78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79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80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81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82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83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84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85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86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87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88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89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90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91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92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93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94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95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96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97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98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99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00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01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02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03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04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05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06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07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08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09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10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11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12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13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14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15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16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17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18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19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20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21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22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23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24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25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26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27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28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29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30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31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32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33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34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35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36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37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38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39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40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41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42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43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44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45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46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47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48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49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50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51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52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53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54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55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56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57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58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59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60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61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62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63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64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65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66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67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68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69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70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71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72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73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74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75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76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77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78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79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80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81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82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83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84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85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86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87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88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89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90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91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92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93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94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95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96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97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98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99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00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01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02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03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04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05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06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07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08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09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10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11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12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13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14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15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16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17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18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19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20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21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22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23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24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25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26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27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28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29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30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31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32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33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34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35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36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37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38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39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40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41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42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43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44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45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46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47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48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49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50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51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52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53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54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55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56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57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58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59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60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61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62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63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64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65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66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67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68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69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70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71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72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73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74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75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76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77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78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79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80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81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82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83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84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85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86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87" name="AutoShape 4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88" name="AutoShape 5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89" name="AutoShape 2"/>
        <xdr:cNvSpPr>
          <a:spLocks noChangeAspect="1" noChangeArrowheads="1"/>
        </xdr:cNvSpPr>
      </xdr:nvSpPr>
      <xdr:spPr bwMode="auto">
        <a:xfrm>
          <a:off x="285750" y="1626012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890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891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892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893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894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895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896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897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898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899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00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01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02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03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04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05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06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07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08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09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10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11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12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13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14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15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16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17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18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19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20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21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22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23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24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25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26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27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28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29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30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31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32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33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34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35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36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37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38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39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40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41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42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43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44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45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46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47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48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49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50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51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52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53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54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55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56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57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58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59" name="AutoShape 4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60" name="AutoShape 5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61" name="AutoShape 2"/>
        <xdr:cNvSpPr>
          <a:spLocks noChangeAspect="1" noChangeArrowheads="1"/>
        </xdr:cNvSpPr>
      </xdr:nvSpPr>
      <xdr:spPr bwMode="auto">
        <a:xfrm>
          <a:off x="285750" y="1244536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718</xdr:row>
      <xdr:rowOff>0</xdr:rowOff>
    </xdr:from>
    <xdr:ext cx="304800" cy="414337"/>
    <xdr:sp macro="" textlink="">
      <xdr:nvSpPr>
        <xdr:cNvPr id="962" name="AutoShape 2"/>
        <xdr:cNvSpPr>
          <a:spLocks noChangeAspect="1" noChangeArrowheads="1"/>
        </xdr:cNvSpPr>
      </xdr:nvSpPr>
      <xdr:spPr bwMode="auto">
        <a:xfrm>
          <a:off x="285750" y="137407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718</xdr:row>
      <xdr:rowOff>0</xdr:rowOff>
    </xdr:from>
    <xdr:ext cx="304800" cy="414337"/>
    <xdr:sp macro="" textlink="">
      <xdr:nvSpPr>
        <xdr:cNvPr id="963" name="AutoShape 4"/>
        <xdr:cNvSpPr>
          <a:spLocks noChangeAspect="1" noChangeArrowheads="1"/>
        </xdr:cNvSpPr>
      </xdr:nvSpPr>
      <xdr:spPr bwMode="auto">
        <a:xfrm>
          <a:off x="285750" y="137407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718</xdr:row>
      <xdr:rowOff>0</xdr:rowOff>
    </xdr:from>
    <xdr:ext cx="304800" cy="414337"/>
    <xdr:sp macro="" textlink="">
      <xdr:nvSpPr>
        <xdr:cNvPr id="964" name="AutoShape 5"/>
        <xdr:cNvSpPr>
          <a:spLocks noChangeAspect="1" noChangeArrowheads="1"/>
        </xdr:cNvSpPr>
      </xdr:nvSpPr>
      <xdr:spPr bwMode="auto">
        <a:xfrm>
          <a:off x="285750" y="137407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718</xdr:row>
      <xdr:rowOff>0</xdr:rowOff>
    </xdr:from>
    <xdr:ext cx="304800" cy="414337"/>
    <xdr:sp macro="" textlink="">
      <xdr:nvSpPr>
        <xdr:cNvPr id="965" name="AutoShape 2"/>
        <xdr:cNvSpPr>
          <a:spLocks noChangeAspect="1" noChangeArrowheads="1"/>
        </xdr:cNvSpPr>
      </xdr:nvSpPr>
      <xdr:spPr bwMode="auto">
        <a:xfrm>
          <a:off x="285750" y="137407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718</xdr:row>
      <xdr:rowOff>0</xdr:rowOff>
    </xdr:from>
    <xdr:ext cx="304800" cy="414337"/>
    <xdr:sp macro="" textlink="">
      <xdr:nvSpPr>
        <xdr:cNvPr id="966" name="AutoShape 2"/>
        <xdr:cNvSpPr>
          <a:spLocks noChangeAspect="1" noChangeArrowheads="1"/>
        </xdr:cNvSpPr>
      </xdr:nvSpPr>
      <xdr:spPr bwMode="auto">
        <a:xfrm>
          <a:off x="285750" y="137407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718</xdr:row>
      <xdr:rowOff>0</xdr:rowOff>
    </xdr:from>
    <xdr:ext cx="304800" cy="414337"/>
    <xdr:sp macro="" textlink="">
      <xdr:nvSpPr>
        <xdr:cNvPr id="967" name="AutoShape 4"/>
        <xdr:cNvSpPr>
          <a:spLocks noChangeAspect="1" noChangeArrowheads="1"/>
        </xdr:cNvSpPr>
      </xdr:nvSpPr>
      <xdr:spPr bwMode="auto">
        <a:xfrm>
          <a:off x="285750" y="137407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718</xdr:row>
      <xdr:rowOff>0</xdr:rowOff>
    </xdr:from>
    <xdr:ext cx="304800" cy="414337"/>
    <xdr:sp macro="" textlink="">
      <xdr:nvSpPr>
        <xdr:cNvPr id="968" name="AutoShape 5"/>
        <xdr:cNvSpPr>
          <a:spLocks noChangeAspect="1" noChangeArrowheads="1"/>
        </xdr:cNvSpPr>
      </xdr:nvSpPr>
      <xdr:spPr bwMode="auto">
        <a:xfrm>
          <a:off x="285750" y="137407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718</xdr:row>
      <xdr:rowOff>0</xdr:rowOff>
    </xdr:from>
    <xdr:ext cx="304800" cy="414337"/>
    <xdr:sp macro="" textlink="">
      <xdr:nvSpPr>
        <xdr:cNvPr id="969" name="AutoShape 2"/>
        <xdr:cNvSpPr>
          <a:spLocks noChangeAspect="1" noChangeArrowheads="1"/>
        </xdr:cNvSpPr>
      </xdr:nvSpPr>
      <xdr:spPr bwMode="auto">
        <a:xfrm>
          <a:off x="285750" y="137407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718</xdr:row>
      <xdr:rowOff>0</xdr:rowOff>
    </xdr:from>
    <xdr:ext cx="304800" cy="414337"/>
    <xdr:sp macro="" textlink="">
      <xdr:nvSpPr>
        <xdr:cNvPr id="970" name="AutoShape 2"/>
        <xdr:cNvSpPr>
          <a:spLocks noChangeAspect="1" noChangeArrowheads="1"/>
        </xdr:cNvSpPr>
      </xdr:nvSpPr>
      <xdr:spPr bwMode="auto">
        <a:xfrm>
          <a:off x="285750" y="137407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718</xdr:row>
      <xdr:rowOff>0</xdr:rowOff>
    </xdr:from>
    <xdr:ext cx="304800" cy="414337"/>
    <xdr:sp macro="" textlink="">
      <xdr:nvSpPr>
        <xdr:cNvPr id="971" name="AutoShape 4"/>
        <xdr:cNvSpPr>
          <a:spLocks noChangeAspect="1" noChangeArrowheads="1"/>
        </xdr:cNvSpPr>
      </xdr:nvSpPr>
      <xdr:spPr bwMode="auto">
        <a:xfrm>
          <a:off x="285750" y="137407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718</xdr:row>
      <xdr:rowOff>0</xdr:rowOff>
    </xdr:from>
    <xdr:ext cx="304800" cy="414337"/>
    <xdr:sp macro="" textlink="">
      <xdr:nvSpPr>
        <xdr:cNvPr id="972" name="AutoShape 5"/>
        <xdr:cNvSpPr>
          <a:spLocks noChangeAspect="1" noChangeArrowheads="1"/>
        </xdr:cNvSpPr>
      </xdr:nvSpPr>
      <xdr:spPr bwMode="auto">
        <a:xfrm>
          <a:off x="285750" y="137407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718</xdr:row>
      <xdr:rowOff>0</xdr:rowOff>
    </xdr:from>
    <xdr:ext cx="304800" cy="414337"/>
    <xdr:sp macro="" textlink="">
      <xdr:nvSpPr>
        <xdr:cNvPr id="973" name="AutoShape 2"/>
        <xdr:cNvSpPr>
          <a:spLocks noChangeAspect="1" noChangeArrowheads="1"/>
        </xdr:cNvSpPr>
      </xdr:nvSpPr>
      <xdr:spPr bwMode="auto">
        <a:xfrm>
          <a:off x="285750" y="137407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717</xdr:row>
      <xdr:rowOff>0</xdr:rowOff>
    </xdr:from>
    <xdr:ext cx="304800" cy="414337"/>
    <xdr:sp macro="" textlink="">
      <xdr:nvSpPr>
        <xdr:cNvPr id="974" name="AutoShape 2"/>
        <xdr:cNvSpPr>
          <a:spLocks noChangeAspect="1" noChangeArrowheads="1"/>
        </xdr:cNvSpPr>
      </xdr:nvSpPr>
      <xdr:spPr bwMode="auto">
        <a:xfrm>
          <a:off x="285750" y="1372171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717</xdr:row>
      <xdr:rowOff>0</xdr:rowOff>
    </xdr:from>
    <xdr:ext cx="304800" cy="414337"/>
    <xdr:sp macro="" textlink="">
      <xdr:nvSpPr>
        <xdr:cNvPr id="975" name="AutoShape 4"/>
        <xdr:cNvSpPr>
          <a:spLocks noChangeAspect="1" noChangeArrowheads="1"/>
        </xdr:cNvSpPr>
      </xdr:nvSpPr>
      <xdr:spPr bwMode="auto">
        <a:xfrm>
          <a:off x="285750" y="1372171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717</xdr:row>
      <xdr:rowOff>0</xdr:rowOff>
    </xdr:from>
    <xdr:ext cx="304800" cy="414337"/>
    <xdr:sp macro="" textlink="">
      <xdr:nvSpPr>
        <xdr:cNvPr id="976" name="AutoShape 5"/>
        <xdr:cNvSpPr>
          <a:spLocks noChangeAspect="1" noChangeArrowheads="1"/>
        </xdr:cNvSpPr>
      </xdr:nvSpPr>
      <xdr:spPr bwMode="auto">
        <a:xfrm>
          <a:off x="285750" y="1372171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717</xdr:row>
      <xdr:rowOff>0</xdr:rowOff>
    </xdr:from>
    <xdr:ext cx="304800" cy="414337"/>
    <xdr:sp macro="" textlink="">
      <xdr:nvSpPr>
        <xdr:cNvPr id="977" name="AutoShape 2"/>
        <xdr:cNvSpPr>
          <a:spLocks noChangeAspect="1" noChangeArrowheads="1"/>
        </xdr:cNvSpPr>
      </xdr:nvSpPr>
      <xdr:spPr bwMode="auto">
        <a:xfrm>
          <a:off x="285750" y="1372171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717</xdr:row>
      <xdr:rowOff>0</xdr:rowOff>
    </xdr:from>
    <xdr:ext cx="304800" cy="414337"/>
    <xdr:sp macro="" textlink="">
      <xdr:nvSpPr>
        <xdr:cNvPr id="978" name="AutoShape 2"/>
        <xdr:cNvSpPr>
          <a:spLocks noChangeAspect="1" noChangeArrowheads="1"/>
        </xdr:cNvSpPr>
      </xdr:nvSpPr>
      <xdr:spPr bwMode="auto">
        <a:xfrm>
          <a:off x="285750" y="1372171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717</xdr:row>
      <xdr:rowOff>0</xdr:rowOff>
    </xdr:from>
    <xdr:ext cx="304800" cy="414337"/>
    <xdr:sp macro="" textlink="">
      <xdr:nvSpPr>
        <xdr:cNvPr id="979" name="AutoShape 4"/>
        <xdr:cNvSpPr>
          <a:spLocks noChangeAspect="1" noChangeArrowheads="1"/>
        </xdr:cNvSpPr>
      </xdr:nvSpPr>
      <xdr:spPr bwMode="auto">
        <a:xfrm>
          <a:off x="285750" y="1372171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717</xdr:row>
      <xdr:rowOff>0</xdr:rowOff>
    </xdr:from>
    <xdr:ext cx="304800" cy="414337"/>
    <xdr:sp macro="" textlink="">
      <xdr:nvSpPr>
        <xdr:cNvPr id="980" name="AutoShape 5"/>
        <xdr:cNvSpPr>
          <a:spLocks noChangeAspect="1" noChangeArrowheads="1"/>
        </xdr:cNvSpPr>
      </xdr:nvSpPr>
      <xdr:spPr bwMode="auto">
        <a:xfrm>
          <a:off x="285750" y="1372171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717</xdr:row>
      <xdr:rowOff>0</xdr:rowOff>
    </xdr:from>
    <xdr:ext cx="304800" cy="414337"/>
    <xdr:sp macro="" textlink="">
      <xdr:nvSpPr>
        <xdr:cNvPr id="981" name="AutoShape 2"/>
        <xdr:cNvSpPr>
          <a:spLocks noChangeAspect="1" noChangeArrowheads="1"/>
        </xdr:cNvSpPr>
      </xdr:nvSpPr>
      <xdr:spPr bwMode="auto">
        <a:xfrm>
          <a:off x="285750" y="1372171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717</xdr:row>
      <xdr:rowOff>0</xdr:rowOff>
    </xdr:from>
    <xdr:ext cx="304800" cy="414337"/>
    <xdr:sp macro="" textlink="">
      <xdr:nvSpPr>
        <xdr:cNvPr id="982" name="AutoShape 2"/>
        <xdr:cNvSpPr>
          <a:spLocks noChangeAspect="1" noChangeArrowheads="1"/>
        </xdr:cNvSpPr>
      </xdr:nvSpPr>
      <xdr:spPr bwMode="auto">
        <a:xfrm>
          <a:off x="285750" y="1372171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717</xdr:row>
      <xdr:rowOff>0</xdr:rowOff>
    </xdr:from>
    <xdr:ext cx="304800" cy="414337"/>
    <xdr:sp macro="" textlink="">
      <xdr:nvSpPr>
        <xdr:cNvPr id="983" name="AutoShape 4"/>
        <xdr:cNvSpPr>
          <a:spLocks noChangeAspect="1" noChangeArrowheads="1"/>
        </xdr:cNvSpPr>
      </xdr:nvSpPr>
      <xdr:spPr bwMode="auto">
        <a:xfrm>
          <a:off x="285750" y="1372171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717</xdr:row>
      <xdr:rowOff>0</xdr:rowOff>
    </xdr:from>
    <xdr:ext cx="304800" cy="414337"/>
    <xdr:sp macro="" textlink="">
      <xdr:nvSpPr>
        <xdr:cNvPr id="984" name="AutoShape 5"/>
        <xdr:cNvSpPr>
          <a:spLocks noChangeAspect="1" noChangeArrowheads="1"/>
        </xdr:cNvSpPr>
      </xdr:nvSpPr>
      <xdr:spPr bwMode="auto">
        <a:xfrm>
          <a:off x="285750" y="1372171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717</xdr:row>
      <xdr:rowOff>0</xdr:rowOff>
    </xdr:from>
    <xdr:ext cx="304800" cy="414337"/>
    <xdr:sp macro="" textlink="">
      <xdr:nvSpPr>
        <xdr:cNvPr id="985" name="AutoShape 2"/>
        <xdr:cNvSpPr>
          <a:spLocks noChangeAspect="1" noChangeArrowheads="1"/>
        </xdr:cNvSpPr>
      </xdr:nvSpPr>
      <xdr:spPr bwMode="auto">
        <a:xfrm>
          <a:off x="285750" y="1372171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986" name="AutoShape 2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987" name="AutoShape 4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988" name="AutoShape 5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989" name="AutoShape 2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990" name="AutoShape 2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991" name="AutoShape 4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992" name="AutoShape 5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993" name="AutoShape 2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994" name="AutoShape 2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995" name="AutoShape 4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996" name="AutoShape 5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997" name="AutoShape 2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998" name="AutoShape 2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999" name="AutoShape 4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00" name="AutoShape 5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01" name="AutoShape 2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02" name="AutoShape 2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03" name="AutoShape 4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04" name="AutoShape 5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05" name="AutoShape 2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06" name="AutoShape 2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07" name="AutoShape 4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08" name="AutoShape 5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09" name="AutoShape 2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10" name="AutoShape 2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11" name="AutoShape 4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12" name="AutoShape 5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13" name="AutoShape 2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14" name="AutoShape 2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15" name="AutoShape 4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16" name="AutoShape 5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17" name="AutoShape 2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18" name="AutoShape 2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19" name="AutoShape 4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20" name="AutoShape 5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21" name="AutoShape 2"/>
        <xdr:cNvSpPr>
          <a:spLocks noChangeAspect="1" noChangeArrowheads="1"/>
        </xdr:cNvSpPr>
      </xdr:nvSpPr>
      <xdr:spPr bwMode="auto">
        <a:xfrm>
          <a:off x="285750" y="1316926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645</xdr:row>
      <xdr:rowOff>0</xdr:rowOff>
    </xdr:from>
    <xdr:ext cx="304800" cy="223837"/>
    <xdr:sp macro="" textlink="">
      <xdr:nvSpPr>
        <xdr:cNvPr id="1022" name="AutoShape 2"/>
        <xdr:cNvSpPr>
          <a:spLocks noChangeAspect="1" noChangeArrowheads="1"/>
        </xdr:cNvSpPr>
      </xdr:nvSpPr>
      <xdr:spPr bwMode="auto">
        <a:xfrm>
          <a:off x="285750" y="1250251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645</xdr:row>
      <xdr:rowOff>0</xdr:rowOff>
    </xdr:from>
    <xdr:ext cx="304800" cy="223837"/>
    <xdr:sp macro="" textlink="">
      <xdr:nvSpPr>
        <xdr:cNvPr id="1023" name="AutoShape 4"/>
        <xdr:cNvSpPr>
          <a:spLocks noChangeAspect="1" noChangeArrowheads="1"/>
        </xdr:cNvSpPr>
      </xdr:nvSpPr>
      <xdr:spPr bwMode="auto">
        <a:xfrm>
          <a:off x="285750" y="1250251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645</xdr:row>
      <xdr:rowOff>0</xdr:rowOff>
    </xdr:from>
    <xdr:ext cx="304800" cy="223837"/>
    <xdr:sp macro="" textlink="">
      <xdr:nvSpPr>
        <xdr:cNvPr id="1024" name="AutoShape 5"/>
        <xdr:cNvSpPr>
          <a:spLocks noChangeAspect="1" noChangeArrowheads="1"/>
        </xdr:cNvSpPr>
      </xdr:nvSpPr>
      <xdr:spPr bwMode="auto">
        <a:xfrm>
          <a:off x="285750" y="1250251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645</xdr:row>
      <xdr:rowOff>0</xdr:rowOff>
    </xdr:from>
    <xdr:ext cx="304800" cy="223837"/>
    <xdr:sp macro="" textlink="">
      <xdr:nvSpPr>
        <xdr:cNvPr id="1025" name="AutoShape 2"/>
        <xdr:cNvSpPr>
          <a:spLocks noChangeAspect="1" noChangeArrowheads="1"/>
        </xdr:cNvSpPr>
      </xdr:nvSpPr>
      <xdr:spPr bwMode="auto">
        <a:xfrm>
          <a:off x="285750" y="1250251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645</xdr:row>
      <xdr:rowOff>0</xdr:rowOff>
    </xdr:from>
    <xdr:ext cx="304800" cy="223837"/>
    <xdr:sp macro="" textlink="">
      <xdr:nvSpPr>
        <xdr:cNvPr id="1026" name="AutoShape 2"/>
        <xdr:cNvSpPr>
          <a:spLocks noChangeAspect="1" noChangeArrowheads="1"/>
        </xdr:cNvSpPr>
      </xdr:nvSpPr>
      <xdr:spPr bwMode="auto">
        <a:xfrm>
          <a:off x="285750" y="1250251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645</xdr:row>
      <xdr:rowOff>0</xdr:rowOff>
    </xdr:from>
    <xdr:ext cx="304800" cy="223837"/>
    <xdr:sp macro="" textlink="">
      <xdr:nvSpPr>
        <xdr:cNvPr id="1027" name="AutoShape 4"/>
        <xdr:cNvSpPr>
          <a:spLocks noChangeAspect="1" noChangeArrowheads="1"/>
        </xdr:cNvSpPr>
      </xdr:nvSpPr>
      <xdr:spPr bwMode="auto">
        <a:xfrm>
          <a:off x="285750" y="1250251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645</xdr:row>
      <xdr:rowOff>0</xdr:rowOff>
    </xdr:from>
    <xdr:ext cx="304800" cy="223837"/>
    <xdr:sp macro="" textlink="">
      <xdr:nvSpPr>
        <xdr:cNvPr id="1028" name="AutoShape 5"/>
        <xdr:cNvSpPr>
          <a:spLocks noChangeAspect="1" noChangeArrowheads="1"/>
        </xdr:cNvSpPr>
      </xdr:nvSpPr>
      <xdr:spPr bwMode="auto">
        <a:xfrm>
          <a:off x="285750" y="1250251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645</xdr:row>
      <xdr:rowOff>0</xdr:rowOff>
    </xdr:from>
    <xdr:ext cx="304800" cy="223837"/>
    <xdr:sp macro="" textlink="">
      <xdr:nvSpPr>
        <xdr:cNvPr id="1029" name="AutoShape 2"/>
        <xdr:cNvSpPr>
          <a:spLocks noChangeAspect="1" noChangeArrowheads="1"/>
        </xdr:cNvSpPr>
      </xdr:nvSpPr>
      <xdr:spPr bwMode="auto">
        <a:xfrm>
          <a:off x="285750" y="1250251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645</xdr:row>
      <xdr:rowOff>0</xdr:rowOff>
    </xdr:from>
    <xdr:ext cx="304800" cy="414337"/>
    <xdr:sp macro="" textlink="">
      <xdr:nvSpPr>
        <xdr:cNvPr id="1030" name="AutoShape 2"/>
        <xdr:cNvSpPr>
          <a:spLocks noChangeAspect="1" noChangeArrowheads="1"/>
        </xdr:cNvSpPr>
      </xdr:nvSpPr>
      <xdr:spPr bwMode="auto">
        <a:xfrm>
          <a:off x="285750" y="1250251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645</xdr:row>
      <xdr:rowOff>0</xdr:rowOff>
    </xdr:from>
    <xdr:ext cx="304800" cy="414337"/>
    <xdr:sp macro="" textlink="">
      <xdr:nvSpPr>
        <xdr:cNvPr id="1031" name="AutoShape 4"/>
        <xdr:cNvSpPr>
          <a:spLocks noChangeAspect="1" noChangeArrowheads="1"/>
        </xdr:cNvSpPr>
      </xdr:nvSpPr>
      <xdr:spPr bwMode="auto">
        <a:xfrm>
          <a:off x="285750" y="1250251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645</xdr:row>
      <xdr:rowOff>0</xdr:rowOff>
    </xdr:from>
    <xdr:ext cx="304800" cy="414337"/>
    <xdr:sp macro="" textlink="">
      <xdr:nvSpPr>
        <xdr:cNvPr id="1032" name="AutoShape 5"/>
        <xdr:cNvSpPr>
          <a:spLocks noChangeAspect="1" noChangeArrowheads="1"/>
        </xdr:cNvSpPr>
      </xdr:nvSpPr>
      <xdr:spPr bwMode="auto">
        <a:xfrm>
          <a:off x="285750" y="1250251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645</xdr:row>
      <xdr:rowOff>0</xdr:rowOff>
    </xdr:from>
    <xdr:ext cx="304800" cy="414337"/>
    <xdr:sp macro="" textlink="">
      <xdr:nvSpPr>
        <xdr:cNvPr id="1033" name="AutoShape 2"/>
        <xdr:cNvSpPr>
          <a:spLocks noChangeAspect="1" noChangeArrowheads="1"/>
        </xdr:cNvSpPr>
      </xdr:nvSpPr>
      <xdr:spPr bwMode="auto">
        <a:xfrm>
          <a:off x="285750" y="1250251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647</xdr:row>
      <xdr:rowOff>0</xdr:rowOff>
    </xdr:from>
    <xdr:ext cx="304800" cy="223837"/>
    <xdr:sp macro="" textlink="">
      <xdr:nvSpPr>
        <xdr:cNvPr id="1034" name="AutoShape 2"/>
        <xdr:cNvSpPr>
          <a:spLocks noChangeAspect="1" noChangeArrowheads="1"/>
        </xdr:cNvSpPr>
      </xdr:nvSpPr>
      <xdr:spPr bwMode="auto">
        <a:xfrm>
          <a:off x="285750" y="1254061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647</xdr:row>
      <xdr:rowOff>0</xdr:rowOff>
    </xdr:from>
    <xdr:ext cx="304800" cy="223837"/>
    <xdr:sp macro="" textlink="">
      <xdr:nvSpPr>
        <xdr:cNvPr id="1035" name="AutoShape 4"/>
        <xdr:cNvSpPr>
          <a:spLocks noChangeAspect="1" noChangeArrowheads="1"/>
        </xdr:cNvSpPr>
      </xdr:nvSpPr>
      <xdr:spPr bwMode="auto">
        <a:xfrm>
          <a:off x="285750" y="1254061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647</xdr:row>
      <xdr:rowOff>0</xdr:rowOff>
    </xdr:from>
    <xdr:ext cx="304800" cy="223837"/>
    <xdr:sp macro="" textlink="">
      <xdr:nvSpPr>
        <xdr:cNvPr id="1036" name="AutoShape 5"/>
        <xdr:cNvSpPr>
          <a:spLocks noChangeAspect="1" noChangeArrowheads="1"/>
        </xdr:cNvSpPr>
      </xdr:nvSpPr>
      <xdr:spPr bwMode="auto">
        <a:xfrm>
          <a:off x="285750" y="1254061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647</xdr:row>
      <xdr:rowOff>0</xdr:rowOff>
    </xdr:from>
    <xdr:ext cx="304800" cy="223837"/>
    <xdr:sp macro="" textlink="">
      <xdr:nvSpPr>
        <xdr:cNvPr id="1037" name="AutoShape 2"/>
        <xdr:cNvSpPr>
          <a:spLocks noChangeAspect="1" noChangeArrowheads="1"/>
        </xdr:cNvSpPr>
      </xdr:nvSpPr>
      <xdr:spPr bwMode="auto">
        <a:xfrm>
          <a:off x="285750" y="1254061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38" name="AutoShape 2"/>
        <xdr:cNvSpPr>
          <a:spLocks noChangeAspect="1" noChangeArrowheads="1"/>
        </xdr:cNvSpPr>
      </xdr:nvSpPr>
      <xdr:spPr bwMode="auto">
        <a:xfrm>
          <a:off x="285750" y="1238631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39" name="AutoShape 4"/>
        <xdr:cNvSpPr>
          <a:spLocks noChangeAspect="1" noChangeArrowheads="1"/>
        </xdr:cNvSpPr>
      </xdr:nvSpPr>
      <xdr:spPr bwMode="auto">
        <a:xfrm>
          <a:off x="285750" y="1238631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40" name="AutoShape 5"/>
        <xdr:cNvSpPr>
          <a:spLocks noChangeAspect="1" noChangeArrowheads="1"/>
        </xdr:cNvSpPr>
      </xdr:nvSpPr>
      <xdr:spPr bwMode="auto">
        <a:xfrm>
          <a:off x="285750" y="1238631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41" name="AutoShape 2"/>
        <xdr:cNvSpPr>
          <a:spLocks noChangeAspect="1" noChangeArrowheads="1"/>
        </xdr:cNvSpPr>
      </xdr:nvSpPr>
      <xdr:spPr bwMode="auto">
        <a:xfrm>
          <a:off x="285750" y="1238631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42" name="AutoShape 2"/>
        <xdr:cNvSpPr>
          <a:spLocks noChangeAspect="1" noChangeArrowheads="1"/>
        </xdr:cNvSpPr>
      </xdr:nvSpPr>
      <xdr:spPr bwMode="auto">
        <a:xfrm>
          <a:off x="285750" y="1238631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43" name="AutoShape 4"/>
        <xdr:cNvSpPr>
          <a:spLocks noChangeAspect="1" noChangeArrowheads="1"/>
        </xdr:cNvSpPr>
      </xdr:nvSpPr>
      <xdr:spPr bwMode="auto">
        <a:xfrm>
          <a:off x="285750" y="1238631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44" name="AutoShape 5"/>
        <xdr:cNvSpPr>
          <a:spLocks noChangeAspect="1" noChangeArrowheads="1"/>
        </xdr:cNvSpPr>
      </xdr:nvSpPr>
      <xdr:spPr bwMode="auto">
        <a:xfrm>
          <a:off x="285750" y="1238631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45" name="AutoShape 2"/>
        <xdr:cNvSpPr>
          <a:spLocks noChangeAspect="1" noChangeArrowheads="1"/>
        </xdr:cNvSpPr>
      </xdr:nvSpPr>
      <xdr:spPr bwMode="auto">
        <a:xfrm>
          <a:off x="285750" y="1238631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46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47" name="AutoShape 4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48" name="AutoShape 5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49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50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51" name="AutoShape 4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52" name="AutoShape 5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53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54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55" name="AutoShape 4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56" name="AutoShape 5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57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58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59" name="AutoShape 4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60" name="AutoShape 5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61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62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63" name="AutoShape 4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64" name="AutoShape 5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65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66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67" name="AutoShape 4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68" name="AutoShape 5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69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70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71" name="AutoShape 4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72" name="AutoShape 5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73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74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75" name="AutoShape 4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76" name="AutoShape 5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77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78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79" name="AutoShape 4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80" name="AutoShape 5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81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82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83" name="AutoShape 4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84" name="AutoShape 5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85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86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87" name="AutoShape 4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88" name="AutoShape 5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89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90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91" name="AutoShape 4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92" name="AutoShape 5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93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94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95" name="AutoShape 4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96" name="AutoShape 5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97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98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99" name="AutoShape 4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100" name="AutoShape 5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101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102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103" name="AutoShape 4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104" name="AutoShape 5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105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106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107" name="AutoShape 4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108" name="AutoShape 5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109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110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111" name="AutoShape 4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112" name="AutoShape 5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113" name="AutoShape 2"/>
        <xdr:cNvSpPr>
          <a:spLocks noChangeAspect="1" noChangeArrowheads="1"/>
        </xdr:cNvSpPr>
      </xdr:nvSpPr>
      <xdr:spPr bwMode="auto">
        <a:xfrm>
          <a:off x="285750" y="15729585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14" name="AutoShape 2"/>
        <xdr:cNvSpPr>
          <a:spLocks noChangeAspect="1" noChangeArrowheads="1"/>
        </xdr:cNvSpPr>
      </xdr:nvSpPr>
      <xdr:spPr bwMode="auto">
        <a:xfrm>
          <a:off x="285750" y="160353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15" name="AutoShape 4"/>
        <xdr:cNvSpPr>
          <a:spLocks noChangeAspect="1" noChangeArrowheads="1"/>
        </xdr:cNvSpPr>
      </xdr:nvSpPr>
      <xdr:spPr bwMode="auto">
        <a:xfrm>
          <a:off x="285750" y="160353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16" name="AutoShape 5"/>
        <xdr:cNvSpPr>
          <a:spLocks noChangeAspect="1" noChangeArrowheads="1"/>
        </xdr:cNvSpPr>
      </xdr:nvSpPr>
      <xdr:spPr bwMode="auto">
        <a:xfrm>
          <a:off x="285750" y="160353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17" name="AutoShape 2"/>
        <xdr:cNvSpPr>
          <a:spLocks noChangeAspect="1" noChangeArrowheads="1"/>
        </xdr:cNvSpPr>
      </xdr:nvSpPr>
      <xdr:spPr bwMode="auto">
        <a:xfrm>
          <a:off x="285750" y="160353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18" name="AutoShape 2"/>
        <xdr:cNvSpPr>
          <a:spLocks noChangeAspect="1" noChangeArrowheads="1"/>
        </xdr:cNvSpPr>
      </xdr:nvSpPr>
      <xdr:spPr bwMode="auto">
        <a:xfrm>
          <a:off x="285750" y="160353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19" name="AutoShape 4"/>
        <xdr:cNvSpPr>
          <a:spLocks noChangeAspect="1" noChangeArrowheads="1"/>
        </xdr:cNvSpPr>
      </xdr:nvSpPr>
      <xdr:spPr bwMode="auto">
        <a:xfrm>
          <a:off x="285750" y="160353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20" name="AutoShape 5"/>
        <xdr:cNvSpPr>
          <a:spLocks noChangeAspect="1" noChangeArrowheads="1"/>
        </xdr:cNvSpPr>
      </xdr:nvSpPr>
      <xdr:spPr bwMode="auto">
        <a:xfrm>
          <a:off x="285750" y="160353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</xdr:colOff>
      <xdr:row>869</xdr:row>
      <xdr:rowOff>0</xdr:rowOff>
    </xdr:from>
    <xdr:ext cx="304800" cy="414337"/>
    <xdr:sp macro="" textlink="">
      <xdr:nvSpPr>
        <xdr:cNvPr id="1121" name="AutoShape 2"/>
        <xdr:cNvSpPr>
          <a:spLocks noChangeAspect="1" noChangeArrowheads="1"/>
        </xdr:cNvSpPr>
      </xdr:nvSpPr>
      <xdr:spPr bwMode="auto">
        <a:xfrm>
          <a:off x="333375" y="160353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22" name="AutoShape 2"/>
        <xdr:cNvSpPr>
          <a:spLocks noChangeAspect="1" noChangeArrowheads="1"/>
        </xdr:cNvSpPr>
      </xdr:nvSpPr>
      <xdr:spPr bwMode="auto">
        <a:xfrm>
          <a:off x="285750" y="160353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23" name="AutoShape 4"/>
        <xdr:cNvSpPr>
          <a:spLocks noChangeAspect="1" noChangeArrowheads="1"/>
        </xdr:cNvSpPr>
      </xdr:nvSpPr>
      <xdr:spPr bwMode="auto">
        <a:xfrm>
          <a:off x="285750" y="160353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24" name="AutoShape 5"/>
        <xdr:cNvSpPr>
          <a:spLocks noChangeAspect="1" noChangeArrowheads="1"/>
        </xdr:cNvSpPr>
      </xdr:nvSpPr>
      <xdr:spPr bwMode="auto">
        <a:xfrm>
          <a:off x="285750" y="160353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25" name="AutoShape 2"/>
        <xdr:cNvSpPr>
          <a:spLocks noChangeAspect="1" noChangeArrowheads="1"/>
        </xdr:cNvSpPr>
      </xdr:nvSpPr>
      <xdr:spPr bwMode="auto">
        <a:xfrm>
          <a:off x="285750" y="160353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26" name="AutoShape 2"/>
        <xdr:cNvSpPr>
          <a:spLocks noChangeAspect="1" noChangeArrowheads="1"/>
        </xdr:cNvSpPr>
      </xdr:nvSpPr>
      <xdr:spPr bwMode="auto">
        <a:xfrm>
          <a:off x="285750" y="160353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27" name="AutoShape 4"/>
        <xdr:cNvSpPr>
          <a:spLocks noChangeAspect="1" noChangeArrowheads="1"/>
        </xdr:cNvSpPr>
      </xdr:nvSpPr>
      <xdr:spPr bwMode="auto">
        <a:xfrm>
          <a:off x="285750" y="160353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28" name="AutoShape 5"/>
        <xdr:cNvSpPr>
          <a:spLocks noChangeAspect="1" noChangeArrowheads="1"/>
        </xdr:cNvSpPr>
      </xdr:nvSpPr>
      <xdr:spPr bwMode="auto">
        <a:xfrm>
          <a:off x="285750" y="160353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29" name="AutoShape 2"/>
        <xdr:cNvSpPr>
          <a:spLocks noChangeAspect="1" noChangeArrowheads="1"/>
        </xdr:cNvSpPr>
      </xdr:nvSpPr>
      <xdr:spPr bwMode="auto">
        <a:xfrm>
          <a:off x="285750" y="160353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30" name="AutoShape 2"/>
        <xdr:cNvSpPr>
          <a:spLocks noChangeAspect="1" noChangeArrowheads="1"/>
        </xdr:cNvSpPr>
      </xdr:nvSpPr>
      <xdr:spPr bwMode="auto">
        <a:xfrm>
          <a:off x="285750" y="160353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31" name="AutoShape 4"/>
        <xdr:cNvSpPr>
          <a:spLocks noChangeAspect="1" noChangeArrowheads="1"/>
        </xdr:cNvSpPr>
      </xdr:nvSpPr>
      <xdr:spPr bwMode="auto">
        <a:xfrm>
          <a:off x="285750" y="160353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32" name="AutoShape 5"/>
        <xdr:cNvSpPr>
          <a:spLocks noChangeAspect="1" noChangeArrowheads="1"/>
        </xdr:cNvSpPr>
      </xdr:nvSpPr>
      <xdr:spPr bwMode="auto">
        <a:xfrm>
          <a:off x="285750" y="160353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33" name="AutoShape 2"/>
        <xdr:cNvSpPr>
          <a:spLocks noChangeAspect="1" noChangeArrowheads="1"/>
        </xdr:cNvSpPr>
      </xdr:nvSpPr>
      <xdr:spPr bwMode="auto">
        <a:xfrm>
          <a:off x="285750" y="160353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618</xdr:row>
      <xdr:rowOff>0</xdr:rowOff>
    </xdr:from>
    <xdr:to>
      <xdr:col>1</xdr:col>
      <xdr:colOff>304800</xdr:colOff>
      <xdr:row>643</xdr:row>
      <xdr:rowOff>23812</xdr:rowOff>
    </xdr:to>
    <xdr:sp macro="" textlink="">
      <xdr:nvSpPr>
        <xdr:cNvPr id="2" name="AutoShape 12" descr="Пирамидка 8 дет."/>
        <xdr:cNvSpPr>
          <a:spLocks noChangeAspect="1" noChangeArrowheads="1"/>
        </xdr:cNvSpPr>
      </xdr:nvSpPr>
      <xdr:spPr bwMode="auto">
        <a:xfrm>
          <a:off x="285750" y="1128903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304800</xdr:colOff>
      <xdr:row>643</xdr:row>
      <xdr:rowOff>23812</xdr:rowOff>
    </xdr:to>
    <xdr:sp macro="" textlink="">
      <xdr:nvSpPr>
        <xdr:cNvPr id="3" name="AutoShape 13" descr="Пирамидка 8 дет."/>
        <xdr:cNvSpPr>
          <a:spLocks noChangeAspect="1" noChangeArrowheads="1"/>
        </xdr:cNvSpPr>
      </xdr:nvSpPr>
      <xdr:spPr bwMode="auto">
        <a:xfrm>
          <a:off x="285750" y="1128903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304800</xdr:colOff>
      <xdr:row>643</xdr:row>
      <xdr:rowOff>23812</xdr:rowOff>
    </xdr:to>
    <xdr:sp macro="" textlink="">
      <xdr:nvSpPr>
        <xdr:cNvPr id="4" name="AutoShape 28" descr="Стенд информационный Информация, 4 отд., 500х750, красный, настенный  #1"/>
        <xdr:cNvSpPr>
          <a:spLocks noChangeAspect="1" noChangeArrowheads="1"/>
        </xdr:cNvSpPr>
      </xdr:nvSpPr>
      <xdr:spPr bwMode="auto">
        <a:xfrm>
          <a:off x="285750" y="1128903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148167</xdr:colOff>
      <xdr:row>618</xdr:row>
      <xdr:rowOff>0</xdr:rowOff>
    </xdr:from>
    <xdr:to>
      <xdr:col>1</xdr:col>
      <xdr:colOff>452967</xdr:colOff>
      <xdr:row>643</xdr:row>
      <xdr:rowOff>33338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433917" y="112890300"/>
          <a:ext cx="304800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304800</xdr:colOff>
      <xdr:row>643</xdr:row>
      <xdr:rowOff>33337</xdr:rowOff>
    </xdr:to>
    <xdr:sp macro="" textlink="">
      <xdr:nvSpPr>
        <xdr:cNvPr id="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304800</xdr:colOff>
      <xdr:row>643</xdr:row>
      <xdr:rowOff>33337</xdr:rowOff>
    </xdr:to>
    <xdr:sp macro="" textlink="">
      <xdr:nvSpPr>
        <xdr:cNvPr id="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304800</xdr:colOff>
      <xdr:row>643</xdr:row>
      <xdr:rowOff>33337</xdr:rowOff>
    </xdr:to>
    <xdr:sp macro="" textlink="">
      <xdr:nvSpPr>
        <xdr:cNvPr id="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304800</xdr:colOff>
      <xdr:row>643</xdr:row>
      <xdr:rowOff>33337</xdr:rowOff>
    </xdr:to>
    <xdr:sp macro="" textlink="">
      <xdr:nvSpPr>
        <xdr:cNvPr id="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14" name="AutoShape 12" descr="Пирамидка 8 дет."/>
        <xdr:cNvSpPr>
          <a:spLocks noChangeAspect="1" noChangeArrowheads="1"/>
        </xdr:cNvSpPr>
      </xdr:nvSpPr>
      <xdr:spPr bwMode="auto">
        <a:xfrm>
          <a:off x="285750" y="1128903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15" name="AutoShape 13" descr="Пирамидка 8 дет."/>
        <xdr:cNvSpPr>
          <a:spLocks noChangeAspect="1" noChangeArrowheads="1"/>
        </xdr:cNvSpPr>
      </xdr:nvSpPr>
      <xdr:spPr bwMode="auto">
        <a:xfrm>
          <a:off x="285750" y="1128903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16" name="AutoShape 28" descr="Стенд информационный Информация, 4 отд., 500х750, красный, настенный  #1"/>
        <xdr:cNvSpPr>
          <a:spLocks noChangeAspect="1" noChangeArrowheads="1"/>
        </xdr:cNvSpPr>
      </xdr:nvSpPr>
      <xdr:spPr bwMode="auto">
        <a:xfrm>
          <a:off x="285750" y="1128903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148167</xdr:colOff>
      <xdr:row>618</xdr:row>
      <xdr:rowOff>0</xdr:rowOff>
    </xdr:from>
    <xdr:ext cx="304800" cy="223838"/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433917" y="112890300"/>
          <a:ext cx="304800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762</xdr:row>
      <xdr:rowOff>0</xdr:rowOff>
    </xdr:from>
    <xdr:ext cx="304800" cy="223837"/>
    <xdr:sp macro="" textlink="">
      <xdr:nvSpPr>
        <xdr:cNvPr id="26" name="AutoShape 2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762</xdr:row>
      <xdr:rowOff>0</xdr:rowOff>
    </xdr:from>
    <xdr:ext cx="304800" cy="223837"/>
    <xdr:sp macro="" textlink="">
      <xdr:nvSpPr>
        <xdr:cNvPr id="27" name="AutoShape 4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762</xdr:row>
      <xdr:rowOff>0</xdr:rowOff>
    </xdr:from>
    <xdr:ext cx="304800" cy="223837"/>
    <xdr:sp macro="" textlink="">
      <xdr:nvSpPr>
        <xdr:cNvPr id="28" name="AutoShape 5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762</xdr:row>
      <xdr:rowOff>0</xdr:rowOff>
    </xdr:from>
    <xdr:ext cx="304800" cy="223837"/>
    <xdr:sp macro="" textlink="">
      <xdr:nvSpPr>
        <xdr:cNvPr id="29" name="AutoShape 2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0" name="AutoShape 2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1" name="AutoShape 4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2" name="AutoShape 5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3" name="AutoShape 2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4" name="AutoShape 2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5" name="AutoShape 4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6" name="AutoShape 5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7" name="AutoShape 2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8" name="AutoShape 2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9" name="AutoShape 4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40" name="AutoShape 5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41" name="AutoShape 2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834</xdr:row>
      <xdr:rowOff>0</xdr:rowOff>
    </xdr:from>
    <xdr:ext cx="304800" cy="223837"/>
    <xdr:sp macro="" textlink="">
      <xdr:nvSpPr>
        <xdr:cNvPr id="42" name="AutoShape 2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834</xdr:row>
      <xdr:rowOff>0</xdr:rowOff>
    </xdr:from>
    <xdr:ext cx="304800" cy="223837"/>
    <xdr:sp macro="" textlink="">
      <xdr:nvSpPr>
        <xdr:cNvPr id="43" name="AutoShape 4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834</xdr:row>
      <xdr:rowOff>0</xdr:rowOff>
    </xdr:from>
    <xdr:ext cx="304800" cy="223837"/>
    <xdr:sp macro="" textlink="">
      <xdr:nvSpPr>
        <xdr:cNvPr id="44" name="AutoShape 5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834</xdr:row>
      <xdr:rowOff>0</xdr:rowOff>
    </xdr:from>
    <xdr:ext cx="304800" cy="223837"/>
    <xdr:sp macro="" textlink="">
      <xdr:nvSpPr>
        <xdr:cNvPr id="45" name="AutoShape 2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7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7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7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7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7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7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7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7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7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7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8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8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817</xdr:row>
      <xdr:rowOff>0</xdr:rowOff>
    </xdr:from>
    <xdr:ext cx="304800" cy="223837"/>
    <xdr:sp macro="" textlink="">
      <xdr:nvSpPr>
        <xdr:cNvPr id="82" name="AutoShape 2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817</xdr:row>
      <xdr:rowOff>0</xdr:rowOff>
    </xdr:from>
    <xdr:ext cx="304800" cy="223837"/>
    <xdr:sp macro="" textlink="">
      <xdr:nvSpPr>
        <xdr:cNvPr id="83" name="AutoShape 4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817</xdr:row>
      <xdr:rowOff>0</xdr:rowOff>
    </xdr:from>
    <xdr:ext cx="304800" cy="223837"/>
    <xdr:sp macro="" textlink="">
      <xdr:nvSpPr>
        <xdr:cNvPr id="84" name="AutoShape 5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817</xdr:row>
      <xdr:rowOff>0</xdr:rowOff>
    </xdr:from>
    <xdr:ext cx="304800" cy="223837"/>
    <xdr:sp macro="" textlink="">
      <xdr:nvSpPr>
        <xdr:cNvPr id="85" name="AutoShape 2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6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7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8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9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90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91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92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93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819</xdr:row>
      <xdr:rowOff>0</xdr:rowOff>
    </xdr:from>
    <xdr:ext cx="304800" cy="223837"/>
    <xdr:sp macro="" textlink="">
      <xdr:nvSpPr>
        <xdr:cNvPr id="98" name="AutoShape 2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819</xdr:row>
      <xdr:rowOff>0</xdr:rowOff>
    </xdr:from>
    <xdr:ext cx="304800" cy="223837"/>
    <xdr:sp macro="" textlink="">
      <xdr:nvSpPr>
        <xdr:cNvPr id="99" name="AutoShape 4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819</xdr:row>
      <xdr:rowOff>0</xdr:rowOff>
    </xdr:from>
    <xdr:ext cx="304800" cy="223837"/>
    <xdr:sp macro="" textlink="">
      <xdr:nvSpPr>
        <xdr:cNvPr id="100" name="AutoShape 5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819</xdr:row>
      <xdr:rowOff>0</xdr:rowOff>
    </xdr:from>
    <xdr:ext cx="304800" cy="223837"/>
    <xdr:sp macro="" textlink="">
      <xdr:nvSpPr>
        <xdr:cNvPr id="101" name="AutoShape 2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1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1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1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1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1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1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1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1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1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1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2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2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2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2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2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2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2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2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2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2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3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3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3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3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3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3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3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3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3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3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4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4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4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4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4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4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4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4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4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4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5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5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5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5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5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5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5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5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5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5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6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6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223837"/>
    <xdr:sp macro="" textlink="">
      <xdr:nvSpPr>
        <xdr:cNvPr id="162" name="AutoShape 2"/>
        <xdr:cNvSpPr>
          <a:spLocks noChangeAspect="1" noChangeArrowheads="1"/>
        </xdr:cNvSpPr>
      </xdr:nvSpPr>
      <xdr:spPr bwMode="auto">
        <a:xfrm>
          <a:off x="285750" y="1355693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223837"/>
    <xdr:sp macro="" textlink="">
      <xdr:nvSpPr>
        <xdr:cNvPr id="163" name="AutoShape 4"/>
        <xdr:cNvSpPr>
          <a:spLocks noChangeAspect="1" noChangeArrowheads="1"/>
        </xdr:cNvSpPr>
      </xdr:nvSpPr>
      <xdr:spPr bwMode="auto">
        <a:xfrm>
          <a:off x="285750" y="1355693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223837"/>
    <xdr:sp macro="" textlink="">
      <xdr:nvSpPr>
        <xdr:cNvPr id="164" name="AutoShape 5"/>
        <xdr:cNvSpPr>
          <a:spLocks noChangeAspect="1" noChangeArrowheads="1"/>
        </xdr:cNvSpPr>
      </xdr:nvSpPr>
      <xdr:spPr bwMode="auto">
        <a:xfrm>
          <a:off x="285750" y="1355693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223837"/>
    <xdr:sp macro="" textlink="">
      <xdr:nvSpPr>
        <xdr:cNvPr id="165" name="AutoShape 2"/>
        <xdr:cNvSpPr>
          <a:spLocks noChangeAspect="1" noChangeArrowheads="1"/>
        </xdr:cNvSpPr>
      </xdr:nvSpPr>
      <xdr:spPr bwMode="auto">
        <a:xfrm>
          <a:off x="285750" y="1355693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6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6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6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6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7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7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7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7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618</xdr:row>
      <xdr:rowOff>0</xdr:rowOff>
    </xdr:from>
    <xdr:to>
      <xdr:col>1</xdr:col>
      <xdr:colOff>304800</xdr:colOff>
      <xdr:row>643</xdr:row>
      <xdr:rowOff>23812</xdr:rowOff>
    </xdr:to>
    <xdr:sp macro="" textlink="">
      <xdr:nvSpPr>
        <xdr:cNvPr id="174" name="AutoShape 12" descr="Пирамидка 8 дет."/>
        <xdr:cNvSpPr>
          <a:spLocks noChangeAspect="1" noChangeArrowheads="1"/>
        </xdr:cNvSpPr>
      </xdr:nvSpPr>
      <xdr:spPr bwMode="auto">
        <a:xfrm>
          <a:off x="285750" y="1128903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304800</xdr:colOff>
      <xdr:row>643</xdr:row>
      <xdr:rowOff>23812</xdr:rowOff>
    </xdr:to>
    <xdr:sp macro="" textlink="">
      <xdr:nvSpPr>
        <xdr:cNvPr id="175" name="AutoShape 13" descr="Пирамидка 8 дет."/>
        <xdr:cNvSpPr>
          <a:spLocks noChangeAspect="1" noChangeArrowheads="1"/>
        </xdr:cNvSpPr>
      </xdr:nvSpPr>
      <xdr:spPr bwMode="auto">
        <a:xfrm>
          <a:off x="285750" y="1128903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304800</xdr:colOff>
      <xdr:row>643</xdr:row>
      <xdr:rowOff>23812</xdr:rowOff>
    </xdr:to>
    <xdr:sp macro="" textlink="">
      <xdr:nvSpPr>
        <xdr:cNvPr id="176" name="AutoShape 28" descr="Стенд информационный Информация, 4 отд., 500х750, красный, настенный  #1"/>
        <xdr:cNvSpPr>
          <a:spLocks noChangeAspect="1" noChangeArrowheads="1"/>
        </xdr:cNvSpPr>
      </xdr:nvSpPr>
      <xdr:spPr bwMode="auto">
        <a:xfrm>
          <a:off x="285750" y="1128903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148167</xdr:colOff>
      <xdr:row>618</xdr:row>
      <xdr:rowOff>0</xdr:rowOff>
    </xdr:from>
    <xdr:to>
      <xdr:col>1</xdr:col>
      <xdr:colOff>452967</xdr:colOff>
      <xdr:row>643</xdr:row>
      <xdr:rowOff>33338</xdr:rowOff>
    </xdr:to>
    <xdr:sp macro="" textlink="">
      <xdr:nvSpPr>
        <xdr:cNvPr id="177" name="AutoShape 1"/>
        <xdr:cNvSpPr>
          <a:spLocks noChangeAspect="1" noChangeArrowheads="1"/>
        </xdr:cNvSpPr>
      </xdr:nvSpPr>
      <xdr:spPr bwMode="auto">
        <a:xfrm>
          <a:off x="433917" y="112890300"/>
          <a:ext cx="304800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304800</xdr:colOff>
      <xdr:row>643</xdr:row>
      <xdr:rowOff>33337</xdr:rowOff>
    </xdr:to>
    <xdr:sp macro="" textlink="">
      <xdr:nvSpPr>
        <xdr:cNvPr id="17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304800</xdr:colOff>
      <xdr:row>643</xdr:row>
      <xdr:rowOff>33337</xdr:rowOff>
    </xdr:to>
    <xdr:sp macro="" textlink="">
      <xdr:nvSpPr>
        <xdr:cNvPr id="17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304800</xdr:colOff>
      <xdr:row>643</xdr:row>
      <xdr:rowOff>33337</xdr:rowOff>
    </xdr:to>
    <xdr:sp macro="" textlink="">
      <xdr:nvSpPr>
        <xdr:cNvPr id="18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304800</xdr:colOff>
      <xdr:row>643</xdr:row>
      <xdr:rowOff>33337</xdr:rowOff>
    </xdr:to>
    <xdr:sp macro="" textlink="">
      <xdr:nvSpPr>
        <xdr:cNvPr id="18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8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8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8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8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186" name="AutoShape 12" descr="Пирамидка 8 дет."/>
        <xdr:cNvSpPr>
          <a:spLocks noChangeAspect="1" noChangeArrowheads="1"/>
        </xdr:cNvSpPr>
      </xdr:nvSpPr>
      <xdr:spPr bwMode="auto">
        <a:xfrm>
          <a:off x="285750" y="1128903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187" name="AutoShape 13" descr="Пирамидка 8 дет."/>
        <xdr:cNvSpPr>
          <a:spLocks noChangeAspect="1" noChangeArrowheads="1"/>
        </xdr:cNvSpPr>
      </xdr:nvSpPr>
      <xdr:spPr bwMode="auto">
        <a:xfrm>
          <a:off x="285750" y="1128903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188" name="AutoShape 28" descr="Стенд информационный Информация, 4 отд., 500х750, красный, настенный  #1"/>
        <xdr:cNvSpPr>
          <a:spLocks noChangeAspect="1" noChangeArrowheads="1"/>
        </xdr:cNvSpPr>
      </xdr:nvSpPr>
      <xdr:spPr bwMode="auto">
        <a:xfrm>
          <a:off x="285750" y="1128903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148167</xdr:colOff>
      <xdr:row>618</xdr:row>
      <xdr:rowOff>0</xdr:rowOff>
    </xdr:from>
    <xdr:ext cx="304800" cy="223838"/>
    <xdr:sp macro="" textlink="">
      <xdr:nvSpPr>
        <xdr:cNvPr id="189" name="AutoShape 1"/>
        <xdr:cNvSpPr>
          <a:spLocks noChangeAspect="1" noChangeArrowheads="1"/>
        </xdr:cNvSpPr>
      </xdr:nvSpPr>
      <xdr:spPr bwMode="auto">
        <a:xfrm>
          <a:off x="433917" y="112890300"/>
          <a:ext cx="304800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9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9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9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9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9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9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9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9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9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9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0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0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0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0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0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0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0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0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0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0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1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1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1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1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1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1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1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1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1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1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2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2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2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2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2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2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2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2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2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2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3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3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3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3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3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3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3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3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3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3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4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4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4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4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4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4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4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4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4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4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5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5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5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5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5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5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5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5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5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5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6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6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6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6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6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6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6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6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6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6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7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7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7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7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7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7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7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7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7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7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8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8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8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8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8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8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8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8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8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8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9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9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9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9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9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9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9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9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9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29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0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0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0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0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0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0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762</xdr:row>
      <xdr:rowOff>0</xdr:rowOff>
    </xdr:from>
    <xdr:ext cx="304800" cy="223837"/>
    <xdr:sp macro="" textlink="">
      <xdr:nvSpPr>
        <xdr:cNvPr id="306" name="AutoShape 2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762</xdr:row>
      <xdr:rowOff>0</xdr:rowOff>
    </xdr:from>
    <xdr:ext cx="304800" cy="223837"/>
    <xdr:sp macro="" textlink="">
      <xdr:nvSpPr>
        <xdr:cNvPr id="307" name="AutoShape 4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762</xdr:row>
      <xdr:rowOff>0</xdr:rowOff>
    </xdr:from>
    <xdr:ext cx="304800" cy="223837"/>
    <xdr:sp macro="" textlink="">
      <xdr:nvSpPr>
        <xdr:cNvPr id="308" name="AutoShape 5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762</xdr:row>
      <xdr:rowOff>0</xdr:rowOff>
    </xdr:from>
    <xdr:ext cx="304800" cy="223837"/>
    <xdr:sp macro="" textlink="">
      <xdr:nvSpPr>
        <xdr:cNvPr id="309" name="AutoShape 2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10" name="AutoShape 2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11" name="AutoShape 4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12" name="AutoShape 5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13" name="AutoShape 2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14" name="AutoShape 2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15" name="AutoShape 4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16" name="AutoShape 5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17" name="AutoShape 2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18" name="AutoShape 2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19" name="AutoShape 4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20" name="AutoShape 5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826</xdr:row>
      <xdr:rowOff>0</xdr:rowOff>
    </xdr:from>
    <xdr:ext cx="304800" cy="223837"/>
    <xdr:sp macro="" textlink="">
      <xdr:nvSpPr>
        <xdr:cNvPr id="321" name="AutoShape 2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834</xdr:row>
      <xdr:rowOff>0</xdr:rowOff>
    </xdr:from>
    <xdr:ext cx="304800" cy="223837"/>
    <xdr:sp macro="" textlink="">
      <xdr:nvSpPr>
        <xdr:cNvPr id="322" name="AutoShape 2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834</xdr:row>
      <xdr:rowOff>0</xdr:rowOff>
    </xdr:from>
    <xdr:ext cx="304800" cy="223837"/>
    <xdr:sp macro="" textlink="">
      <xdr:nvSpPr>
        <xdr:cNvPr id="323" name="AutoShape 4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834</xdr:row>
      <xdr:rowOff>0</xdr:rowOff>
    </xdr:from>
    <xdr:ext cx="304800" cy="223837"/>
    <xdr:sp macro="" textlink="">
      <xdr:nvSpPr>
        <xdr:cNvPr id="324" name="AutoShape 5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834</xdr:row>
      <xdr:rowOff>0</xdr:rowOff>
    </xdr:from>
    <xdr:ext cx="304800" cy="223837"/>
    <xdr:sp macro="" textlink="">
      <xdr:nvSpPr>
        <xdr:cNvPr id="325" name="AutoShape 2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817</xdr:row>
      <xdr:rowOff>0</xdr:rowOff>
    </xdr:from>
    <xdr:ext cx="304800" cy="223837"/>
    <xdr:sp macro="" textlink="">
      <xdr:nvSpPr>
        <xdr:cNvPr id="326" name="AutoShape 2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817</xdr:row>
      <xdr:rowOff>0</xdr:rowOff>
    </xdr:from>
    <xdr:ext cx="304800" cy="223837"/>
    <xdr:sp macro="" textlink="">
      <xdr:nvSpPr>
        <xdr:cNvPr id="327" name="AutoShape 4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817</xdr:row>
      <xdr:rowOff>0</xdr:rowOff>
    </xdr:from>
    <xdr:ext cx="304800" cy="223837"/>
    <xdr:sp macro="" textlink="">
      <xdr:nvSpPr>
        <xdr:cNvPr id="328" name="AutoShape 5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817</xdr:row>
      <xdr:rowOff>0</xdr:rowOff>
    </xdr:from>
    <xdr:ext cx="304800" cy="223837"/>
    <xdr:sp macro="" textlink="">
      <xdr:nvSpPr>
        <xdr:cNvPr id="329" name="AutoShape 2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819</xdr:row>
      <xdr:rowOff>0</xdr:rowOff>
    </xdr:from>
    <xdr:ext cx="304800" cy="223837"/>
    <xdr:sp macro="" textlink="">
      <xdr:nvSpPr>
        <xdr:cNvPr id="330" name="AutoShape 2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819</xdr:row>
      <xdr:rowOff>0</xdr:rowOff>
    </xdr:from>
    <xdr:ext cx="304800" cy="223837"/>
    <xdr:sp macro="" textlink="">
      <xdr:nvSpPr>
        <xdr:cNvPr id="331" name="AutoShape 4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819</xdr:row>
      <xdr:rowOff>0</xdr:rowOff>
    </xdr:from>
    <xdr:ext cx="304800" cy="223837"/>
    <xdr:sp macro="" textlink="">
      <xdr:nvSpPr>
        <xdr:cNvPr id="332" name="AutoShape 5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819</xdr:row>
      <xdr:rowOff>0</xdr:rowOff>
    </xdr:from>
    <xdr:ext cx="304800" cy="223837"/>
    <xdr:sp macro="" textlink="">
      <xdr:nvSpPr>
        <xdr:cNvPr id="333" name="AutoShape 2"/>
        <xdr:cNvSpPr>
          <a:spLocks noChangeAspect="1" noChangeArrowheads="1"/>
        </xdr:cNvSpPr>
      </xdr:nvSpPr>
      <xdr:spPr bwMode="auto">
        <a:xfrm>
          <a:off x="285750" y="13249275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223837"/>
    <xdr:sp macro="" textlink="">
      <xdr:nvSpPr>
        <xdr:cNvPr id="334" name="AutoShape 2"/>
        <xdr:cNvSpPr>
          <a:spLocks noChangeAspect="1" noChangeArrowheads="1"/>
        </xdr:cNvSpPr>
      </xdr:nvSpPr>
      <xdr:spPr bwMode="auto">
        <a:xfrm>
          <a:off x="285750" y="1355693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223837"/>
    <xdr:sp macro="" textlink="">
      <xdr:nvSpPr>
        <xdr:cNvPr id="335" name="AutoShape 4"/>
        <xdr:cNvSpPr>
          <a:spLocks noChangeAspect="1" noChangeArrowheads="1"/>
        </xdr:cNvSpPr>
      </xdr:nvSpPr>
      <xdr:spPr bwMode="auto">
        <a:xfrm>
          <a:off x="285750" y="1355693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223837"/>
    <xdr:sp macro="" textlink="">
      <xdr:nvSpPr>
        <xdr:cNvPr id="336" name="AutoShape 5"/>
        <xdr:cNvSpPr>
          <a:spLocks noChangeAspect="1" noChangeArrowheads="1"/>
        </xdr:cNvSpPr>
      </xdr:nvSpPr>
      <xdr:spPr bwMode="auto">
        <a:xfrm>
          <a:off x="285750" y="1355693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223837"/>
    <xdr:sp macro="" textlink="">
      <xdr:nvSpPr>
        <xdr:cNvPr id="337" name="AutoShape 2"/>
        <xdr:cNvSpPr>
          <a:spLocks noChangeAspect="1" noChangeArrowheads="1"/>
        </xdr:cNvSpPr>
      </xdr:nvSpPr>
      <xdr:spPr bwMode="auto">
        <a:xfrm>
          <a:off x="285750" y="13556932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338" name="AutoShape 12" descr="Пирамидка 8 дет."/>
        <xdr:cNvSpPr>
          <a:spLocks noChangeAspect="1" noChangeArrowheads="1"/>
        </xdr:cNvSpPr>
      </xdr:nvSpPr>
      <xdr:spPr bwMode="auto">
        <a:xfrm>
          <a:off x="285750" y="1128903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339" name="AutoShape 13" descr="Пирамидка 8 дет."/>
        <xdr:cNvSpPr>
          <a:spLocks noChangeAspect="1" noChangeArrowheads="1"/>
        </xdr:cNvSpPr>
      </xdr:nvSpPr>
      <xdr:spPr bwMode="auto">
        <a:xfrm>
          <a:off x="285750" y="1128903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340" name="AutoShape 28" descr="Стенд информационный Информация, 4 отд., 500х750, красный, настенный  #1"/>
        <xdr:cNvSpPr>
          <a:spLocks noChangeAspect="1" noChangeArrowheads="1"/>
        </xdr:cNvSpPr>
      </xdr:nvSpPr>
      <xdr:spPr bwMode="auto">
        <a:xfrm>
          <a:off x="285750" y="1128903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148167</xdr:colOff>
      <xdr:row>618</xdr:row>
      <xdr:rowOff>0</xdr:rowOff>
    </xdr:from>
    <xdr:ext cx="304800" cy="223838"/>
    <xdr:sp macro="" textlink="">
      <xdr:nvSpPr>
        <xdr:cNvPr id="341" name="AutoShape 1"/>
        <xdr:cNvSpPr>
          <a:spLocks noChangeAspect="1" noChangeArrowheads="1"/>
        </xdr:cNvSpPr>
      </xdr:nvSpPr>
      <xdr:spPr bwMode="auto">
        <a:xfrm>
          <a:off x="433917" y="112890300"/>
          <a:ext cx="304800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4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4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4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4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4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4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4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4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350" name="AutoShape 12" descr="Пирамидка 8 дет."/>
        <xdr:cNvSpPr>
          <a:spLocks noChangeAspect="1" noChangeArrowheads="1"/>
        </xdr:cNvSpPr>
      </xdr:nvSpPr>
      <xdr:spPr bwMode="auto">
        <a:xfrm>
          <a:off x="285750" y="1128903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351" name="AutoShape 13" descr="Пирамидка 8 дет."/>
        <xdr:cNvSpPr>
          <a:spLocks noChangeAspect="1" noChangeArrowheads="1"/>
        </xdr:cNvSpPr>
      </xdr:nvSpPr>
      <xdr:spPr bwMode="auto">
        <a:xfrm>
          <a:off x="285750" y="1128903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352" name="AutoShape 28" descr="Стенд информационный Информация, 4 отд., 500х750, красный, настенный  #1"/>
        <xdr:cNvSpPr>
          <a:spLocks noChangeAspect="1" noChangeArrowheads="1"/>
        </xdr:cNvSpPr>
      </xdr:nvSpPr>
      <xdr:spPr bwMode="auto">
        <a:xfrm>
          <a:off x="285750" y="1128903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148167</xdr:colOff>
      <xdr:row>618</xdr:row>
      <xdr:rowOff>0</xdr:rowOff>
    </xdr:from>
    <xdr:ext cx="304800" cy="223838"/>
    <xdr:sp macro="" textlink="">
      <xdr:nvSpPr>
        <xdr:cNvPr id="353" name="AutoShape 1"/>
        <xdr:cNvSpPr>
          <a:spLocks noChangeAspect="1" noChangeArrowheads="1"/>
        </xdr:cNvSpPr>
      </xdr:nvSpPr>
      <xdr:spPr bwMode="auto">
        <a:xfrm>
          <a:off x="433917" y="112890300"/>
          <a:ext cx="304800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5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5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5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5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5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5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6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6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6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6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6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6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6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6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6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6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7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7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7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7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7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7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7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7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7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7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8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8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8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8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8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8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8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8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8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8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9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9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9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9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9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9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9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39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398" name="AutoShape 12" descr="Пирамидка 8 дет."/>
        <xdr:cNvSpPr>
          <a:spLocks noChangeAspect="1" noChangeArrowheads="1"/>
        </xdr:cNvSpPr>
      </xdr:nvSpPr>
      <xdr:spPr bwMode="auto">
        <a:xfrm>
          <a:off x="285750" y="1128903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399" name="AutoShape 13" descr="Пирамидка 8 дет."/>
        <xdr:cNvSpPr>
          <a:spLocks noChangeAspect="1" noChangeArrowheads="1"/>
        </xdr:cNvSpPr>
      </xdr:nvSpPr>
      <xdr:spPr bwMode="auto">
        <a:xfrm>
          <a:off x="285750" y="1128903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400" name="AutoShape 28" descr="Стенд информационный Информация, 4 отд., 500х750, красный, настенный  #1"/>
        <xdr:cNvSpPr>
          <a:spLocks noChangeAspect="1" noChangeArrowheads="1"/>
        </xdr:cNvSpPr>
      </xdr:nvSpPr>
      <xdr:spPr bwMode="auto">
        <a:xfrm>
          <a:off x="285750" y="1128903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148167</xdr:colOff>
      <xdr:row>618</xdr:row>
      <xdr:rowOff>0</xdr:rowOff>
    </xdr:from>
    <xdr:ext cx="304800" cy="223838"/>
    <xdr:sp macro="" textlink="">
      <xdr:nvSpPr>
        <xdr:cNvPr id="401" name="AutoShape 1"/>
        <xdr:cNvSpPr>
          <a:spLocks noChangeAspect="1" noChangeArrowheads="1"/>
        </xdr:cNvSpPr>
      </xdr:nvSpPr>
      <xdr:spPr bwMode="auto">
        <a:xfrm>
          <a:off x="433917" y="112890300"/>
          <a:ext cx="304800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0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0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0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0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0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0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0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0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410" name="AutoShape 12" descr="Пирамидка 8 дет."/>
        <xdr:cNvSpPr>
          <a:spLocks noChangeAspect="1" noChangeArrowheads="1"/>
        </xdr:cNvSpPr>
      </xdr:nvSpPr>
      <xdr:spPr bwMode="auto">
        <a:xfrm>
          <a:off x="285750" y="1128903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411" name="AutoShape 13" descr="Пирамидка 8 дет."/>
        <xdr:cNvSpPr>
          <a:spLocks noChangeAspect="1" noChangeArrowheads="1"/>
        </xdr:cNvSpPr>
      </xdr:nvSpPr>
      <xdr:spPr bwMode="auto">
        <a:xfrm>
          <a:off x="285750" y="1128903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14312"/>
    <xdr:sp macro="" textlink="">
      <xdr:nvSpPr>
        <xdr:cNvPr id="412" name="AutoShape 28" descr="Стенд информационный Информация, 4 отд., 500х750, красный, настенный  #1"/>
        <xdr:cNvSpPr>
          <a:spLocks noChangeAspect="1" noChangeArrowheads="1"/>
        </xdr:cNvSpPr>
      </xdr:nvSpPr>
      <xdr:spPr bwMode="auto">
        <a:xfrm>
          <a:off x="285750" y="112890300"/>
          <a:ext cx="3048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148167</xdr:colOff>
      <xdr:row>618</xdr:row>
      <xdr:rowOff>0</xdr:rowOff>
    </xdr:from>
    <xdr:ext cx="304800" cy="223838"/>
    <xdr:sp macro="" textlink="">
      <xdr:nvSpPr>
        <xdr:cNvPr id="413" name="AutoShape 1"/>
        <xdr:cNvSpPr>
          <a:spLocks noChangeAspect="1" noChangeArrowheads="1"/>
        </xdr:cNvSpPr>
      </xdr:nvSpPr>
      <xdr:spPr bwMode="auto">
        <a:xfrm>
          <a:off x="433917" y="112890300"/>
          <a:ext cx="304800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1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1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1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1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1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1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2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2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2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2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2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2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2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2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2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2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3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3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3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3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3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3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3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3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3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3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4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4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4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4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4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4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4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4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4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4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5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5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5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5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5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5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5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5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5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5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6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6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6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6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6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6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6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6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6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6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7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7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7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7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7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7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7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7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7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7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8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8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8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8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8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8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8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8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8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8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9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9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9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9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9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9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9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9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9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49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0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0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0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0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0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0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0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0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0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0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1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1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1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1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1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1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1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1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1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1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2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2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2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2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2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2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2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2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2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2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3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3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3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3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3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3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3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3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3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3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4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4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4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4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4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4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4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4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4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4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5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5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5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5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5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5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5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5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5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5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6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6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6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6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6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6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6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6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6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6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7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7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7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7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7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7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7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7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7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7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8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8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8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8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8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8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8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8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8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8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9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9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9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9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9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9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9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9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9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59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0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0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0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0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0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0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0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0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0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0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1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1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1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1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1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1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1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1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1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1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2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2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2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2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2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2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2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2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2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2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3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3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3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3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3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3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3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3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3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3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4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4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4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4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4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4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4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4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4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4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5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5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5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5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5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5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5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5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5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5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6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6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6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6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6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6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6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6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6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6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7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7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7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67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74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75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76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77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78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79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80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81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82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83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84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85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86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87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88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89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90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91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92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93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94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95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96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97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98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699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00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01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02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03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04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05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06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07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08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09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10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11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12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13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14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15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16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17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18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19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20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21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22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23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24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25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26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27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28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29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30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31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32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33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34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35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36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37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38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39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40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41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42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43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44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45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46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47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48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49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50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51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52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53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54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55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56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57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58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59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60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61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62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63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64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65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66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67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68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69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70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71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72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73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74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75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76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77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78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79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80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81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82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83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84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85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86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87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88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89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90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91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92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93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94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95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96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97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98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799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00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01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02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03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04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05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06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07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08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09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10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11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12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13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14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15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16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17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18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19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20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21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22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23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24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25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26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27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28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29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30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31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32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33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34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35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36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37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38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39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40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41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42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43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44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45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46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47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48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49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50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51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52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53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54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55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56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57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58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59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60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61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62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63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64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65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66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67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68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69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70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71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72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73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74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75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76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77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78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79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80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81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82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83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84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85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86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87" name="AutoShape 4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88" name="AutoShape 5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879</xdr:row>
      <xdr:rowOff>0</xdr:rowOff>
    </xdr:from>
    <xdr:ext cx="304800" cy="223837"/>
    <xdr:sp macro="" textlink="">
      <xdr:nvSpPr>
        <xdr:cNvPr id="889" name="AutoShape 2"/>
        <xdr:cNvSpPr>
          <a:spLocks noChangeAspect="1" noChangeArrowheads="1"/>
        </xdr:cNvSpPr>
      </xdr:nvSpPr>
      <xdr:spPr bwMode="auto">
        <a:xfrm>
          <a:off x="285750" y="137874375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89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89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89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89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89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89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89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89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89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89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0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0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0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0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0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0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0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0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0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0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1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1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1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1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1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1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1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1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1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1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2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2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2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2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2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2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2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2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2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2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3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3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3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3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3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3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3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3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3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3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4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4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4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4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4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4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46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47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48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49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50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51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52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53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54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55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56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57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5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5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6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96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718</xdr:row>
      <xdr:rowOff>0</xdr:rowOff>
    </xdr:from>
    <xdr:ext cx="304800" cy="414337"/>
    <xdr:sp macro="" textlink="">
      <xdr:nvSpPr>
        <xdr:cNvPr id="962" name="AutoShape 2"/>
        <xdr:cNvSpPr>
          <a:spLocks noChangeAspect="1" noChangeArrowheads="1"/>
        </xdr:cNvSpPr>
      </xdr:nvSpPr>
      <xdr:spPr bwMode="auto">
        <a:xfrm>
          <a:off x="285750" y="125844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718</xdr:row>
      <xdr:rowOff>0</xdr:rowOff>
    </xdr:from>
    <xdr:ext cx="304800" cy="414337"/>
    <xdr:sp macro="" textlink="">
      <xdr:nvSpPr>
        <xdr:cNvPr id="963" name="AutoShape 4"/>
        <xdr:cNvSpPr>
          <a:spLocks noChangeAspect="1" noChangeArrowheads="1"/>
        </xdr:cNvSpPr>
      </xdr:nvSpPr>
      <xdr:spPr bwMode="auto">
        <a:xfrm>
          <a:off x="285750" y="125844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718</xdr:row>
      <xdr:rowOff>0</xdr:rowOff>
    </xdr:from>
    <xdr:ext cx="304800" cy="414337"/>
    <xdr:sp macro="" textlink="">
      <xdr:nvSpPr>
        <xdr:cNvPr id="964" name="AutoShape 5"/>
        <xdr:cNvSpPr>
          <a:spLocks noChangeAspect="1" noChangeArrowheads="1"/>
        </xdr:cNvSpPr>
      </xdr:nvSpPr>
      <xdr:spPr bwMode="auto">
        <a:xfrm>
          <a:off x="285750" y="125844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718</xdr:row>
      <xdr:rowOff>0</xdr:rowOff>
    </xdr:from>
    <xdr:ext cx="304800" cy="414337"/>
    <xdr:sp macro="" textlink="">
      <xdr:nvSpPr>
        <xdr:cNvPr id="965" name="AutoShape 2"/>
        <xdr:cNvSpPr>
          <a:spLocks noChangeAspect="1" noChangeArrowheads="1"/>
        </xdr:cNvSpPr>
      </xdr:nvSpPr>
      <xdr:spPr bwMode="auto">
        <a:xfrm>
          <a:off x="285750" y="125844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718</xdr:row>
      <xdr:rowOff>0</xdr:rowOff>
    </xdr:from>
    <xdr:ext cx="304800" cy="414337"/>
    <xdr:sp macro="" textlink="">
      <xdr:nvSpPr>
        <xdr:cNvPr id="966" name="AutoShape 2"/>
        <xdr:cNvSpPr>
          <a:spLocks noChangeAspect="1" noChangeArrowheads="1"/>
        </xdr:cNvSpPr>
      </xdr:nvSpPr>
      <xdr:spPr bwMode="auto">
        <a:xfrm>
          <a:off x="285750" y="125844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718</xdr:row>
      <xdr:rowOff>0</xdr:rowOff>
    </xdr:from>
    <xdr:ext cx="304800" cy="414337"/>
    <xdr:sp macro="" textlink="">
      <xdr:nvSpPr>
        <xdr:cNvPr id="967" name="AutoShape 4"/>
        <xdr:cNvSpPr>
          <a:spLocks noChangeAspect="1" noChangeArrowheads="1"/>
        </xdr:cNvSpPr>
      </xdr:nvSpPr>
      <xdr:spPr bwMode="auto">
        <a:xfrm>
          <a:off x="285750" y="125844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718</xdr:row>
      <xdr:rowOff>0</xdr:rowOff>
    </xdr:from>
    <xdr:ext cx="304800" cy="414337"/>
    <xdr:sp macro="" textlink="">
      <xdr:nvSpPr>
        <xdr:cNvPr id="968" name="AutoShape 5"/>
        <xdr:cNvSpPr>
          <a:spLocks noChangeAspect="1" noChangeArrowheads="1"/>
        </xdr:cNvSpPr>
      </xdr:nvSpPr>
      <xdr:spPr bwMode="auto">
        <a:xfrm>
          <a:off x="285750" y="125844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718</xdr:row>
      <xdr:rowOff>0</xdr:rowOff>
    </xdr:from>
    <xdr:ext cx="304800" cy="414337"/>
    <xdr:sp macro="" textlink="">
      <xdr:nvSpPr>
        <xdr:cNvPr id="969" name="AutoShape 2"/>
        <xdr:cNvSpPr>
          <a:spLocks noChangeAspect="1" noChangeArrowheads="1"/>
        </xdr:cNvSpPr>
      </xdr:nvSpPr>
      <xdr:spPr bwMode="auto">
        <a:xfrm>
          <a:off x="285750" y="125844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718</xdr:row>
      <xdr:rowOff>0</xdr:rowOff>
    </xdr:from>
    <xdr:ext cx="304800" cy="414337"/>
    <xdr:sp macro="" textlink="">
      <xdr:nvSpPr>
        <xdr:cNvPr id="970" name="AutoShape 2"/>
        <xdr:cNvSpPr>
          <a:spLocks noChangeAspect="1" noChangeArrowheads="1"/>
        </xdr:cNvSpPr>
      </xdr:nvSpPr>
      <xdr:spPr bwMode="auto">
        <a:xfrm>
          <a:off x="285750" y="125844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718</xdr:row>
      <xdr:rowOff>0</xdr:rowOff>
    </xdr:from>
    <xdr:ext cx="304800" cy="414337"/>
    <xdr:sp macro="" textlink="">
      <xdr:nvSpPr>
        <xdr:cNvPr id="971" name="AutoShape 4"/>
        <xdr:cNvSpPr>
          <a:spLocks noChangeAspect="1" noChangeArrowheads="1"/>
        </xdr:cNvSpPr>
      </xdr:nvSpPr>
      <xdr:spPr bwMode="auto">
        <a:xfrm>
          <a:off x="285750" y="125844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718</xdr:row>
      <xdr:rowOff>0</xdr:rowOff>
    </xdr:from>
    <xdr:ext cx="304800" cy="414337"/>
    <xdr:sp macro="" textlink="">
      <xdr:nvSpPr>
        <xdr:cNvPr id="972" name="AutoShape 5"/>
        <xdr:cNvSpPr>
          <a:spLocks noChangeAspect="1" noChangeArrowheads="1"/>
        </xdr:cNvSpPr>
      </xdr:nvSpPr>
      <xdr:spPr bwMode="auto">
        <a:xfrm>
          <a:off x="285750" y="125844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718</xdr:row>
      <xdr:rowOff>0</xdr:rowOff>
    </xdr:from>
    <xdr:ext cx="304800" cy="414337"/>
    <xdr:sp macro="" textlink="">
      <xdr:nvSpPr>
        <xdr:cNvPr id="973" name="AutoShape 2"/>
        <xdr:cNvSpPr>
          <a:spLocks noChangeAspect="1" noChangeArrowheads="1"/>
        </xdr:cNvSpPr>
      </xdr:nvSpPr>
      <xdr:spPr bwMode="auto">
        <a:xfrm>
          <a:off x="285750" y="125844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717</xdr:row>
      <xdr:rowOff>0</xdr:rowOff>
    </xdr:from>
    <xdr:ext cx="304800" cy="414337"/>
    <xdr:sp macro="" textlink="">
      <xdr:nvSpPr>
        <xdr:cNvPr id="974" name="AutoShape 2"/>
        <xdr:cNvSpPr>
          <a:spLocks noChangeAspect="1" noChangeArrowheads="1"/>
        </xdr:cNvSpPr>
      </xdr:nvSpPr>
      <xdr:spPr bwMode="auto">
        <a:xfrm>
          <a:off x="285750" y="1256538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717</xdr:row>
      <xdr:rowOff>0</xdr:rowOff>
    </xdr:from>
    <xdr:ext cx="304800" cy="414337"/>
    <xdr:sp macro="" textlink="">
      <xdr:nvSpPr>
        <xdr:cNvPr id="975" name="AutoShape 4"/>
        <xdr:cNvSpPr>
          <a:spLocks noChangeAspect="1" noChangeArrowheads="1"/>
        </xdr:cNvSpPr>
      </xdr:nvSpPr>
      <xdr:spPr bwMode="auto">
        <a:xfrm>
          <a:off x="285750" y="1256538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717</xdr:row>
      <xdr:rowOff>0</xdr:rowOff>
    </xdr:from>
    <xdr:ext cx="304800" cy="414337"/>
    <xdr:sp macro="" textlink="">
      <xdr:nvSpPr>
        <xdr:cNvPr id="976" name="AutoShape 5"/>
        <xdr:cNvSpPr>
          <a:spLocks noChangeAspect="1" noChangeArrowheads="1"/>
        </xdr:cNvSpPr>
      </xdr:nvSpPr>
      <xdr:spPr bwMode="auto">
        <a:xfrm>
          <a:off x="285750" y="1256538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717</xdr:row>
      <xdr:rowOff>0</xdr:rowOff>
    </xdr:from>
    <xdr:ext cx="304800" cy="414337"/>
    <xdr:sp macro="" textlink="">
      <xdr:nvSpPr>
        <xdr:cNvPr id="977" name="AutoShape 2"/>
        <xdr:cNvSpPr>
          <a:spLocks noChangeAspect="1" noChangeArrowheads="1"/>
        </xdr:cNvSpPr>
      </xdr:nvSpPr>
      <xdr:spPr bwMode="auto">
        <a:xfrm>
          <a:off x="285750" y="1256538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717</xdr:row>
      <xdr:rowOff>0</xdr:rowOff>
    </xdr:from>
    <xdr:ext cx="304800" cy="414337"/>
    <xdr:sp macro="" textlink="">
      <xdr:nvSpPr>
        <xdr:cNvPr id="978" name="AutoShape 2"/>
        <xdr:cNvSpPr>
          <a:spLocks noChangeAspect="1" noChangeArrowheads="1"/>
        </xdr:cNvSpPr>
      </xdr:nvSpPr>
      <xdr:spPr bwMode="auto">
        <a:xfrm>
          <a:off x="285750" y="1256538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717</xdr:row>
      <xdr:rowOff>0</xdr:rowOff>
    </xdr:from>
    <xdr:ext cx="304800" cy="414337"/>
    <xdr:sp macro="" textlink="">
      <xdr:nvSpPr>
        <xdr:cNvPr id="979" name="AutoShape 4"/>
        <xdr:cNvSpPr>
          <a:spLocks noChangeAspect="1" noChangeArrowheads="1"/>
        </xdr:cNvSpPr>
      </xdr:nvSpPr>
      <xdr:spPr bwMode="auto">
        <a:xfrm>
          <a:off x="285750" y="1256538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717</xdr:row>
      <xdr:rowOff>0</xdr:rowOff>
    </xdr:from>
    <xdr:ext cx="304800" cy="414337"/>
    <xdr:sp macro="" textlink="">
      <xdr:nvSpPr>
        <xdr:cNvPr id="980" name="AutoShape 5"/>
        <xdr:cNvSpPr>
          <a:spLocks noChangeAspect="1" noChangeArrowheads="1"/>
        </xdr:cNvSpPr>
      </xdr:nvSpPr>
      <xdr:spPr bwMode="auto">
        <a:xfrm>
          <a:off x="285750" y="1256538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717</xdr:row>
      <xdr:rowOff>0</xdr:rowOff>
    </xdr:from>
    <xdr:ext cx="304800" cy="414337"/>
    <xdr:sp macro="" textlink="">
      <xdr:nvSpPr>
        <xdr:cNvPr id="981" name="AutoShape 2"/>
        <xdr:cNvSpPr>
          <a:spLocks noChangeAspect="1" noChangeArrowheads="1"/>
        </xdr:cNvSpPr>
      </xdr:nvSpPr>
      <xdr:spPr bwMode="auto">
        <a:xfrm>
          <a:off x="285750" y="1256538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717</xdr:row>
      <xdr:rowOff>0</xdr:rowOff>
    </xdr:from>
    <xdr:ext cx="304800" cy="414337"/>
    <xdr:sp macro="" textlink="">
      <xdr:nvSpPr>
        <xdr:cNvPr id="982" name="AutoShape 2"/>
        <xdr:cNvSpPr>
          <a:spLocks noChangeAspect="1" noChangeArrowheads="1"/>
        </xdr:cNvSpPr>
      </xdr:nvSpPr>
      <xdr:spPr bwMode="auto">
        <a:xfrm>
          <a:off x="285750" y="1256538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717</xdr:row>
      <xdr:rowOff>0</xdr:rowOff>
    </xdr:from>
    <xdr:ext cx="304800" cy="414337"/>
    <xdr:sp macro="" textlink="">
      <xdr:nvSpPr>
        <xdr:cNvPr id="983" name="AutoShape 4"/>
        <xdr:cNvSpPr>
          <a:spLocks noChangeAspect="1" noChangeArrowheads="1"/>
        </xdr:cNvSpPr>
      </xdr:nvSpPr>
      <xdr:spPr bwMode="auto">
        <a:xfrm>
          <a:off x="285750" y="1256538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717</xdr:row>
      <xdr:rowOff>0</xdr:rowOff>
    </xdr:from>
    <xdr:ext cx="304800" cy="414337"/>
    <xdr:sp macro="" textlink="">
      <xdr:nvSpPr>
        <xdr:cNvPr id="984" name="AutoShape 5"/>
        <xdr:cNvSpPr>
          <a:spLocks noChangeAspect="1" noChangeArrowheads="1"/>
        </xdr:cNvSpPr>
      </xdr:nvSpPr>
      <xdr:spPr bwMode="auto">
        <a:xfrm>
          <a:off x="285750" y="1256538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717</xdr:row>
      <xdr:rowOff>0</xdr:rowOff>
    </xdr:from>
    <xdr:ext cx="304800" cy="414337"/>
    <xdr:sp macro="" textlink="">
      <xdr:nvSpPr>
        <xdr:cNvPr id="985" name="AutoShape 2"/>
        <xdr:cNvSpPr>
          <a:spLocks noChangeAspect="1" noChangeArrowheads="1"/>
        </xdr:cNvSpPr>
      </xdr:nvSpPr>
      <xdr:spPr bwMode="auto">
        <a:xfrm>
          <a:off x="285750" y="1256538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986" name="AutoShape 2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987" name="AutoShape 4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988" name="AutoShape 5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989" name="AutoShape 2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990" name="AutoShape 2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991" name="AutoShape 4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992" name="AutoShape 5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993" name="AutoShape 2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994" name="AutoShape 2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995" name="AutoShape 4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996" name="AutoShape 5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997" name="AutoShape 2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998" name="AutoShape 2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999" name="AutoShape 4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00" name="AutoShape 5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01" name="AutoShape 2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02" name="AutoShape 2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03" name="AutoShape 4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04" name="AutoShape 5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05" name="AutoShape 2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06" name="AutoShape 2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07" name="AutoShape 4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08" name="AutoShape 5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09" name="AutoShape 2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10" name="AutoShape 2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11" name="AutoShape 4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12" name="AutoShape 5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13" name="AutoShape 2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14" name="AutoShape 2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15" name="AutoShape 4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16" name="AutoShape 5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17" name="AutoShape 2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18" name="AutoShape 2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19" name="AutoShape 4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20" name="AutoShape 5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689</xdr:row>
      <xdr:rowOff>0</xdr:rowOff>
    </xdr:from>
    <xdr:ext cx="304800" cy="414337"/>
    <xdr:sp macro="" textlink="">
      <xdr:nvSpPr>
        <xdr:cNvPr id="1021" name="AutoShape 2"/>
        <xdr:cNvSpPr>
          <a:spLocks noChangeAspect="1" noChangeArrowheads="1"/>
        </xdr:cNvSpPr>
      </xdr:nvSpPr>
      <xdr:spPr bwMode="auto">
        <a:xfrm>
          <a:off x="285750" y="1201293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645</xdr:row>
      <xdr:rowOff>0</xdr:rowOff>
    </xdr:from>
    <xdr:ext cx="304800" cy="223837"/>
    <xdr:sp macro="" textlink="">
      <xdr:nvSpPr>
        <xdr:cNvPr id="1022" name="AutoShape 2"/>
        <xdr:cNvSpPr>
          <a:spLocks noChangeAspect="1" noChangeArrowheads="1"/>
        </xdr:cNvSpPr>
      </xdr:nvSpPr>
      <xdr:spPr bwMode="auto">
        <a:xfrm>
          <a:off x="285750" y="1134618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645</xdr:row>
      <xdr:rowOff>0</xdr:rowOff>
    </xdr:from>
    <xdr:ext cx="304800" cy="223837"/>
    <xdr:sp macro="" textlink="">
      <xdr:nvSpPr>
        <xdr:cNvPr id="1023" name="AutoShape 4"/>
        <xdr:cNvSpPr>
          <a:spLocks noChangeAspect="1" noChangeArrowheads="1"/>
        </xdr:cNvSpPr>
      </xdr:nvSpPr>
      <xdr:spPr bwMode="auto">
        <a:xfrm>
          <a:off x="285750" y="1134618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645</xdr:row>
      <xdr:rowOff>0</xdr:rowOff>
    </xdr:from>
    <xdr:ext cx="304800" cy="223837"/>
    <xdr:sp macro="" textlink="">
      <xdr:nvSpPr>
        <xdr:cNvPr id="1024" name="AutoShape 5"/>
        <xdr:cNvSpPr>
          <a:spLocks noChangeAspect="1" noChangeArrowheads="1"/>
        </xdr:cNvSpPr>
      </xdr:nvSpPr>
      <xdr:spPr bwMode="auto">
        <a:xfrm>
          <a:off x="285750" y="1134618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645</xdr:row>
      <xdr:rowOff>0</xdr:rowOff>
    </xdr:from>
    <xdr:ext cx="304800" cy="223837"/>
    <xdr:sp macro="" textlink="">
      <xdr:nvSpPr>
        <xdr:cNvPr id="1025" name="AutoShape 2"/>
        <xdr:cNvSpPr>
          <a:spLocks noChangeAspect="1" noChangeArrowheads="1"/>
        </xdr:cNvSpPr>
      </xdr:nvSpPr>
      <xdr:spPr bwMode="auto">
        <a:xfrm>
          <a:off x="285750" y="1134618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645</xdr:row>
      <xdr:rowOff>0</xdr:rowOff>
    </xdr:from>
    <xdr:ext cx="304800" cy="223837"/>
    <xdr:sp macro="" textlink="">
      <xdr:nvSpPr>
        <xdr:cNvPr id="1026" name="AutoShape 2"/>
        <xdr:cNvSpPr>
          <a:spLocks noChangeAspect="1" noChangeArrowheads="1"/>
        </xdr:cNvSpPr>
      </xdr:nvSpPr>
      <xdr:spPr bwMode="auto">
        <a:xfrm>
          <a:off x="285750" y="1134618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645</xdr:row>
      <xdr:rowOff>0</xdr:rowOff>
    </xdr:from>
    <xdr:ext cx="304800" cy="223837"/>
    <xdr:sp macro="" textlink="">
      <xdr:nvSpPr>
        <xdr:cNvPr id="1027" name="AutoShape 4"/>
        <xdr:cNvSpPr>
          <a:spLocks noChangeAspect="1" noChangeArrowheads="1"/>
        </xdr:cNvSpPr>
      </xdr:nvSpPr>
      <xdr:spPr bwMode="auto">
        <a:xfrm>
          <a:off x="285750" y="1134618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645</xdr:row>
      <xdr:rowOff>0</xdr:rowOff>
    </xdr:from>
    <xdr:ext cx="304800" cy="223837"/>
    <xdr:sp macro="" textlink="">
      <xdr:nvSpPr>
        <xdr:cNvPr id="1028" name="AutoShape 5"/>
        <xdr:cNvSpPr>
          <a:spLocks noChangeAspect="1" noChangeArrowheads="1"/>
        </xdr:cNvSpPr>
      </xdr:nvSpPr>
      <xdr:spPr bwMode="auto">
        <a:xfrm>
          <a:off x="285750" y="1134618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645</xdr:row>
      <xdr:rowOff>0</xdr:rowOff>
    </xdr:from>
    <xdr:ext cx="304800" cy="223837"/>
    <xdr:sp macro="" textlink="">
      <xdr:nvSpPr>
        <xdr:cNvPr id="1029" name="AutoShape 2"/>
        <xdr:cNvSpPr>
          <a:spLocks noChangeAspect="1" noChangeArrowheads="1"/>
        </xdr:cNvSpPr>
      </xdr:nvSpPr>
      <xdr:spPr bwMode="auto">
        <a:xfrm>
          <a:off x="285750" y="1134618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645</xdr:row>
      <xdr:rowOff>0</xdr:rowOff>
    </xdr:from>
    <xdr:ext cx="304800" cy="414337"/>
    <xdr:sp macro="" textlink="">
      <xdr:nvSpPr>
        <xdr:cNvPr id="1030" name="AutoShape 2"/>
        <xdr:cNvSpPr>
          <a:spLocks noChangeAspect="1" noChangeArrowheads="1"/>
        </xdr:cNvSpPr>
      </xdr:nvSpPr>
      <xdr:spPr bwMode="auto">
        <a:xfrm>
          <a:off x="285750" y="1134618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645</xdr:row>
      <xdr:rowOff>0</xdr:rowOff>
    </xdr:from>
    <xdr:ext cx="304800" cy="414337"/>
    <xdr:sp macro="" textlink="">
      <xdr:nvSpPr>
        <xdr:cNvPr id="1031" name="AutoShape 4"/>
        <xdr:cNvSpPr>
          <a:spLocks noChangeAspect="1" noChangeArrowheads="1"/>
        </xdr:cNvSpPr>
      </xdr:nvSpPr>
      <xdr:spPr bwMode="auto">
        <a:xfrm>
          <a:off x="285750" y="1134618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645</xdr:row>
      <xdr:rowOff>0</xdr:rowOff>
    </xdr:from>
    <xdr:ext cx="304800" cy="414337"/>
    <xdr:sp macro="" textlink="">
      <xdr:nvSpPr>
        <xdr:cNvPr id="1032" name="AutoShape 5"/>
        <xdr:cNvSpPr>
          <a:spLocks noChangeAspect="1" noChangeArrowheads="1"/>
        </xdr:cNvSpPr>
      </xdr:nvSpPr>
      <xdr:spPr bwMode="auto">
        <a:xfrm>
          <a:off x="285750" y="1134618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645</xdr:row>
      <xdr:rowOff>0</xdr:rowOff>
    </xdr:from>
    <xdr:ext cx="304800" cy="414337"/>
    <xdr:sp macro="" textlink="">
      <xdr:nvSpPr>
        <xdr:cNvPr id="1033" name="AutoShape 2"/>
        <xdr:cNvSpPr>
          <a:spLocks noChangeAspect="1" noChangeArrowheads="1"/>
        </xdr:cNvSpPr>
      </xdr:nvSpPr>
      <xdr:spPr bwMode="auto">
        <a:xfrm>
          <a:off x="285750" y="113461800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647</xdr:row>
      <xdr:rowOff>0</xdr:rowOff>
    </xdr:from>
    <xdr:ext cx="304800" cy="223837"/>
    <xdr:sp macro="" textlink="">
      <xdr:nvSpPr>
        <xdr:cNvPr id="1034" name="AutoShape 2"/>
        <xdr:cNvSpPr>
          <a:spLocks noChangeAspect="1" noChangeArrowheads="1"/>
        </xdr:cNvSpPr>
      </xdr:nvSpPr>
      <xdr:spPr bwMode="auto">
        <a:xfrm>
          <a:off x="285750" y="1138428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647</xdr:row>
      <xdr:rowOff>0</xdr:rowOff>
    </xdr:from>
    <xdr:ext cx="304800" cy="223837"/>
    <xdr:sp macro="" textlink="">
      <xdr:nvSpPr>
        <xdr:cNvPr id="1035" name="AutoShape 4"/>
        <xdr:cNvSpPr>
          <a:spLocks noChangeAspect="1" noChangeArrowheads="1"/>
        </xdr:cNvSpPr>
      </xdr:nvSpPr>
      <xdr:spPr bwMode="auto">
        <a:xfrm>
          <a:off x="285750" y="1138428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647</xdr:row>
      <xdr:rowOff>0</xdr:rowOff>
    </xdr:from>
    <xdr:ext cx="304800" cy="223837"/>
    <xdr:sp macro="" textlink="">
      <xdr:nvSpPr>
        <xdr:cNvPr id="1036" name="AutoShape 5"/>
        <xdr:cNvSpPr>
          <a:spLocks noChangeAspect="1" noChangeArrowheads="1"/>
        </xdr:cNvSpPr>
      </xdr:nvSpPr>
      <xdr:spPr bwMode="auto">
        <a:xfrm>
          <a:off x="285750" y="1138428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647</xdr:row>
      <xdr:rowOff>0</xdr:rowOff>
    </xdr:from>
    <xdr:ext cx="304800" cy="223837"/>
    <xdr:sp macro="" textlink="">
      <xdr:nvSpPr>
        <xdr:cNvPr id="1037" name="AutoShape 2"/>
        <xdr:cNvSpPr>
          <a:spLocks noChangeAspect="1" noChangeArrowheads="1"/>
        </xdr:cNvSpPr>
      </xdr:nvSpPr>
      <xdr:spPr bwMode="auto">
        <a:xfrm>
          <a:off x="285750" y="1138428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38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39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40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41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42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43" name="AutoShape 4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44" name="AutoShape 5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618</xdr:row>
      <xdr:rowOff>0</xdr:rowOff>
    </xdr:from>
    <xdr:ext cx="304800" cy="223837"/>
    <xdr:sp macro="" textlink="">
      <xdr:nvSpPr>
        <xdr:cNvPr id="1045" name="AutoShape 2"/>
        <xdr:cNvSpPr>
          <a:spLocks noChangeAspect="1" noChangeArrowheads="1"/>
        </xdr:cNvSpPr>
      </xdr:nvSpPr>
      <xdr:spPr bwMode="auto">
        <a:xfrm>
          <a:off x="285750" y="112890300"/>
          <a:ext cx="3048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46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47" name="AutoShape 4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48" name="AutoShape 5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49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50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51" name="AutoShape 4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52" name="AutoShape 5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53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54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55" name="AutoShape 4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56" name="AutoShape 5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57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58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59" name="AutoShape 4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60" name="AutoShape 5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61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62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63" name="AutoShape 4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64" name="AutoShape 5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65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66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67" name="AutoShape 4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68" name="AutoShape 5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69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70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71" name="AutoShape 4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72" name="AutoShape 5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73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74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75" name="AutoShape 4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76" name="AutoShape 5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77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78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79" name="AutoShape 4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80" name="AutoShape 5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81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82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83" name="AutoShape 4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84" name="AutoShape 5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85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86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87" name="AutoShape 4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88" name="AutoShape 5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89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90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91" name="AutoShape 4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92" name="AutoShape 5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93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94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95" name="AutoShape 4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96" name="AutoShape 5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97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98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099" name="AutoShape 4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100" name="AutoShape 5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101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102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103" name="AutoShape 4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104" name="AutoShape 5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105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106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107" name="AutoShape 4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108" name="AutoShape 5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109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110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111" name="AutoShape 4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112" name="AutoShape 5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856</xdr:row>
      <xdr:rowOff>0</xdr:rowOff>
    </xdr:from>
    <xdr:ext cx="304800" cy="414337"/>
    <xdr:sp macro="" textlink="">
      <xdr:nvSpPr>
        <xdr:cNvPr id="1113" name="AutoShape 2"/>
        <xdr:cNvSpPr>
          <a:spLocks noChangeAspect="1" noChangeArrowheads="1"/>
        </xdr:cNvSpPr>
      </xdr:nvSpPr>
      <xdr:spPr bwMode="auto">
        <a:xfrm>
          <a:off x="285750" y="13556932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14" name="AutoShape 2"/>
        <xdr:cNvSpPr>
          <a:spLocks noChangeAspect="1" noChangeArrowheads="1"/>
        </xdr:cNvSpPr>
      </xdr:nvSpPr>
      <xdr:spPr bwMode="auto">
        <a:xfrm>
          <a:off x="285750" y="137874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15" name="AutoShape 4"/>
        <xdr:cNvSpPr>
          <a:spLocks noChangeAspect="1" noChangeArrowheads="1"/>
        </xdr:cNvSpPr>
      </xdr:nvSpPr>
      <xdr:spPr bwMode="auto">
        <a:xfrm>
          <a:off x="285750" y="137874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16" name="AutoShape 5"/>
        <xdr:cNvSpPr>
          <a:spLocks noChangeAspect="1" noChangeArrowheads="1"/>
        </xdr:cNvSpPr>
      </xdr:nvSpPr>
      <xdr:spPr bwMode="auto">
        <a:xfrm>
          <a:off x="285750" y="137874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17" name="AutoShape 2"/>
        <xdr:cNvSpPr>
          <a:spLocks noChangeAspect="1" noChangeArrowheads="1"/>
        </xdr:cNvSpPr>
      </xdr:nvSpPr>
      <xdr:spPr bwMode="auto">
        <a:xfrm>
          <a:off x="285750" y="137874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18" name="AutoShape 2"/>
        <xdr:cNvSpPr>
          <a:spLocks noChangeAspect="1" noChangeArrowheads="1"/>
        </xdr:cNvSpPr>
      </xdr:nvSpPr>
      <xdr:spPr bwMode="auto">
        <a:xfrm>
          <a:off x="285750" y="137874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19" name="AutoShape 4"/>
        <xdr:cNvSpPr>
          <a:spLocks noChangeAspect="1" noChangeArrowheads="1"/>
        </xdr:cNvSpPr>
      </xdr:nvSpPr>
      <xdr:spPr bwMode="auto">
        <a:xfrm>
          <a:off x="285750" y="137874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20" name="AutoShape 5"/>
        <xdr:cNvSpPr>
          <a:spLocks noChangeAspect="1" noChangeArrowheads="1"/>
        </xdr:cNvSpPr>
      </xdr:nvSpPr>
      <xdr:spPr bwMode="auto">
        <a:xfrm>
          <a:off x="285750" y="137874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</xdr:colOff>
      <xdr:row>869</xdr:row>
      <xdr:rowOff>0</xdr:rowOff>
    </xdr:from>
    <xdr:ext cx="304800" cy="414337"/>
    <xdr:sp macro="" textlink="">
      <xdr:nvSpPr>
        <xdr:cNvPr id="1121" name="AutoShape 2"/>
        <xdr:cNvSpPr>
          <a:spLocks noChangeAspect="1" noChangeArrowheads="1"/>
        </xdr:cNvSpPr>
      </xdr:nvSpPr>
      <xdr:spPr bwMode="auto">
        <a:xfrm>
          <a:off x="333375" y="137874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22" name="AutoShape 2"/>
        <xdr:cNvSpPr>
          <a:spLocks noChangeAspect="1" noChangeArrowheads="1"/>
        </xdr:cNvSpPr>
      </xdr:nvSpPr>
      <xdr:spPr bwMode="auto">
        <a:xfrm>
          <a:off x="285750" y="137874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23" name="AutoShape 4"/>
        <xdr:cNvSpPr>
          <a:spLocks noChangeAspect="1" noChangeArrowheads="1"/>
        </xdr:cNvSpPr>
      </xdr:nvSpPr>
      <xdr:spPr bwMode="auto">
        <a:xfrm>
          <a:off x="285750" y="137874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24" name="AutoShape 5"/>
        <xdr:cNvSpPr>
          <a:spLocks noChangeAspect="1" noChangeArrowheads="1"/>
        </xdr:cNvSpPr>
      </xdr:nvSpPr>
      <xdr:spPr bwMode="auto">
        <a:xfrm>
          <a:off x="285750" y="137874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25" name="AutoShape 2"/>
        <xdr:cNvSpPr>
          <a:spLocks noChangeAspect="1" noChangeArrowheads="1"/>
        </xdr:cNvSpPr>
      </xdr:nvSpPr>
      <xdr:spPr bwMode="auto">
        <a:xfrm>
          <a:off x="285750" y="137874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26" name="AutoShape 2"/>
        <xdr:cNvSpPr>
          <a:spLocks noChangeAspect="1" noChangeArrowheads="1"/>
        </xdr:cNvSpPr>
      </xdr:nvSpPr>
      <xdr:spPr bwMode="auto">
        <a:xfrm>
          <a:off x="285750" y="137874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27" name="AutoShape 4"/>
        <xdr:cNvSpPr>
          <a:spLocks noChangeAspect="1" noChangeArrowheads="1"/>
        </xdr:cNvSpPr>
      </xdr:nvSpPr>
      <xdr:spPr bwMode="auto">
        <a:xfrm>
          <a:off x="285750" y="137874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28" name="AutoShape 5"/>
        <xdr:cNvSpPr>
          <a:spLocks noChangeAspect="1" noChangeArrowheads="1"/>
        </xdr:cNvSpPr>
      </xdr:nvSpPr>
      <xdr:spPr bwMode="auto">
        <a:xfrm>
          <a:off x="285750" y="137874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29" name="AutoShape 2"/>
        <xdr:cNvSpPr>
          <a:spLocks noChangeAspect="1" noChangeArrowheads="1"/>
        </xdr:cNvSpPr>
      </xdr:nvSpPr>
      <xdr:spPr bwMode="auto">
        <a:xfrm>
          <a:off x="285750" y="137874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30" name="AutoShape 2"/>
        <xdr:cNvSpPr>
          <a:spLocks noChangeAspect="1" noChangeArrowheads="1"/>
        </xdr:cNvSpPr>
      </xdr:nvSpPr>
      <xdr:spPr bwMode="auto">
        <a:xfrm>
          <a:off x="285750" y="137874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31" name="AutoShape 4"/>
        <xdr:cNvSpPr>
          <a:spLocks noChangeAspect="1" noChangeArrowheads="1"/>
        </xdr:cNvSpPr>
      </xdr:nvSpPr>
      <xdr:spPr bwMode="auto">
        <a:xfrm>
          <a:off x="285750" y="137874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32" name="AutoShape 5"/>
        <xdr:cNvSpPr>
          <a:spLocks noChangeAspect="1" noChangeArrowheads="1"/>
        </xdr:cNvSpPr>
      </xdr:nvSpPr>
      <xdr:spPr bwMode="auto">
        <a:xfrm>
          <a:off x="285750" y="137874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869</xdr:row>
      <xdr:rowOff>0</xdr:rowOff>
    </xdr:from>
    <xdr:ext cx="304800" cy="414337"/>
    <xdr:sp macro="" textlink="">
      <xdr:nvSpPr>
        <xdr:cNvPr id="1133" name="AutoShape 2"/>
        <xdr:cNvSpPr>
          <a:spLocks noChangeAspect="1" noChangeArrowheads="1"/>
        </xdr:cNvSpPr>
      </xdr:nvSpPr>
      <xdr:spPr bwMode="auto">
        <a:xfrm>
          <a:off x="285750" y="137874375"/>
          <a:ext cx="304800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&#1043;&#1083;&#1072;&#1079;&#1082;&#1086;&#1074;&#1072;\Desktop\&#1052;&#1086;&#1080;\43\2020\&#1055;&#1060;&#1061;&#1044;\&#1060;&#1061;&#1044;%2000.01.2020%206%20&#1085;&#1086;&#1074;&#1099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5.4\obmen\&#1052;%20&#1067;\&#1069;&#1050;&#1054;&#1053;&#1054;&#1052;&#1048;&#1057;&#1058;&#1067;\&#1054;&#1069;&#1057;\2014\&#1058;&#1072;&#1088;&#1080;&#1092;&#1080;&#1082;&#1072;&#1094;&#1080;&#1080;%20&#1085;&#1072;%2001.09.2014\&#1058;&#1072;&#1088;&#1080;&#1092;&#1080;&#1082;&#1072;&#1094;&#1080;&#1080;\01.09.2014\&#1043;2\Documents%20and%20Settings\Admin\&#1052;&#1086;&#1080;%20&#1076;&#1086;&#1082;&#1091;&#1084;&#1077;&#1085;&#1090;&#1099;\My%20Received%20Files\&#1054;&#1069;&#1057;%20&#1057;&#1080;&#1088;&#1077;&#1085;&#1082;&#1086;%20&#1058;&#1072;&#1090;&#1100;&#1103;&#1085;&#1072;\&#1058;&#1072;&#1088;&#1080;&#1092;&#1080;&#1082;&#1072;&#1094;&#1080;&#1103;%20&#1057;&#1054;&#1064;%206%20&#1085;&#1072;%2001.09.2012&#10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5.4\Documents%20and%20Settings\004aau\Local%20Settings\Temporary%20Internet%20Files\Content.IE5\P4EH0OBJ\&#1060;&#1086;&#1088;&#1084;&#1099;%20&#1082;%20&#1087;&#1080;&#1089;&#1100;&#1084;&#1091;%20&#1076;&#1083;&#1103;%20&#1090;&#1072;&#1088;&#1080;&#1092;&#1080;&#1082;&#1072;&#1094;&#1080;&#1081;%20&#1076;&#1083;&#1103;%20&#1101;&#1082;&#1086;&#1085;&#1086;&#1084;&#1080;&#1089;&#1090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5.4\obmen\Documents%20and%20Settings\004aau\Local%20Settings\Temporary%20Internet%20Files\Content.IE5\P4EH0OBJ\&#1060;&#1086;&#1088;&#1084;&#1099;%20&#1082;%20&#1087;&#1080;&#1089;&#1100;&#1084;&#1091;%20&#1076;&#1083;&#1103;%20&#1090;&#1072;&#1088;&#1080;&#1092;&#1080;&#1082;&#1072;&#1094;&#1080;&#1081;%20&#1076;&#1083;&#1103;%20&#1101;&#1082;&#1086;&#1085;&#1086;&#1084;&#1080;&#1089;&#1090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bmen\Documents%20and%20Settings\User\&#1056;&#1072;&#1073;&#1086;&#1095;&#1080;&#1081;%20&#1089;&#1090;&#1086;&#1083;\&#1074;&#1085;&#1077;&#1073;&#1102;&#1076;&#1078;&#1077;&#1090;%202010\&#1054;&#1059;%203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Yurok\Downloads\20\Obmen\Documents%20and%20Settings\User\&#1056;&#1072;&#1073;&#1086;&#1095;&#1080;&#1081;%20&#1089;&#1090;&#1086;&#1083;\&#1074;&#1085;&#1077;&#1073;&#1102;&#1076;&#1078;&#1077;&#1090;%202010\&#1054;&#1059;%20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5.4\Obmen\Documents%20and%20Settings\User\&#1056;&#1072;&#1073;&#1086;&#1095;&#1080;&#1081;%20&#1089;&#1090;&#1086;&#1083;\&#1074;&#1085;&#1077;&#1073;&#1102;&#1076;&#1078;&#1077;&#1090;%202010\&#1054;&#1059;%203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kseny\AppData\Roaming\Microsoft\Excel\Obmen\Documents%20and%20Settings\User\&#1056;&#1072;&#1073;&#1086;&#1095;&#1080;&#1081;%20&#1089;&#1090;&#1086;&#1083;\&#1074;&#1085;&#1077;&#1073;&#1102;&#1076;&#1078;&#1077;&#1090;%202010\&#1054;&#1059;%203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5.4\Documents%20and%20Settings\Admin\Application%20Data\Microsoft\Excel\32%20&#1090;&#1072;&#1088;&#1080;&#1092;&#1080;&#1082;&#1072;&#1094;&#1080;&#1103;%202013-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.120.55\allusers\Documents%20and%20Settings\User\&#1052;&#1086;&#1080;%20&#1076;&#1086;&#1082;&#1091;&#1084;&#1077;&#1085;&#1090;&#1099;\My%20Received%20Files\&#1054;&#1069;&#1057;%20&#1057;&#1080;&#1088;&#1077;&#1085;&#1082;&#1086;%20&#1058;&#1072;&#1090;&#1100;&#1103;&#1085;&#1072;\&#1058;&#1072;&#1088;&#1080;&#1092;&#1080;&#1082;&#1072;&#1094;&#1080;&#1103;%20&#1057;&#1054;&#1064;%206%20&#1085;&#1072;%2001.09.2012&#107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\obmen\Documents%20and%20Settings\004aau\Local%20Settings\Temporary%20Internet%20Files\Content.IE5\P4EH0OBJ\&#1060;&#1086;&#1088;&#1084;&#1099;%20&#1082;%20&#1087;&#1080;&#1089;&#1100;&#1084;&#1091;%20&#1076;&#1083;&#1103;%20&#1090;&#1072;&#1088;&#1080;&#1092;&#1080;&#1082;&#1072;&#1094;&#1080;&#1081;%20&#1076;&#1083;&#1103;%20&#1101;&#1082;&#1086;&#1085;&#1086;&#1084;&#1080;&#1089;&#1090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5.4\obmen\Obmen\Documents%20and%20Settings\User\&#1056;&#1072;&#1073;&#1086;&#1095;&#1080;&#1081;%20&#1089;&#1090;&#1086;&#1083;\&#1074;&#1085;&#1077;&#1073;&#1102;&#1076;&#1078;&#1077;&#1090;%202010\&#1054;&#1059;%203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kseny\AppData\Roaming\Microsoft\Excel\&#1052;%20&#1067;\&#1069;&#1050;&#1054;&#1053;&#1054;&#1052;&#1048;&#1057;&#1058;&#1067;\&#1054;&#1069;&#1057;%20&#1054;&#1083;&#1077;&#1081;&#1085;&#1080;&#1082;\&#1054;&#1058;&#1055;&#1059;&#1057;&#1050;%2014.10.2019-15.11.2019\12\Users\User\AppData\Roaming\Microsoft\Excel\Obmen\Documents%20and%20Settings\User\&#1056;&#1072;&#1073;&#1086;&#1095;&#1080;&#1081;%20&#1089;&#1090;&#1086;&#1083;\&#1074;&#1085;&#1077;&#1073;&#1102;&#1076;&#1078;&#1077;&#1090;%202010\&#1054;&#1059;%203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&#1048;&#1085;&#1082;&#1080;&#1085;&#1072;\Desktop\&#1041;&#1086;&#1075;&#1086;&#1076;&#1077;&#1088;&#1086;&#1074;&#1072;%20&#1089;%2001.09.14\&#1055;&#1051;&#1040;&#1053;%20&#1060;&#1061;&#1044;\10\2022\&#1056;&#1072;&#1073;&#1086;&#1090;&#1072;\2019\&#1087;&#1083;&#1072;&#1085;%20&#1060;&#1061;&#1044;\&#1048;&#1089;&#1087;&#1088;\&#1043;2+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kseny\AppData\Roaming\Microsoft\Excel\20\&#1055;&#1083;&#1072;&#1085;%20&#1060;&#1061;&#1044;\2019\Users\1\Desktop\&#1056;&#1072;&#1073;&#1086;&#1090;&#1072;\2019\&#1087;&#1083;&#1072;&#1085;%20&#1060;&#1061;&#1044;\&#1048;&#1089;&#1087;&#1088;\&#1043;2+%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Yurok\Downloads\20\20\&#1055;&#1083;&#1072;&#1085;%20&#1060;&#1061;&#1044;\2019\Users\1\Desktop\&#1056;&#1072;&#1073;&#1086;&#1090;&#1072;\2019\&#1087;&#1083;&#1072;&#1085;%20&#1060;&#1061;&#1044;\&#1048;&#1089;&#1087;&#1088;\&#1043;2+%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\obmen\&#1050;&#1086;&#1085;&#1086;&#1074;&#1072;&#1083;&#1086;&#1074;&#1072;\&#1053;&#1057;&#1054;&#1058;%202009\&#1058;&#1072;&#1088;&#1080;&#1092;&#1080;&#1082;&#1072;&#1094;&#1080;&#1103;%20&#1054;&#1059;%2035%20%2001.09.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bmen\Documents%20and%20Settings\User\&#1056;&#1072;&#1073;&#1086;&#1095;&#1080;&#1081;%20&#1089;&#1090;&#1086;&#1083;\&#1095;&#1080;&#1089;&#1090;&#1086;&#1074;&#1099;&#1077;%20&#1090;&#1072;&#1088;&#1080;&#1092;&#1080;&#1082;&#1072;&#1094;&#1080;&#1080;\&#1058;&#1072;&#1088;&#1080;&#1092;&#1080;&#1082;&#1072;&#1094;&#1080;&#1103;%20&#1054;&#1059;%2035%20%2001.01.09%20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Yurok\Downloads\20\Obmen\Documents%20and%20Settings\User\&#1056;&#1072;&#1073;&#1086;&#1095;&#1080;&#1081;%20&#1089;&#1090;&#1086;&#1083;\&#1095;&#1080;&#1089;&#1090;&#1086;&#1074;&#1099;&#1077;%20&#1090;&#1072;&#1088;&#1080;&#1092;&#1080;&#1082;&#1072;&#1094;&#1080;&#1080;\&#1058;&#1072;&#1088;&#1080;&#1092;&#1080;&#1082;&#1072;&#1094;&#1080;&#1103;%20&#1054;&#1059;%2035%20%2001.01.09%20%2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5.4\Obmen\Documents%20and%20Settings\User\&#1056;&#1072;&#1073;&#1086;&#1095;&#1080;&#1081;%20&#1089;&#1090;&#1086;&#1083;\&#1095;&#1080;&#1089;&#1090;&#1086;&#1074;&#1099;&#1077;%20&#1090;&#1072;&#1088;&#1080;&#1092;&#1080;&#1082;&#1072;&#1094;&#1080;&#1080;\&#1058;&#1072;&#1088;&#1080;&#1092;&#1080;&#1082;&#1072;&#1094;&#1080;&#1103;%20&#1054;&#1059;%2035%20%2001.01.09%20%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kseny\AppData\Roaming\Microsoft\Excel\Obmen\Documents%20and%20Settings\User\&#1056;&#1072;&#1073;&#1086;&#1095;&#1080;&#1081;%20&#1089;&#1090;&#1086;&#1083;\&#1095;&#1080;&#1089;&#1090;&#1086;&#1074;&#1099;&#1077;%20&#1090;&#1072;&#1088;&#1080;&#1092;&#1080;&#1082;&#1072;&#1094;&#1080;&#1080;\&#1058;&#1072;&#1088;&#1080;&#1092;&#1080;&#1082;&#1072;&#1094;&#1080;&#1103;%20&#1054;&#1059;%2035%20%2001.01.09%20%2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&#1057;&#1072;&#1084;&#1086;&#1076;&#1077;&#1083;&#1086;&#1074;&#1072;\Desktop\2018\&#1083;1\&#1051;&#1080;&#1094;&#1077;&#1081;%201%20&#1085;&#1072;%2001.01.2018%20x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&#1057;&#1072;&#1084;&#1086;&#1076;&#1077;&#1083;&#1086;&#1074;&#1072;\Desktop\&#1071;1\&#1060;&#1061;&#1044;%202019\&#1057;&#1072;&#1083;&#1072;&#1093;&#1086;&#1074;&#1072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3;&#1083;&#1072;&#1079;&#1082;&#1086;&#1074;&#1072;/Desktop/&#1052;&#1086;&#1080;/43/2019/&#1055;&#1060;&#1061;&#1044;/&#1055;&#1077;&#1088;&#1089;&#1087;.%20&#1055;&#1060;&#1061;&#1044;%20&#1085;&#1072;%202019%20&#1088;&#1072;&#1073;&#1086;&#1095;&#1080;&#1081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3;&#1083;&#1072;&#1079;&#1082;&#1086;&#1074;&#1072;/Desktop/&#1052;&#1086;&#1080;/43/2017/&#1055;&#1060;&#1061;&#1044;/&#1055;&#1077;&#1088;&#1089;&#1087;.&#1055;&#1060;&#1061;&#1044;%20&#1085;&#1072;%2009.01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 "/>
      <sheetName val="Раздел 2"/>
      <sheetName val="4 (2020)"/>
      <sheetName val=" 5 (2020)"/>
      <sheetName val="2 (2020)"/>
      <sheetName val="КП"/>
      <sheetName val="лист"/>
    </sheetNames>
    <sheetDataSet>
      <sheetData sheetId="0"/>
      <sheetData sheetId="1" refreshError="1"/>
      <sheetData sheetId="2">
        <row r="1">
          <cell r="A1" t="str">
            <v>Раздел 2. Сведения по выплатам на закупки товаров, работ, услуг</v>
          </cell>
        </row>
        <row r="9">
          <cell r="B9" t="str">
            <v>по контрактам (договорам), заключенным до начала текущего финансового года с учетом требований Федерального закона № 44-ФЗ и Федерального закона  № 223-ФЗ</v>
          </cell>
        </row>
        <row r="13">
          <cell r="B13" t="str">
            <v>в соответствии с Федеральным законом № 223-ФЗ</v>
          </cell>
        </row>
        <row r="17">
          <cell r="B17" t="str">
            <v>за счет субсидий, предоставляемых на осуществление капитальных вложений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ерка"/>
      <sheetName val="Опр. ФСВ"/>
      <sheetName val="АУП"/>
      <sheetName val="Учителя"/>
      <sheetName val="Спец-сты школы "/>
      <sheetName val="Рабочие"/>
      <sheetName val="Определение балла"/>
      <sheetName val="расчет баллов"/>
      <sheetName val="Директорский фонд"/>
      <sheetName val="Справочник"/>
    </sheetNames>
    <sheetDataSet>
      <sheetData sheetId="0"/>
      <sheetData sheetId="1"/>
      <sheetData sheetId="2"/>
      <sheetData sheetId="3"/>
      <sheetData sheetId="4">
        <row r="2">
          <cell r="A2">
            <v>0</v>
          </cell>
        </row>
        <row r="3">
          <cell r="A3">
            <v>0</v>
          </cell>
        </row>
        <row r="4">
          <cell r="A4">
            <v>0</v>
          </cell>
        </row>
        <row r="6">
          <cell r="A6">
            <v>0</v>
          </cell>
        </row>
        <row r="7">
          <cell r="A7">
            <v>0</v>
          </cell>
        </row>
        <row r="10">
          <cell r="A10">
            <v>0</v>
          </cell>
        </row>
        <row r="11">
          <cell r="A11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>
            <v>0</v>
          </cell>
          <cell r="AE13">
            <v>0</v>
          </cell>
          <cell r="AI13">
            <v>0</v>
          </cell>
          <cell r="AJ13">
            <v>0</v>
          </cell>
          <cell r="AL13">
            <v>0</v>
          </cell>
          <cell r="AN13">
            <v>0</v>
          </cell>
          <cell r="AO13">
            <v>0</v>
          </cell>
          <cell r="BD13">
            <v>0</v>
          </cell>
          <cell r="BE13">
            <v>0</v>
          </cell>
          <cell r="BG13">
            <v>0</v>
          </cell>
          <cell r="BI13">
            <v>0</v>
          </cell>
          <cell r="BJ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W14">
            <v>0</v>
          </cell>
          <cell r="Y14">
            <v>0</v>
          </cell>
          <cell r="AA14">
            <v>0</v>
          </cell>
          <cell r="AC14">
            <v>0</v>
          </cell>
          <cell r="AE14">
            <v>0</v>
          </cell>
          <cell r="AG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0</v>
          </cell>
          <cell r="AQ14">
            <v>0</v>
          </cell>
          <cell r="AS14">
            <v>0</v>
          </cell>
          <cell r="AU14">
            <v>0</v>
          </cell>
          <cell r="AW14">
            <v>0</v>
          </cell>
          <cell r="AY14">
            <v>0</v>
          </cell>
          <cell r="BA14">
            <v>0</v>
          </cell>
          <cell r="BC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</row>
        <row r="15"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</row>
        <row r="16"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</row>
        <row r="17">
          <cell r="A17">
            <v>0</v>
          </cell>
        </row>
        <row r="18">
          <cell r="A18">
            <v>1</v>
          </cell>
          <cell r="B18">
            <v>0</v>
          </cell>
        </row>
        <row r="19">
          <cell r="A19">
            <v>2</v>
          </cell>
          <cell r="B19">
            <v>0</v>
          </cell>
        </row>
        <row r="20">
          <cell r="A20">
            <v>3</v>
          </cell>
          <cell r="B20">
            <v>0</v>
          </cell>
        </row>
        <row r="21">
          <cell r="A21">
            <v>4</v>
          </cell>
          <cell r="B21">
            <v>0</v>
          </cell>
        </row>
        <row r="22">
          <cell r="A22">
            <v>5</v>
          </cell>
          <cell r="B22">
            <v>0</v>
          </cell>
        </row>
        <row r="23">
          <cell r="A23">
            <v>6</v>
          </cell>
          <cell r="B23">
            <v>0</v>
          </cell>
        </row>
        <row r="24">
          <cell r="A24">
            <v>7</v>
          </cell>
          <cell r="B24">
            <v>0</v>
          </cell>
        </row>
        <row r="25">
          <cell r="A25">
            <v>8</v>
          </cell>
          <cell r="B25">
            <v>0</v>
          </cell>
        </row>
        <row r="26">
          <cell r="A26">
            <v>9</v>
          </cell>
          <cell r="B26">
            <v>0</v>
          </cell>
        </row>
        <row r="27">
          <cell r="A27">
            <v>10</v>
          </cell>
          <cell r="B27">
            <v>0</v>
          </cell>
        </row>
        <row r="28">
          <cell r="A28">
            <v>11</v>
          </cell>
          <cell r="B28">
            <v>0</v>
          </cell>
        </row>
        <row r="29">
          <cell r="A29">
            <v>12</v>
          </cell>
          <cell r="B29">
            <v>0</v>
          </cell>
        </row>
        <row r="30">
          <cell r="A30">
            <v>13</v>
          </cell>
          <cell r="B30">
            <v>0</v>
          </cell>
        </row>
        <row r="31">
          <cell r="A31">
            <v>14</v>
          </cell>
          <cell r="B31">
            <v>0</v>
          </cell>
        </row>
        <row r="32">
          <cell r="A32">
            <v>15</v>
          </cell>
          <cell r="B32">
            <v>0</v>
          </cell>
        </row>
        <row r="33">
          <cell r="A33">
            <v>16</v>
          </cell>
          <cell r="B33">
            <v>0</v>
          </cell>
        </row>
        <row r="34">
          <cell r="A34">
            <v>17</v>
          </cell>
          <cell r="B34">
            <v>0</v>
          </cell>
        </row>
        <row r="35">
          <cell r="A35">
            <v>18</v>
          </cell>
          <cell r="B35">
            <v>0</v>
          </cell>
        </row>
        <row r="36">
          <cell r="A36">
            <v>19</v>
          </cell>
          <cell r="B36">
            <v>0</v>
          </cell>
        </row>
        <row r="37">
          <cell r="A37">
            <v>20</v>
          </cell>
          <cell r="B37">
            <v>0</v>
          </cell>
        </row>
        <row r="38">
          <cell r="A38">
            <v>21</v>
          </cell>
          <cell r="B38">
            <v>0</v>
          </cell>
        </row>
        <row r="39">
          <cell r="A39">
            <v>22</v>
          </cell>
          <cell r="B39">
            <v>0</v>
          </cell>
        </row>
        <row r="40">
          <cell r="A40">
            <v>23</v>
          </cell>
          <cell r="B40">
            <v>0</v>
          </cell>
        </row>
        <row r="41">
          <cell r="A41">
            <v>24</v>
          </cell>
          <cell r="B41">
            <v>0</v>
          </cell>
        </row>
        <row r="42">
          <cell r="A42">
            <v>25</v>
          </cell>
          <cell r="B42">
            <v>0</v>
          </cell>
        </row>
        <row r="43">
          <cell r="A43">
            <v>26</v>
          </cell>
          <cell r="B43">
            <v>0</v>
          </cell>
        </row>
        <row r="44">
          <cell r="A44">
            <v>27</v>
          </cell>
          <cell r="B44">
            <v>0</v>
          </cell>
        </row>
        <row r="45">
          <cell r="A45">
            <v>28</v>
          </cell>
          <cell r="B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1</v>
          </cell>
          <cell r="B48">
            <v>0</v>
          </cell>
        </row>
        <row r="49">
          <cell r="A49">
            <v>2</v>
          </cell>
          <cell r="B49">
            <v>0</v>
          </cell>
        </row>
        <row r="50">
          <cell r="A50">
            <v>3</v>
          </cell>
          <cell r="B50">
            <v>0</v>
          </cell>
        </row>
        <row r="51">
          <cell r="A51">
            <v>4</v>
          </cell>
          <cell r="B51">
            <v>0</v>
          </cell>
        </row>
        <row r="52">
          <cell r="A52">
            <v>5</v>
          </cell>
          <cell r="B52">
            <v>0</v>
          </cell>
        </row>
        <row r="53">
          <cell r="A53">
            <v>6</v>
          </cell>
          <cell r="B53">
            <v>0</v>
          </cell>
        </row>
        <row r="54">
          <cell r="A54">
            <v>7</v>
          </cell>
          <cell r="B54">
            <v>0</v>
          </cell>
        </row>
        <row r="55">
          <cell r="A55">
            <v>8</v>
          </cell>
          <cell r="B55">
            <v>0</v>
          </cell>
        </row>
        <row r="56">
          <cell r="A56">
            <v>9</v>
          </cell>
          <cell r="B56">
            <v>0</v>
          </cell>
        </row>
        <row r="57">
          <cell r="A57">
            <v>10</v>
          </cell>
          <cell r="B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1</v>
          </cell>
          <cell r="B60">
            <v>0</v>
          </cell>
        </row>
        <row r="61">
          <cell r="A61">
            <v>2</v>
          </cell>
          <cell r="B61">
            <v>0</v>
          </cell>
        </row>
        <row r="62">
          <cell r="A62">
            <v>3</v>
          </cell>
          <cell r="B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1</v>
          </cell>
          <cell r="B66">
            <v>0</v>
          </cell>
        </row>
        <row r="67">
          <cell r="A67">
            <v>2</v>
          </cell>
          <cell r="B67">
            <v>0</v>
          </cell>
        </row>
        <row r="68">
          <cell r="A68">
            <v>3</v>
          </cell>
          <cell r="B68">
            <v>0</v>
          </cell>
        </row>
        <row r="69">
          <cell r="A69">
            <v>4</v>
          </cell>
          <cell r="B69">
            <v>0</v>
          </cell>
        </row>
      </sheetData>
      <sheetData sheetId="5"/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УП школы"/>
      <sheetName val="Учителя"/>
      <sheetName val="Спец_сты школы"/>
      <sheetName val="Рабочие"/>
      <sheetName val="Доля"/>
      <sheetName val="Ведомость"/>
      <sheetName val="Сводная"/>
    </sheetNames>
    <sheetDataSet>
      <sheetData sheetId="0"/>
      <sheetData sheetId="1">
        <row r="5">
          <cell r="B5" t="str">
            <v xml:space="preserve">ШТАТНОЕ ЗАМЕЩЕНИЕ ПО ГРУППЕ "УЧИТЕЛЯ" </v>
          </cell>
        </row>
        <row r="6">
          <cell r="B6" t="str">
            <v>по состоянию на 01.09.2010</v>
          </cell>
        </row>
        <row r="7">
          <cell r="B7" t="str">
            <v>Наименование учереждения: Муниципальное общеобразовательное учреждение средняя общеобразовательная школа № 13</v>
          </cell>
        </row>
        <row r="8">
          <cell r="B8" t="str">
            <v>Юридический адрес: пр-кт Комсомольский, 10</v>
          </cell>
        </row>
        <row r="11">
          <cell r="A11" t="str">
            <v xml:space="preserve">Табельный № </v>
          </cell>
          <cell r="B11" t="str">
            <v>Ф.И.О.</v>
          </cell>
          <cell r="C11" t="str">
            <v>Занимаемая должность</v>
          </cell>
          <cell r="D11" t="str">
            <v>Образование, наименование учебного заведения</v>
          </cell>
          <cell r="E11" t="str">
            <v>Наименова-ние документа об образова-нии, его № и дата выдачи</v>
          </cell>
          <cell r="F11" t="str">
            <v xml:space="preserve">Стаж педогагической работы (число лет, месяцев, дней) </v>
          </cell>
          <cell r="G11" t="str">
            <v>Квалификация работника</v>
          </cell>
          <cell r="K11" t="str">
            <v>Кол-во недельных часов, всего</v>
          </cell>
          <cell r="L11" t="str">
            <v>из них:</v>
          </cell>
          <cell r="S11" t="str">
            <v>Базовая единица, руб.</v>
          </cell>
          <cell r="T11" t="str">
            <v>Коэффициент уровня образования (К1)</v>
          </cell>
          <cell r="U11" t="str">
            <v>Базовый оклад за норму часов преподавательской работы, руб.</v>
          </cell>
          <cell r="V11" t="str">
            <v>Расчет Базового оклада (Бо), руб.</v>
          </cell>
          <cell r="AE11" t="str">
            <v>Базовый оклад за часы работы в 1-11 классах, руб.</v>
          </cell>
          <cell r="AF11" t="str">
            <v>Коэффициент стажа работы (К2.1)</v>
          </cell>
          <cell r="AH11" t="str">
            <v>Коэффициент специфики работы (К2.2)</v>
          </cell>
          <cell r="AS11" t="str">
            <v>Коэффициент специфики работы (К2.2)</v>
          </cell>
          <cell r="BD11" t="str">
            <v>Районный коэффициент</v>
          </cell>
          <cell r="BE11" t="str">
            <v>Северная надбавка</v>
          </cell>
          <cell r="BF11" t="str">
            <v>Итого должностной оклад с учетом р/к, с/н</v>
          </cell>
          <cell r="BG11" t="str">
            <v>Фонд надбавок и доплат</v>
          </cell>
        </row>
        <row r="12">
          <cell r="G12" t="str">
            <v>Наличие квалифика-ционной категории (№ приказа, дата)</v>
          </cell>
          <cell r="H12" t="str">
            <v>Наличие ученой степени (№ диплома, дата)</v>
          </cell>
          <cell r="I12" t="str">
            <v>Наличие почетного звания,знаков отличия (№ документа, дата)</v>
          </cell>
          <cell r="L12" t="str">
            <v>в 1 - 4 классах</v>
          </cell>
          <cell r="P12" t="str">
            <v>в 5 - 11 классах</v>
          </cell>
          <cell r="V12" t="str">
            <v>в 1 - 4 классах</v>
          </cell>
          <cell r="Z12" t="str">
            <v>Итого Бо за часы работы в 1-4 классах</v>
          </cell>
          <cell r="AA12" t="str">
            <v>в 5 - 11 классах</v>
          </cell>
          <cell r="AD12" t="str">
            <v>Итого Бо за часы работы в 5-11 классах</v>
          </cell>
          <cell r="AF12" t="str">
            <v>размер коэффициента</v>
          </cell>
          <cell r="AG12" t="str">
            <v>сумма, руб.</v>
          </cell>
          <cell r="AH12" t="str">
            <v>Работа педагогических работников в прогимназии, гимназии, лицее, школе с углубленным изучением предметов (Тип 3)</v>
          </cell>
          <cell r="AJ12" t="str">
            <v>в 1-4 классах</v>
          </cell>
          <cell r="AS12" t="str">
            <v>с 5-11 классы</v>
          </cell>
          <cell r="BA12" t="str">
            <v>Заведование методическим объединением (Тип 3)</v>
          </cell>
          <cell r="BB12" t="str">
            <v>Заведование учебным кабинетом, мастерской, спортивным залом (Тип 3)</v>
          </cell>
          <cell r="BC12" t="str">
            <v>Работа учителя, связанная с выполнением обязанностей классного руководителя (Тип 2)</v>
          </cell>
          <cell r="BD12" t="str">
            <v>размер коэффициента</v>
          </cell>
          <cell r="BE12" t="str">
            <v>размер коэффициента</v>
          </cell>
          <cell r="BG12" t="str">
            <v>Доплата за подготовку Мастеров спорта</v>
          </cell>
          <cell r="BH12" t="str">
            <v>Доплата молодым специалистам</v>
          </cell>
          <cell r="BI12" t="str">
            <v>Социальный отпуск</v>
          </cell>
          <cell r="BJ12" t="str">
            <v>Доплата за разделение рабочего дня</v>
          </cell>
          <cell r="BK12" t="str">
            <v>За работу с неблагоприятными условиями труда</v>
          </cell>
        </row>
        <row r="13">
          <cell r="L13" t="str">
            <v>Кол-во часов в общеобразовательных классах</v>
          </cell>
          <cell r="M13" t="str">
            <v>Кол-во часов к классах компенсирующего обучения</v>
          </cell>
          <cell r="N13" t="str">
            <v>Кол-во часов в специальных  (коррекционных) классах</v>
          </cell>
          <cell r="O13" t="str">
            <v>Кол-во часов на домашнее обучение, обучение в больницах</v>
          </cell>
          <cell r="P13" t="str">
            <v>Кол-во часов в общеобразовательных классах</v>
          </cell>
          <cell r="Q13" t="str">
            <v>Кол-во часов в специальных  (коррекционных) классах</v>
          </cell>
          <cell r="R13" t="str">
            <v>Кол-во часов на домашнее обучение, обучение в больницах</v>
          </cell>
          <cell r="V13" t="str">
            <v>Бо за часы работы в общеобразовательных классах</v>
          </cell>
          <cell r="W13" t="str">
            <v>Бо за часы работы в классах компенсирующего обучения</v>
          </cell>
          <cell r="X13" t="str">
            <v xml:space="preserve">Бо за часы работы в специальных (коррекционных) классах </v>
          </cell>
          <cell r="Y13" t="str">
            <v>Бо за часы домашнего обучения, обучения в больницах</v>
          </cell>
          <cell r="AA13" t="str">
            <v>Бо за часы работы в общеобразовательных классах</v>
          </cell>
          <cell r="AB13" t="str">
            <v xml:space="preserve">Бо за часы работы в специальных (коррекционных) классах </v>
          </cell>
          <cell r="AC13" t="str">
            <v>Бо за часы домашнего обучения, обучения в больницах</v>
          </cell>
          <cell r="AH13" t="str">
            <v>размер коэффициента</v>
          </cell>
          <cell r="AI13" t="str">
            <v>сумма, руб.</v>
          </cell>
          <cell r="AJ13" t="str">
            <v>проверка тетрадей для учителей нач.классов (Тип 2)</v>
          </cell>
          <cell r="AM13" t="str">
            <v>работа учителя в классах компенсирующего обучения(Тип 2)</v>
          </cell>
          <cell r="AO13" t="str">
            <v>работа учителя в коррекционных классах(Тип 2)</v>
          </cell>
          <cell r="AQ13" t="str">
            <v>работа учителя в классах с индивидуальным и групповым обучением детей, находящихся на домашнем обучении, длительном лечении(Тип 2)</v>
          </cell>
          <cell r="AS13" t="str">
            <v>кол-во часов по предмету</v>
          </cell>
          <cell r="AT13" t="str">
            <v>проверка тетрадей по русскому, родному языку, литературе (Тип 1), математике, иностранному языку (Тип 2)</v>
          </cell>
          <cell r="AU13" t="str">
            <v>кол-во  часов по предмету</v>
          </cell>
          <cell r="AV13" t="str">
            <v>проверка тетрадей по физике, химии (Тип 3), географии, истории, черчению (Тип 4)</v>
          </cell>
          <cell r="AW13" t="str">
            <v>кол-во часов по предмету</v>
          </cell>
          <cell r="AX13" t="str">
            <v>проверка тетрадей по биологии, информатике (Тип 4)</v>
          </cell>
          <cell r="AY13" t="str">
            <v>работа учителя в коррекционных классах (Тип 2)</v>
          </cell>
          <cell r="AZ13" t="str">
            <v>работа учителя в классах с индивидуальным и групповым обучением детей, находящихся на домашнем обучении, длительном лечении (Тип 1)</v>
          </cell>
          <cell r="BA13" t="str">
            <v>размер коэффициента</v>
          </cell>
          <cell r="BB13" t="str">
            <v>размер коэффициента</v>
          </cell>
          <cell r="BC13" t="str">
            <v>размер коэффициента</v>
          </cell>
        </row>
        <row r="14">
          <cell r="AJ14" t="str">
            <v>размер коэффи-циента</v>
          </cell>
          <cell r="AL14" t="str">
            <v>сумма, руб.</v>
          </cell>
          <cell r="AM14" t="str">
            <v>размер коэффи-циента</v>
          </cell>
          <cell r="AN14" t="str">
            <v>сумма, руб.</v>
          </cell>
          <cell r="AO14" t="str">
            <v>размер коэффи-циента</v>
          </cell>
          <cell r="AP14" t="str">
            <v>сумма, руб.</v>
          </cell>
          <cell r="AQ14" t="str">
            <v>размер коэффи-циента</v>
          </cell>
          <cell r="AR14" t="str">
            <v>сумма, руб.</v>
          </cell>
          <cell r="AT14" t="str">
            <v>размер коэффи-циента</v>
          </cell>
          <cell r="AV14" t="str">
            <v>размер коэффи-циента</v>
          </cell>
          <cell r="AX14" t="str">
            <v>размер коэффи-циента</v>
          </cell>
          <cell r="AY14" t="str">
            <v>размер коэффи-циента</v>
          </cell>
          <cell r="AZ14" t="str">
            <v>размер коэффи-циента</v>
          </cell>
          <cell r="BA14" t="str">
            <v>размер коэффи-циент</v>
          </cell>
          <cell r="BB14" t="str">
            <v>размер коэффи-циент</v>
          </cell>
          <cell r="BC14" t="str">
            <v>размер коэффи-циент</v>
          </cell>
          <cell r="BG14" t="str">
            <v>%</v>
          </cell>
          <cell r="BH14" t="str">
            <v>%</v>
          </cell>
          <cell r="BI14" t="str">
            <v>%</v>
          </cell>
          <cell r="BJ14" t="str">
            <v>%</v>
          </cell>
          <cell r="BK14" t="str">
            <v>%</v>
          </cell>
        </row>
        <row r="15">
          <cell r="A15" t="str">
            <v>Педагогический персонал</v>
          </cell>
        </row>
        <row r="16">
          <cell r="A16" t="str">
            <v>004</v>
          </cell>
          <cell r="B16" t="str">
            <v>Сальникова Валентина Павловна</v>
          </cell>
        </row>
        <row r="17">
          <cell r="A17" t="str">
            <v>011</v>
          </cell>
          <cell r="B17" t="str">
            <v>Хвоинская Вера Адольфовна</v>
          </cell>
        </row>
        <row r="18">
          <cell r="A18" t="str">
            <v>012</v>
          </cell>
          <cell r="B18" t="str">
            <v>Владыкина Валентина Михайловна</v>
          </cell>
        </row>
        <row r="19">
          <cell r="A19" t="str">
            <v>014</v>
          </cell>
          <cell r="B19" t="str">
            <v>БродниковаОльга Викторовна</v>
          </cell>
        </row>
        <row r="20">
          <cell r="A20" t="str">
            <v>017</v>
          </cell>
          <cell r="B20" t="str">
            <v>СозиноваИрина Викторовна</v>
          </cell>
        </row>
        <row r="21">
          <cell r="A21" t="str">
            <v>018</v>
          </cell>
          <cell r="B21" t="str">
            <v>ГоробецЕлена Евгеньевна</v>
          </cell>
        </row>
        <row r="22">
          <cell r="A22" t="str">
            <v>019</v>
          </cell>
          <cell r="B22" t="str">
            <v>Мазурова Светлана Федоровна</v>
          </cell>
        </row>
        <row r="23">
          <cell r="A23" t="str">
            <v>021</v>
          </cell>
          <cell r="B23" t="str">
            <v>Кудрякова Людмила Анатольевна</v>
          </cell>
        </row>
        <row r="24">
          <cell r="A24" t="str">
            <v>022</v>
          </cell>
          <cell r="B24" t="str">
            <v>ЛитвиненкоТамара Васильевна</v>
          </cell>
        </row>
        <row r="25">
          <cell r="A25" t="str">
            <v>023</v>
          </cell>
          <cell r="B25" t="str">
            <v>Иванова Светлана Александровна</v>
          </cell>
        </row>
        <row r="26">
          <cell r="A26" t="str">
            <v>025</v>
          </cell>
          <cell r="B26" t="str">
            <v>Птицина Александра Геннадьевна</v>
          </cell>
        </row>
        <row r="27">
          <cell r="A27" t="str">
            <v>026</v>
          </cell>
          <cell r="B27" t="str">
            <v>Горобец Анна Ивановна</v>
          </cell>
        </row>
        <row r="28">
          <cell r="A28" t="str">
            <v>027</v>
          </cell>
          <cell r="B28" t="str">
            <v>Никонорова Татьяна Александровна</v>
          </cell>
        </row>
        <row r="29">
          <cell r="A29" t="str">
            <v>029</v>
          </cell>
          <cell r="B29" t="str">
            <v>Невская Светлана Владимировна</v>
          </cell>
        </row>
        <row r="30">
          <cell r="A30" t="str">
            <v>030</v>
          </cell>
          <cell r="B30" t="str">
            <v>Шаповалова Олеся Владимировна</v>
          </cell>
        </row>
        <row r="31">
          <cell r="A31" t="str">
            <v>032</v>
          </cell>
          <cell r="B31" t="str">
            <v>Симкина Любовь Александровна</v>
          </cell>
        </row>
        <row r="32">
          <cell r="A32" t="str">
            <v>033</v>
          </cell>
          <cell r="B32" t="str">
            <v>Церабаева Светлана Владимировна</v>
          </cell>
        </row>
        <row r="33">
          <cell r="A33" t="str">
            <v>035</v>
          </cell>
          <cell r="B33" t="str">
            <v>Обожина Маргарита Михайловна</v>
          </cell>
        </row>
        <row r="34">
          <cell r="A34" t="str">
            <v>036</v>
          </cell>
          <cell r="B34" t="str">
            <v>ГриневаОльга Ивановна</v>
          </cell>
        </row>
        <row r="35">
          <cell r="A35" t="str">
            <v>037</v>
          </cell>
          <cell r="B35" t="str">
            <v>Килинг Татьяна Викторовна</v>
          </cell>
        </row>
        <row r="36">
          <cell r="A36" t="str">
            <v>039</v>
          </cell>
          <cell r="B36" t="str">
            <v>Ишмиярова Алевтина Владимировна</v>
          </cell>
        </row>
        <row r="37">
          <cell r="A37" t="str">
            <v>040</v>
          </cell>
          <cell r="B37" t="str">
            <v>Гордеева Алла Николаевна</v>
          </cell>
        </row>
        <row r="38">
          <cell r="A38" t="str">
            <v>045</v>
          </cell>
          <cell r="B38" t="str">
            <v>ФоминыхНаталья Ивановна</v>
          </cell>
        </row>
        <row r="39">
          <cell r="A39" t="str">
            <v>046</v>
          </cell>
          <cell r="B39" t="str">
            <v>ФуринаОльга Ивановна</v>
          </cell>
        </row>
        <row r="40">
          <cell r="A40" t="str">
            <v>052</v>
          </cell>
          <cell r="B40" t="str">
            <v>Тараненко Галина Робертовна</v>
          </cell>
        </row>
        <row r="41">
          <cell r="A41" t="str">
            <v>055</v>
          </cell>
          <cell r="B41" t="str">
            <v>ГолышеваОксана Юрьевна</v>
          </cell>
        </row>
        <row r="42">
          <cell r="A42" t="str">
            <v>057</v>
          </cell>
          <cell r="B42" t="str">
            <v>СтародубоваГалина Степановна</v>
          </cell>
        </row>
        <row r="43">
          <cell r="A43" t="str">
            <v>060</v>
          </cell>
          <cell r="B43" t="str">
            <v>Мальгин Александр Викторович</v>
          </cell>
        </row>
        <row r="44">
          <cell r="A44" t="str">
            <v>061</v>
          </cell>
          <cell r="B44" t="str">
            <v>Загирова Светлана Загировна</v>
          </cell>
        </row>
        <row r="45">
          <cell r="A45" t="str">
            <v>062</v>
          </cell>
          <cell r="B45" t="str">
            <v>Ахметов Станислав Радиевич</v>
          </cell>
        </row>
        <row r="46">
          <cell r="A46" t="str">
            <v>063</v>
          </cell>
          <cell r="B46" t="str">
            <v>МальгинаГалина Васильевна</v>
          </cell>
        </row>
        <row r="47">
          <cell r="A47" t="str">
            <v>066</v>
          </cell>
          <cell r="B47" t="str">
            <v>КуряеваЛариса Евгеньевна</v>
          </cell>
        </row>
        <row r="48">
          <cell r="A48" t="str">
            <v>068</v>
          </cell>
          <cell r="B48" t="str">
            <v>ЗемченкоЛина Ивановна</v>
          </cell>
        </row>
        <row r="49">
          <cell r="A49" t="str">
            <v>072</v>
          </cell>
          <cell r="B49" t="str">
            <v>ГлаголеваГалина Павловна</v>
          </cell>
        </row>
        <row r="50">
          <cell r="A50" t="str">
            <v>073</v>
          </cell>
          <cell r="B50" t="str">
            <v>Рогова Марина Гельевна</v>
          </cell>
        </row>
        <row r="51">
          <cell r="A51" t="str">
            <v>074</v>
          </cell>
          <cell r="B51" t="str">
            <v>ВакиловаГузель Азуатовна</v>
          </cell>
        </row>
        <row r="52">
          <cell r="A52" t="str">
            <v>078</v>
          </cell>
          <cell r="B52" t="str">
            <v>КоллероваИрина Васильевна</v>
          </cell>
        </row>
        <row r="53">
          <cell r="A53" t="str">
            <v>080</v>
          </cell>
          <cell r="B53" t="str">
            <v>Кулешова Ирина Сергеевна</v>
          </cell>
        </row>
        <row r="54">
          <cell r="A54" t="str">
            <v>083</v>
          </cell>
          <cell r="B54" t="str">
            <v>Финандеева Оксана Нурудиновна</v>
          </cell>
        </row>
        <row r="55">
          <cell r="A55" t="str">
            <v>087</v>
          </cell>
          <cell r="B55" t="str">
            <v>Муздакова Олеся Александровна</v>
          </cell>
        </row>
        <row r="56">
          <cell r="A56" t="str">
            <v>088</v>
          </cell>
          <cell r="B56" t="str">
            <v>Калье Эльмира Габдулвалеевна</v>
          </cell>
        </row>
        <row r="57">
          <cell r="A57" t="str">
            <v>089</v>
          </cell>
          <cell r="B57" t="str">
            <v>РомановаРаиса Николаевна</v>
          </cell>
        </row>
        <row r="58">
          <cell r="A58" t="str">
            <v>090</v>
          </cell>
          <cell r="B58" t="str">
            <v>ЛютостанскаяЛюдмила Ивановна</v>
          </cell>
        </row>
        <row r="59">
          <cell r="A59" t="str">
            <v>095</v>
          </cell>
          <cell r="B59" t="str">
            <v>Лапина Людмила Арнольдовна</v>
          </cell>
        </row>
        <row r="60">
          <cell r="A60" t="str">
            <v>098</v>
          </cell>
          <cell r="B60" t="str">
            <v>ДементьеваИрина Яковлевна</v>
          </cell>
        </row>
        <row r="61">
          <cell r="A61" t="str">
            <v>099</v>
          </cell>
          <cell r="B61" t="str">
            <v>ДемчукЛариса Аркадьевна</v>
          </cell>
        </row>
        <row r="62">
          <cell r="A62" t="str">
            <v>101</v>
          </cell>
          <cell r="B62" t="str">
            <v>Слета Олег Александрович</v>
          </cell>
        </row>
        <row r="63">
          <cell r="A63" t="str">
            <v>107</v>
          </cell>
          <cell r="B63" t="str">
            <v>Андрюнкин Александр Николаевич</v>
          </cell>
        </row>
        <row r="64">
          <cell r="A64" t="str">
            <v>109</v>
          </cell>
          <cell r="B64" t="str">
            <v>Буренин Юрий Владимирович</v>
          </cell>
        </row>
        <row r="65">
          <cell r="A65" t="str">
            <v>117</v>
          </cell>
          <cell r="B65" t="str">
            <v>Абрамов Руслан Васильевич</v>
          </cell>
        </row>
        <row r="66">
          <cell r="A66" t="str">
            <v>119</v>
          </cell>
          <cell r="B66" t="str">
            <v>Симоник Владимир Георгиевич</v>
          </cell>
        </row>
        <row r="67">
          <cell r="A67" t="str">
            <v>126</v>
          </cell>
          <cell r="B67" t="str">
            <v>ШуруповаОльга Валерьевна</v>
          </cell>
        </row>
        <row r="68">
          <cell r="A68" t="str">
            <v>127</v>
          </cell>
          <cell r="B68" t="str">
            <v>Куликова Людмила Евгеньевна</v>
          </cell>
        </row>
        <row r="69">
          <cell r="A69" t="str">
            <v>133</v>
          </cell>
          <cell r="B69" t="str">
            <v xml:space="preserve"> СмагинаЕлена Дмитриевна</v>
          </cell>
        </row>
        <row r="70">
          <cell r="A70" t="str">
            <v>140</v>
          </cell>
          <cell r="B70" t="str">
            <v>СимаковаВера Николаевна</v>
          </cell>
        </row>
        <row r="71">
          <cell r="A71" t="str">
            <v>203</v>
          </cell>
          <cell r="B71" t="str">
            <v>Исхакова Наталья Анатольевна</v>
          </cell>
        </row>
        <row r="72">
          <cell r="B72" t="str">
            <v>Брейдер Екатерина Шариповна</v>
          </cell>
        </row>
        <row r="73">
          <cell r="B73" t="str">
            <v>Самбур  Ольга Юрьевна</v>
          </cell>
        </row>
        <row r="74">
          <cell r="B74" t="str">
            <v>Кулашкина АленаНиколаевна</v>
          </cell>
        </row>
        <row r="75">
          <cell r="B75" t="str">
            <v>Смородинова Ольга Сергеевна</v>
          </cell>
        </row>
        <row r="76">
          <cell r="B76" t="str">
            <v>АюповаВераГригорьевна</v>
          </cell>
        </row>
        <row r="77">
          <cell r="B77" t="str">
            <v>Пунина Антонина Андреевна</v>
          </cell>
        </row>
        <row r="78">
          <cell r="B78" t="str">
            <v>Шакиров Денис Маратович</v>
          </cell>
        </row>
        <row r="79">
          <cell r="B79" t="str">
            <v>СтроителеваТамараПетровна</v>
          </cell>
        </row>
        <row r="80">
          <cell r="B80" t="str">
            <v>Кузьмина Анна Викторовна</v>
          </cell>
        </row>
        <row r="81">
          <cell r="B81" t="str">
            <v>ГавриличеваОльгаВладимировна</v>
          </cell>
        </row>
        <row r="82">
          <cell r="A82" t="str">
            <v>ИТОГО:</v>
          </cell>
        </row>
        <row r="83">
          <cell r="A83" t="str">
            <v>Декретный отпуск</v>
          </cell>
        </row>
        <row r="84">
          <cell r="A84" t="str">
            <v>010</v>
          </cell>
          <cell r="B84" t="str">
            <v xml:space="preserve">Гейнц Лилия Викторовна  </v>
          </cell>
        </row>
        <row r="85">
          <cell r="A85" t="str">
            <v>016</v>
          </cell>
          <cell r="B85" t="str">
            <v>Тухтубаева Эльза Айнуловна</v>
          </cell>
        </row>
        <row r="86">
          <cell r="A86" t="str">
            <v>024</v>
          </cell>
          <cell r="B86" t="str">
            <v>Илеева Светлана Сарсембаевна</v>
          </cell>
        </row>
        <row r="87">
          <cell r="A87" t="str">
            <v>034</v>
          </cell>
          <cell r="B87" t="str">
            <v>ДудниковаИрина Федоровна</v>
          </cell>
        </row>
        <row r="88">
          <cell r="A88" t="str">
            <v>085</v>
          </cell>
          <cell r="B88" t="str">
            <v>Долгова Римма Максовна</v>
          </cell>
        </row>
        <row r="89">
          <cell r="A89" t="str">
            <v>ИТОГО:</v>
          </cell>
        </row>
        <row r="90">
          <cell r="A90" t="str">
            <v>Исполнитель: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УП школы"/>
      <sheetName val="Учителя"/>
      <sheetName val="Спец_сты школы"/>
      <sheetName val="Рабочие"/>
      <sheetName val="Доля"/>
      <sheetName val="Ведомость"/>
      <sheetName val="Сводная"/>
    </sheetNames>
    <sheetDataSet>
      <sheetData sheetId="0"/>
      <sheetData sheetId="1" refreshError="1">
        <row r="5">
          <cell r="B5" t="str">
            <v xml:space="preserve">ШТАТНОЕ ЗАМЕЩЕНИЕ ПО ГРУППЕ "УЧИТЕЛЯ" </v>
          </cell>
        </row>
        <row r="6">
          <cell r="B6" t="str">
            <v>по состоянию на 01.09.2010</v>
          </cell>
        </row>
        <row r="7">
          <cell r="B7" t="str">
            <v>Наименование учереждения: Муниципальное общеобразовательное учреждение средняя общеобразовательная школа № 13</v>
          </cell>
        </row>
        <row r="8">
          <cell r="B8" t="str">
            <v>Юридический адрес: пр-кт Комсомольский, 10</v>
          </cell>
        </row>
        <row r="11">
          <cell r="A11" t="str">
            <v xml:space="preserve">Табельный № </v>
          </cell>
          <cell r="B11" t="str">
            <v>Ф.И.О.</v>
          </cell>
          <cell r="C11" t="str">
            <v>Занимаемая должность</v>
          </cell>
          <cell r="D11" t="str">
            <v>Образование, наименование учебного заведения</v>
          </cell>
          <cell r="E11" t="str">
            <v>Наименова-ние документа об образова-нии, его № и дата выдачи</v>
          </cell>
          <cell r="F11" t="str">
            <v xml:space="preserve">Стаж педогагической работы (число лет, месяцев, дней) </v>
          </cell>
          <cell r="G11" t="str">
            <v>Квалификация работника</v>
          </cell>
          <cell r="K11" t="str">
            <v>Кол-во недельных часов, всего</v>
          </cell>
          <cell r="L11" t="str">
            <v>из них:</v>
          </cell>
          <cell r="S11" t="str">
            <v>Базовая единица, руб.</v>
          </cell>
          <cell r="T11" t="str">
            <v>Коэффициент уровня образования (К1)</v>
          </cell>
          <cell r="U11" t="str">
            <v>Базовый оклад за норму часов преподавательской работы, руб.</v>
          </cell>
          <cell r="V11" t="str">
            <v>Расчет Базового оклада (Бо), руб.</v>
          </cell>
          <cell r="AE11" t="str">
            <v>Базовый оклад за часы работы в 1-11 классах, руб.</v>
          </cell>
          <cell r="AF11" t="str">
            <v>Коэффициент стажа работы (К2.1)</v>
          </cell>
          <cell r="AH11" t="str">
            <v>Коэффициент специфики работы (К2.2)</v>
          </cell>
          <cell r="AS11" t="str">
            <v>Коэффициент специфики работы (К2.2)</v>
          </cell>
          <cell r="BD11" t="str">
            <v>Районный коэффициент</v>
          </cell>
          <cell r="BE11" t="str">
            <v>Северная надбавка</v>
          </cell>
          <cell r="BF11" t="str">
            <v>Итого должностной оклад с учетом р/к, с/н</v>
          </cell>
          <cell r="BG11" t="str">
            <v>Фонд надбавок и доплат</v>
          </cell>
        </row>
        <row r="12">
          <cell r="G12" t="str">
            <v>Наличие квалифика-ционной категории 
(№ приказа, дата)</v>
          </cell>
          <cell r="H12" t="str">
            <v>Наличие ученой степени
 (№ диплома, дата)</v>
          </cell>
          <cell r="I12" t="str">
            <v>Наличие почетного звания,знаков отличия 
(№ документа, дата)</v>
          </cell>
          <cell r="L12" t="str">
            <v>в 1 - 4 классах</v>
          </cell>
          <cell r="P12" t="str">
            <v>в 5 - 11 классах</v>
          </cell>
          <cell r="V12" t="str">
            <v>в 1 - 4 классах</v>
          </cell>
          <cell r="Z12" t="str">
            <v>Итого Бо за часы работы в 1-4 классах</v>
          </cell>
          <cell r="AA12" t="str">
            <v>в 5 - 11 классах</v>
          </cell>
          <cell r="AD12" t="str">
            <v>Итого Бо за часы работы в 5-11 классах</v>
          </cell>
          <cell r="AF12" t="str">
            <v>размер коэффициента</v>
          </cell>
          <cell r="AG12" t="str">
            <v>сумма, руб.</v>
          </cell>
          <cell r="AH12" t="str">
            <v>Работа педагогических работников в прогимназии, гимназии, лицее, школе с углубленным изучением предметов (Тип 3)</v>
          </cell>
          <cell r="AJ12" t="str">
            <v>в 1-4 классах</v>
          </cell>
          <cell r="AS12" t="str">
            <v>с 5-11 классы</v>
          </cell>
          <cell r="BA12" t="str">
            <v>Заведование методическим объединением 
(Тип 3)</v>
          </cell>
          <cell r="BB12" t="str">
            <v>Заведование учебным кабинетом, мастерской, спортивным залом (Тип 3)</v>
          </cell>
          <cell r="BC12" t="str">
            <v>Работа учителя, связанная с выполнением обязанностей классного руководителя 
(Тип 2)</v>
          </cell>
          <cell r="BD12" t="str">
            <v>размер коэффициента</v>
          </cell>
          <cell r="BE12" t="str">
            <v>размер коэффициента</v>
          </cell>
          <cell r="BG12" t="str">
            <v>Доплата за подготовку Мастеров спорта</v>
          </cell>
          <cell r="BH12" t="str">
            <v>Доплата молодым специалистам</v>
          </cell>
          <cell r="BI12" t="str">
            <v>Социальный отпуск</v>
          </cell>
          <cell r="BJ12" t="str">
            <v>Доплата за разделение рабочего дня</v>
          </cell>
          <cell r="BK12" t="str">
            <v>За работу с неблагоприятными условиями труда</v>
          </cell>
        </row>
        <row r="13">
          <cell r="L13" t="str">
            <v>Кол-во часов в общеобразовательных классах</v>
          </cell>
          <cell r="M13" t="str">
            <v>Кол-во часов к классах компенсирующего обучения</v>
          </cell>
          <cell r="N13" t="str">
            <v>Кол-во часов в специальных  (коррекционных) классах</v>
          </cell>
          <cell r="O13" t="str">
            <v>Кол-во часов на домашнее обучение, обучение в больницах</v>
          </cell>
          <cell r="P13" t="str">
            <v>Кол-во часов в общеобразовательных классах</v>
          </cell>
          <cell r="Q13" t="str">
            <v>Кол-во часов в специальных  (коррекционных) классах</v>
          </cell>
          <cell r="R13" t="str">
            <v>Кол-во часов на домашнее обучение, обучение в больницах</v>
          </cell>
          <cell r="V13" t="str">
            <v>Бо за часы работы в общеобразовательных классах</v>
          </cell>
          <cell r="W13" t="str">
            <v>Бо за часы работы в классах компенсирующего обучения</v>
          </cell>
          <cell r="X13" t="str">
            <v xml:space="preserve">Бо за часы работы в специальных (коррекционных) классах </v>
          </cell>
          <cell r="Y13" t="str">
            <v>Бо за часы домашнего обучения, обучения в больницах</v>
          </cell>
          <cell r="AA13" t="str">
            <v>Бо за часы работы в общеобразовательных классах</v>
          </cell>
          <cell r="AB13" t="str">
            <v xml:space="preserve">Бо за часы работы в специальных (коррекционных) классах </v>
          </cell>
          <cell r="AC13" t="str">
            <v>Бо за часы домашнего обучения, обучения в больницах</v>
          </cell>
          <cell r="AH13" t="str">
            <v>размер коэффициента</v>
          </cell>
          <cell r="AI13" t="str">
            <v>сумма, руб.</v>
          </cell>
          <cell r="AJ13" t="str">
            <v>проверка тетрадей для учителей нач.классов (Тип 2)</v>
          </cell>
          <cell r="AM13" t="str">
            <v>работа учителя в классах компенсирующего обучения(Тип 2)</v>
          </cell>
          <cell r="AO13" t="str">
            <v>работа учителя в коррекционных классах(Тип 2)</v>
          </cell>
          <cell r="AQ13" t="str">
            <v>работа учителя в классах с индивидуальным и групповым обучением детей, находящихся на домашнем обучении, длительном лечении(Тип 2)</v>
          </cell>
          <cell r="AS13" t="str">
            <v>кол-во часов по предмету</v>
          </cell>
          <cell r="AT13" t="str">
            <v>проверка тетрадей по русскому, родному языку, литературе (Тип 1), математике, иностранному языку (Тип 2)</v>
          </cell>
          <cell r="AU13" t="str">
            <v>кол-во  часов по предмету</v>
          </cell>
          <cell r="AV13" t="str">
            <v>проверка тетрадей по физике, химии (Тип 3), географии, истории, черчению (Тип 4)</v>
          </cell>
          <cell r="AW13" t="str">
            <v>кол-во часов по предмету</v>
          </cell>
          <cell r="AX13" t="str">
            <v>проверка тетрадей по биологии, информатике 
(Тип 4)</v>
          </cell>
          <cell r="AY13" t="str">
            <v>работа учителя в коррекционных классах (Тип 2)</v>
          </cell>
          <cell r="AZ13" t="str">
            <v>работа учителя в классах с индивидуальным и групповым обучением детей, находящихся на домашнем обучении, длительном лечении (Тип 1)</v>
          </cell>
          <cell r="BA13" t="str">
            <v>размер коэффициента</v>
          </cell>
          <cell r="BB13" t="str">
            <v>размер коэффициента</v>
          </cell>
          <cell r="BC13" t="str">
            <v>размер коэффициента</v>
          </cell>
        </row>
        <row r="14">
          <cell r="AJ14" t="str">
            <v>размер коэффи-циента</v>
          </cell>
          <cell r="AL14" t="str">
            <v>сумма, руб.</v>
          </cell>
          <cell r="AM14" t="str">
            <v>размер коэффи-циента</v>
          </cell>
          <cell r="AN14" t="str">
            <v>сумма, руб.</v>
          </cell>
          <cell r="AO14" t="str">
            <v>размер коэффи-циента</v>
          </cell>
          <cell r="AP14" t="str">
            <v>сумма, руб.</v>
          </cell>
          <cell r="AQ14" t="str">
            <v>размер коэффи-циента</v>
          </cell>
          <cell r="AR14" t="str">
            <v>сумма, руб.</v>
          </cell>
          <cell r="AT14" t="str">
            <v>размер коэффи-циента</v>
          </cell>
          <cell r="AV14" t="str">
            <v>размер коэффи-циента</v>
          </cell>
          <cell r="AX14" t="str">
            <v>размер коэффи-циента</v>
          </cell>
          <cell r="AY14" t="str">
            <v>размер коэффи-циента</v>
          </cell>
          <cell r="AZ14" t="str">
            <v>размер коэффи-циента</v>
          </cell>
          <cell r="BA14" t="str">
            <v>размер коэффи-циент</v>
          </cell>
          <cell r="BB14" t="str">
            <v>размер коэффи-циент</v>
          </cell>
          <cell r="BC14" t="str">
            <v>размер коэффи-циент</v>
          </cell>
          <cell r="BG14" t="str">
            <v>%</v>
          </cell>
          <cell r="BH14" t="str">
            <v>%</v>
          </cell>
          <cell r="BI14" t="str">
            <v>%</v>
          </cell>
          <cell r="BJ14" t="str">
            <v>%</v>
          </cell>
          <cell r="BK14" t="str">
            <v>%</v>
          </cell>
        </row>
        <row r="15">
          <cell r="A15" t="str">
            <v>Педагогический персонал</v>
          </cell>
        </row>
        <row r="16">
          <cell r="A16" t="str">
            <v>004</v>
          </cell>
          <cell r="B16" t="str">
            <v>Сальникова 
Валентина Павловна</v>
          </cell>
        </row>
        <row r="17">
          <cell r="A17" t="str">
            <v>011</v>
          </cell>
          <cell r="B17" t="str">
            <v>Хвоинская 
Вера 
Адольфовна</v>
          </cell>
        </row>
        <row r="18">
          <cell r="A18" t="str">
            <v>012</v>
          </cell>
          <cell r="B18" t="str">
            <v>Владыкина 
Валентина Михайловна</v>
          </cell>
        </row>
        <row r="19">
          <cell r="A19" t="str">
            <v>014</v>
          </cell>
          <cell r="B19" t="str">
            <v>Бродникова
Ольга 
Викторовна</v>
          </cell>
        </row>
        <row r="20">
          <cell r="A20" t="str">
            <v>017</v>
          </cell>
          <cell r="B20" t="str">
            <v>Созинова
Ирина 
Викторовна</v>
          </cell>
        </row>
        <row r="21">
          <cell r="A21" t="str">
            <v>018</v>
          </cell>
          <cell r="B21" t="str">
            <v>Горобец
Елена 
Евгеньевна</v>
          </cell>
        </row>
        <row r="22">
          <cell r="A22" t="str">
            <v>019</v>
          </cell>
          <cell r="B22" t="str">
            <v>Мазурова 
Светлана Федоровна</v>
          </cell>
        </row>
        <row r="23">
          <cell r="A23" t="str">
            <v>021</v>
          </cell>
          <cell r="B23" t="str">
            <v>Кудрякова 
Людмила Анатольевна</v>
          </cell>
        </row>
        <row r="24">
          <cell r="A24" t="str">
            <v>022</v>
          </cell>
          <cell r="B24" t="str">
            <v>Литвиненко
Тамара 
Васильевна</v>
          </cell>
        </row>
        <row r="25">
          <cell r="A25" t="str">
            <v>023</v>
          </cell>
          <cell r="B25" t="str">
            <v>Иванова 
Светлана Александровна</v>
          </cell>
        </row>
        <row r="26">
          <cell r="A26" t="str">
            <v>025</v>
          </cell>
          <cell r="B26" t="str">
            <v>Птицина 
Александра Геннадьевна</v>
          </cell>
        </row>
        <row r="27">
          <cell r="A27" t="str">
            <v>026</v>
          </cell>
          <cell r="B27" t="str">
            <v>Горобец 
Анна 
Ивановна</v>
          </cell>
        </row>
        <row r="28">
          <cell r="A28" t="str">
            <v>027</v>
          </cell>
          <cell r="B28" t="str">
            <v>Никонорова 
Татьяна Александровна</v>
          </cell>
        </row>
        <row r="29">
          <cell r="A29" t="str">
            <v>029</v>
          </cell>
          <cell r="B29" t="str">
            <v>Невская 
Светлана Владимировна</v>
          </cell>
        </row>
        <row r="30">
          <cell r="A30" t="str">
            <v>030</v>
          </cell>
          <cell r="B30" t="str">
            <v>Шаповалова 
Олеся Владимировна</v>
          </cell>
        </row>
        <row r="31">
          <cell r="A31" t="str">
            <v>032</v>
          </cell>
          <cell r="B31" t="str">
            <v>Симкина 
Любовь Александровна</v>
          </cell>
        </row>
        <row r="32">
          <cell r="A32" t="str">
            <v>033</v>
          </cell>
          <cell r="B32" t="str">
            <v>Церабаева 
Светлана Владимировна</v>
          </cell>
        </row>
        <row r="33">
          <cell r="A33" t="str">
            <v>035</v>
          </cell>
          <cell r="B33" t="str">
            <v>Обожина 
Маргарита Михайловна</v>
          </cell>
        </row>
        <row r="34">
          <cell r="A34" t="str">
            <v>036</v>
          </cell>
          <cell r="B34" t="str">
            <v>Гринева
Ольга 
Ивановна</v>
          </cell>
        </row>
        <row r="35">
          <cell r="A35" t="str">
            <v>037</v>
          </cell>
          <cell r="B35" t="str">
            <v>Килинг 
Татьяна Викторовна</v>
          </cell>
        </row>
        <row r="36">
          <cell r="A36" t="str">
            <v>039</v>
          </cell>
          <cell r="B36" t="str">
            <v>Ишмиярова 
Алевтина Владимировна</v>
          </cell>
        </row>
        <row r="37">
          <cell r="A37" t="str">
            <v>040</v>
          </cell>
          <cell r="B37" t="str">
            <v>Гордеева 
Алла 
Николаевна</v>
          </cell>
        </row>
        <row r="38">
          <cell r="A38" t="str">
            <v>045</v>
          </cell>
          <cell r="B38" t="str">
            <v>Фоминых
Наталья 
Ивановна</v>
          </cell>
        </row>
        <row r="39">
          <cell r="A39" t="str">
            <v>046</v>
          </cell>
          <cell r="B39" t="str">
            <v>Фурина
Ольга 
Ивановна</v>
          </cell>
        </row>
        <row r="40">
          <cell r="A40" t="str">
            <v>052</v>
          </cell>
          <cell r="B40" t="str">
            <v>Тараненко 
Галина Робертовна</v>
          </cell>
        </row>
        <row r="41">
          <cell r="A41" t="str">
            <v>055</v>
          </cell>
          <cell r="B41" t="str">
            <v>Голышева
Оксана 
Юрьевна</v>
          </cell>
        </row>
        <row r="42">
          <cell r="A42" t="str">
            <v>057</v>
          </cell>
          <cell r="B42" t="str">
            <v>Стародубова
Галина 
Степановна</v>
          </cell>
        </row>
        <row r="43">
          <cell r="A43" t="str">
            <v>060</v>
          </cell>
          <cell r="B43" t="str">
            <v>Мальгин 
Александр Викторович</v>
          </cell>
        </row>
        <row r="44">
          <cell r="A44" t="str">
            <v>061</v>
          </cell>
          <cell r="B44" t="str">
            <v>Загирова 
Светлана 
Загировна</v>
          </cell>
        </row>
        <row r="45">
          <cell r="A45" t="str">
            <v>062</v>
          </cell>
          <cell r="B45" t="str">
            <v>Ахметов 
Станислав Радиевич</v>
          </cell>
        </row>
        <row r="46">
          <cell r="A46" t="str">
            <v>063</v>
          </cell>
          <cell r="B46" t="str">
            <v>Мальгина
Галина 
Васильевна</v>
          </cell>
        </row>
        <row r="47">
          <cell r="A47" t="str">
            <v>066</v>
          </cell>
          <cell r="B47" t="str">
            <v>Куряева
Лариса 
Евгеньевна</v>
          </cell>
        </row>
        <row r="48">
          <cell r="A48" t="str">
            <v>068</v>
          </cell>
          <cell r="B48" t="str">
            <v>Земченко
Лина 
Ивановна</v>
          </cell>
        </row>
        <row r="49">
          <cell r="A49" t="str">
            <v>072</v>
          </cell>
          <cell r="B49" t="str">
            <v>Глаголева
Галина 
Павловна</v>
          </cell>
        </row>
        <row r="50">
          <cell r="A50" t="str">
            <v>073</v>
          </cell>
          <cell r="B50" t="str">
            <v>Рогова 
Марина 
Гельевна</v>
          </cell>
        </row>
        <row r="51">
          <cell r="A51" t="str">
            <v>074</v>
          </cell>
          <cell r="B51" t="str">
            <v>Вакилова
Гузель 
Азуатовна</v>
          </cell>
        </row>
        <row r="52">
          <cell r="A52" t="str">
            <v>078</v>
          </cell>
          <cell r="B52" t="str">
            <v>Коллерова
Ирина
 Васильевна</v>
          </cell>
        </row>
        <row r="53">
          <cell r="A53" t="str">
            <v>080</v>
          </cell>
          <cell r="B53" t="str">
            <v>Кулешова 
Ирина 
Сергеевна</v>
          </cell>
        </row>
        <row r="54">
          <cell r="A54" t="str">
            <v>083</v>
          </cell>
          <cell r="B54" t="str">
            <v>Финандеева 
Оксана Нурудиновна</v>
          </cell>
        </row>
        <row r="55">
          <cell r="A55" t="str">
            <v>087</v>
          </cell>
          <cell r="B55" t="str">
            <v>Муздакова 
Олеся Александровна</v>
          </cell>
        </row>
        <row r="56">
          <cell r="A56" t="str">
            <v>088</v>
          </cell>
          <cell r="B56" t="str">
            <v>Калье 
Эльмира Габдулвалеевна</v>
          </cell>
        </row>
        <row r="57">
          <cell r="A57" t="str">
            <v>089</v>
          </cell>
          <cell r="B57" t="str">
            <v>Романова
Раиса 
Николаевна</v>
          </cell>
        </row>
        <row r="58">
          <cell r="A58" t="str">
            <v>090</v>
          </cell>
          <cell r="B58" t="str">
            <v>Лютостанская
Людмила 
Ивановна</v>
          </cell>
        </row>
        <row r="59">
          <cell r="A59" t="str">
            <v>095</v>
          </cell>
          <cell r="B59" t="str">
            <v>Лапина 
Людмила Арнольдовна</v>
          </cell>
        </row>
        <row r="60">
          <cell r="A60" t="str">
            <v>098</v>
          </cell>
          <cell r="B60" t="str">
            <v>Дементьева
Ирина 
Яковлевна</v>
          </cell>
        </row>
        <row r="61">
          <cell r="A61" t="str">
            <v>099</v>
          </cell>
          <cell r="B61" t="str">
            <v>Демчук
Лариса 
Аркадьевна</v>
          </cell>
        </row>
        <row r="62">
          <cell r="A62" t="str">
            <v>101</v>
          </cell>
          <cell r="B62" t="str">
            <v>Слета 
Олег Александрович</v>
          </cell>
        </row>
        <row r="63">
          <cell r="A63" t="str">
            <v>107</v>
          </cell>
          <cell r="B63" t="str">
            <v>Андрюнкин 
Александр Николаевич</v>
          </cell>
        </row>
        <row r="64">
          <cell r="A64" t="str">
            <v>109</v>
          </cell>
          <cell r="B64" t="str">
            <v>Буренин 
Юрий Владимирович</v>
          </cell>
        </row>
        <row r="65">
          <cell r="A65" t="str">
            <v>117</v>
          </cell>
          <cell r="B65" t="str">
            <v>Абрамов 
Руслан Васильевич</v>
          </cell>
        </row>
        <row r="66">
          <cell r="A66" t="str">
            <v>119</v>
          </cell>
          <cell r="B66" t="str">
            <v>Симоник 
Владимир Георгиевич</v>
          </cell>
        </row>
        <row r="67">
          <cell r="A67" t="str">
            <v>126</v>
          </cell>
          <cell r="B67" t="str">
            <v>Шурупова
Ольга 
Валерьевна</v>
          </cell>
        </row>
        <row r="68">
          <cell r="A68" t="str">
            <v>127</v>
          </cell>
          <cell r="B68" t="str">
            <v>Куликова 
Людмила Евгеньевна</v>
          </cell>
        </row>
        <row r="69">
          <cell r="A69" t="str">
            <v>133</v>
          </cell>
          <cell r="B69" t="str">
            <v xml:space="preserve"> Смагина
Елена 
Дмитриевна</v>
          </cell>
        </row>
        <row r="70">
          <cell r="A70" t="str">
            <v>140</v>
          </cell>
          <cell r="B70" t="str">
            <v>Симакова
Вера 
Николаевна</v>
          </cell>
        </row>
        <row r="71">
          <cell r="A71" t="str">
            <v>203</v>
          </cell>
          <cell r="B71" t="str">
            <v>Исхакова 
Наталья Анатольевна</v>
          </cell>
        </row>
        <row r="72">
          <cell r="B72" t="str">
            <v>Брейдер 
Екатерина 
Шариповна</v>
          </cell>
        </row>
        <row r="73">
          <cell r="B73" t="str">
            <v>Самбур  
Ольга Юрьевна</v>
          </cell>
        </row>
        <row r="74">
          <cell r="B74" t="str">
            <v>Кулашкина 
Алена
Николаевна</v>
          </cell>
        </row>
        <row r="75">
          <cell r="B75" t="str">
            <v>Смородинова 
Ольга 
Сергеевна</v>
          </cell>
        </row>
        <row r="76">
          <cell r="B76" t="str">
            <v>Аюпова
Вера
Григорьевна</v>
          </cell>
        </row>
        <row r="77">
          <cell r="B77" t="str">
            <v>Пунина 
Антонина 
Андреевна</v>
          </cell>
        </row>
        <row r="78">
          <cell r="B78" t="str">
            <v>Шакиров 
Денис 
Маратович</v>
          </cell>
        </row>
        <row r="79">
          <cell r="B79" t="str">
            <v>Строителева
Тамара
Петровна</v>
          </cell>
        </row>
        <row r="80">
          <cell r="B80" t="str">
            <v>Кузьмина 
Анна 
Викторовна</v>
          </cell>
        </row>
        <row r="81">
          <cell r="B81" t="str">
            <v>Гавриличева
Ольга
Владимировна</v>
          </cell>
        </row>
        <row r="82">
          <cell r="A82" t="str">
            <v>ИТОГО:</v>
          </cell>
        </row>
        <row r="83">
          <cell r="A83" t="str">
            <v>Декретный отпуск</v>
          </cell>
        </row>
        <row r="84">
          <cell r="A84" t="str">
            <v>010</v>
          </cell>
          <cell r="B84" t="str">
            <v xml:space="preserve">Гейнц 
Лилия 
Викторовна  </v>
          </cell>
        </row>
        <row r="85">
          <cell r="A85" t="str">
            <v>016</v>
          </cell>
          <cell r="B85" t="str">
            <v>Тухтубаева 
Эльза 
Айнуловна</v>
          </cell>
        </row>
        <row r="86">
          <cell r="A86" t="str">
            <v>024</v>
          </cell>
          <cell r="B86" t="str">
            <v>Илеева 
Светлана 
Сарсембаевна</v>
          </cell>
        </row>
        <row r="87">
          <cell r="A87" t="str">
            <v>034</v>
          </cell>
          <cell r="B87" t="str">
            <v>Дудникова
Ирина 
Федоровна</v>
          </cell>
        </row>
        <row r="88">
          <cell r="A88" t="str">
            <v>085</v>
          </cell>
          <cell r="B88" t="str">
            <v>Долгова 
Римма 
Максовна</v>
          </cell>
        </row>
        <row r="89">
          <cell r="A89" t="str">
            <v>ИТОГО:</v>
          </cell>
        </row>
        <row r="90">
          <cell r="A90" t="str">
            <v>Исполнитель: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 оу 35"/>
      <sheetName val="Спец_сты школы 35"/>
      <sheetName val="АУП 35"/>
      <sheetName val="35 квд 303"/>
      <sheetName val="ОУ 35"/>
      <sheetName val="ОУ 35(303)"/>
      <sheetName val="штатное35"/>
    </sheetNames>
    <sheetDataSet>
      <sheetData sheetId="0"/>
      <sheetData sheetId="1">
        <row r="13">
          <cell r="A13" t="str">
            <v>№ п/п</v>
          </cell>
          <cell r="B13" t="str">
            <v>Ф.И.О.</v>
          </cell>
          <cell r="C13" t="str">
            <v>Занимаемая должность</v>
          </cell>
          <cell r="D13" t="str">
            <v>Образование, наименование учебного заведения</v>
          </cell>
          <cell r="E13" t="str">
            <v>Наимено-вание документа об образовании, его № и дата выдачи</v>
          </cell>
          <cell r="F13" t="str">
            <v>Стаж работы по занимае-мой должности или профилю деятель-ности (число лет, месяцев, дней)</v>
          </cell>
          <cell r="G13" t="str">
            <v>Квалификация работника</v>
          </cell>
          <cell r="J13" t="str">
            <v>Кол-во ставок</v>
          </cell>
          <cell r="K13" t="str">
            <v>Кол-во недельных часов</v>
          </cell>
          <cell r="L13" t="str">
            <v>Базовая единица, руб.</v>
          </cell>
          <cell r="M13" t="str">
            <v>Коэффициент уровня образования (К1)</v>
          </cell>
          <cell r="N13" t="str">
            <v xml:space="preserve">Базовый оклад за ставку заработной платы, руб. </v>
          </cell>
          <cell r="O13" t="str">
            <v xml:space="preserve">Базовый оклад за фактически замещенное кол-во штатных единиц, руб. </v>
          </cell>
          <cell r="P13" t="str">
            <v>Коэффициент стажа (К2.1)</v>
          </cell>
          <cell r="R13" t="str">
            <v>Коэффициент специфики работы (К2.2)</v>
          </cell>
          <cell r="Z13" t="str">
            <v xml:space="preserve">Коэффициент квалификации работника (К2.3) </v>
          </cell>
          <cell r="AD13" t="str">
            <v xml:space="preserve">Должностной оклад с учетом повышающих коэффициентов, руб. </v>
          </cell>
          <cell r="AE13" t="str">
            <v>Районный коэффициент</v>
          </cell>
          <cell r="AG13" t="str">
            <v>Северная надбавка</v>
          </cell>
          <cell r="AI13" t="str">
            <v>Итого должностной оклад с учетом р/к, с/н, руб.</v>
          </cell>
          <cell r="AJ13" t="str">
            <v>Фонд надбавок и доплат</v>
          </cell>
          <cell r="AU13" t="str">
            <v>Итого фонд надбавок и доплат, руб.</v>
          </cell>
          <cell r="AV13" t="str">
            <v>Районный коэффициент</v>
          </cell>
          <cell r="AX13" t="str">
            <v>Северная надбавка</v>
          </cell>
          <cell r="AZ13" t="str">
            <v>Всего фонд надбавок и доплат, руб.</v>
          </cell>
          <cell r="BA13" t="str">
            <v>Итого фонд заработной платы в месяц, руб.</v>
          </cell>
        </row>
        <row r="14">
          <cell r="G14" t="str">
            <v>Наличие квалифика-ционной категории (№ приказа, дата)</v>
          </cell>
          <cell r="H14" t="str">
            <v>Наличие ученой степени (№ диплома, дата)</v>
          </cell>
          <cell r="I14" t="str">
            <v>Наличие почетного звания, знаков отличия (№ документа, дата)</v>
          </cell>
          <cell r="P14" t="str">
            <v>размер коэффициента</v>
          </cell>
          <cell r="Q14" t="str">
            <v>сумма, руб.</v>
          </cell>
          <cell r="R14" t="str">
            <v>Работа в специальных коррекционных классах, в классах компенсирующего вида (Тип 1, Тип 2)</v>
          </cell>
          <cell r="T14" t="str">
            <v>Работа ведущих специалистов</v>
          </cell>
          <cell r="V14" t="str">
            <v>Заведование  учебным кабинетом, мастеской, спортивным залом (Тип 3)</v>
          </cell>
          <cell r="X14" t="str">
            <v>Заведование методическим отделением (Тип 3)</v>
          </cell>
          <cell r="Z14" t="str">
            <v>За квал. категорию или ученую степень</v>
          </cell>
          <cell r="AB14" t="str">
            <v>За почетные звания, знаки отличия</v>
          </cell>
          <cell r="AE14" t="str">
            <v>размер коэффициента</v>
          </cell>
          <cell r="AF14" t="str">
            <v>сумма, руб.</v>
          </cell>
          <cell r="AG14" t="str">
            <v>размер коэффициента</v>
          </cell>
          <cell r="AH14" t="str">
            <v>сумма, руб.</v>
          </cell>
          <cell r="AJ14" t="str">
            <v>Доплаты</v>
          </cell>
          <cell r="AT14" t="str">
            <v>Стимули-рующая надбавка, руб.</v>
          </cell>
          <cell r="AV14" t="str">
            <v>размер коэффициента</v>
          </cell>
          <cell r="AW14" t="str">
            <v>сумма, руб.</v>
          </cell>
          <cell r="AX14" t="str">
            <v>размер коэффициента</v>
          </cell>
          <cell r="AY14" t="str">
            <v>сумма, руб.</v>
          </cell>
        </row>
        <row r="15">
          <cell r="R15" t="str">
            <v>размер коэффициента</v>
          </cell>
          <cell r="S15" t="str">
            <v>сумма, руб.</v>
          </cell>
          <cell r="T15" t="str">
            <v>размер коэффициента</v>
          </cell>
          <cell r="U15" t="str">
            <v>сумма, руб.</v>
          </cell>
          <cell r="V15" t="str">
            <v>размер коэффициента</v>
          </cell>
          <cell r="W15" t="str">
            <v>сумма, руб.</v>
          </cell>
          <cell r="X15" t="str">
            <v>размер коэффициента</v>
          </cell>
          <cell r="Y15" t="str">
            <v>сумма, руб.</v>
          </cell>
          <cell r="Z15" t="str">
            <v>размер коэффициента</v>
          </cell>
          <cell r="AA15" t="str">
            <v>сумма, руб.</v>
          </cell>
          <cell r="AB15" t="str">
            <v>размер коэффициента</v>
          </cell>
          <cell r="AC15" t="str">
            <v>сумма, руб.</v>
          </cell>
          <cell r="AJ15" t="str">
            <v>доплата за СКК одному работнику</v>
          </cell>
          <cell r="AL15" t="str">
            <v>за работу с неблагоприятными условиями труда</v>
          </cell>
          <cell r="AN15" t="str">
            <v>доплата за работу с библиотечным фондом</v>
          </cell>
          <cell r="AP15" t="str">
            <v>доплата работникам библиотек</v>
          </cell>
          <cell r="AR15" t="str">
            <v>доплата за особые условия труда работникам библиотек</v>
          </cell>
        </row>
        <row r="16">
          <cell r="AJ16" t="str">
            <v>%</v>
          </cell>
          <cell r="AK16" t="str">
            <v>сумма, руб.</v>
          </cell>
          <cell r="AL16" t="str">
            <v>%</v>
          </cell>
          <cell r="AM16" t="str">
            <v>сумма, руб.</v>
          </cell>
          <cell r="AN16" t="str">
            <v>%</v>
          </cell>
          <cell r="AO16" t="str">
            <v>сумма, руб.</v>
          </cell>
          <cell r="AP16" t="str">
            <v>%</v>
          </cell>
          <cell r="AQ16" t="str">
            <v>сумма, руб.</v>
          </cell>
          <cell r="AR16" t="str">
            <v>%</v>
          </cell>
          <cell r="AS16" t="str">
            <v>сумма, руб.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 оу 35"/>
      <sheetName val="Спец_сты школы 35"/>
      <sheetName val="АУП 35"/>
      <sheetName val="35 квд 303"/>
      <sheetName val="ОУ 35"/>
      <sheetName val="ОУ 35(303)"/>
      <sheetName val="штатное35"/>
    </sheetNames>
    <sheetDataSet>
      <sheetData sheetId="0"/>
      <sheetData sheetId="1">
        <row r="13">
          <cell r="A13" t="str">
            <v>№ п/п</v>
          </cell>
          <cell r="B13" t="str">
            <v>Ф.И.О.</v>
          </cell>
          <cell r="C13" t="str">
            <v>Занимаемая должность</v>
          </cell>
          <cell r="D13" t="str">
            <v>Образование, наименование учебного заведения</v>
          </cell>
          <cell r="E13" t="str">
            <v>Наимено-вание документа об образовании, его № и дата выдачи</v>
          </cell>
          <cell r="F13" t="str">
            <v>Стаж работы по занимае-мой должности или профилю деятель-ности (число лет, месяцев, дней)</v>
          </cell>
          <cell r="G13" t="str">
            <v>Квалификация работника</v>
          </cell>
          <cell r="J13" t="str">
            <v>Кол-во ставок</v>
          </cell>
          <cell r="K13" t="str">
            <v>Кол-во недельных часов</v>
          </cell>
          <cell r="L13" t="str">
            <v>Базовая единица, руб.</v>
          </cell>
          <cell r="M13" t="str">
            <v>Коэффициент уровня образования (К1)</v>
          </cell>
          <cell r="N13" t="str">
            <v xml:space="preserve">Базовый оклад за ставку заработной платы, руб. </v>
          </cell>
          <cell r="O13" t="str">
            <v xml:space="preserve">Базовый оклад за фактически замещенное кол-во штатных единиц, руб. </v>
          </cell>
          <cell r="P13" t="str">
            <v>Коэффициент стажа (К2.1)</v>
          </cell>
          <cell r="R13" t="str">
            <v>Коэффициент специфики работы (К2.2)</v>
          </cell>
          <cell r="Z13" t="str">
            <v xml:space="preserve">Коэффициент квалификации работника (К2.3) </v>
          </cell>
          <cell r="AD13" t="str">
            <v xml:space="preserve">Должностной оклад с учетом повышающих коэффициентов, руб. </v>
          </cell>
          <cell r="AE13" t="str">
            <v>Районный коэффициент</v>
          </cell>
          <cell r="AG13" t="str">
            <v>Северная надбавка</v>
          </cell>
          <cell r="AI13" t="str">
            <v>Итого должностной оклад с учетом р/к, с/н, руб.</v>
          </cell>
          <cell r="AJ13" t="str">
            <v>Фонд надбавок и доплат</v>
          </cell>
          <cell r="AU13" t="str">
            <v>Итого фонд надбавок и доплат, руб.</v>
          </cell>
          <cell r="AV13" t="str">
            <v>Районный коэффициент</v>
          </cell>
          <cell r="AX13" t="str">
            <v>Северная надбавка</v>
          </cell>
          <cell r="AZ13" t="str">
            <v>Всего фонд надбавок и доплат, руб.</v>
          </cell>
          <cell r="BA13" t="str">
            <v>Итого фонд заработной платы в месяц, руб.</v>
          </cell>
        </row>
        <row r="14">
          <cell r="G14" t="str">
            <v>Наличие квалифика-ционной категории (№ приказа, дата)</v>
          </cell>
          <cell r="H14" t="str">
            <v>Наличие ученой степени (№ диплома, дата)</v>
          </cell>
          <cell r="I14" t="str">
            <v>Наличие почетного звания, знаков отличия (№ документа, дата)</v>
          </cell>
          <cell r="P14" t="str">
            <v>размер коэффициента</v>
          </cell>
          <cell r="Q14" t="str">
            <v>сумма, руб.</v>
          </cell>
          <cell r="R14" t="str">
            <v>Работа в специальных коррекционных классах, в классах компенсирующего вида (Тип 1, Тип 2)</v>
          </cell>
          <cell r="T14" t="str">
            <v>Работа ведущих специалистов</v>
          </cell>
          <cell r="V14" t="str">
            <v>Заведование  учебным кабинетом, мастеской, спортивным залом (Тип 3)</v>
          </cell>
          <cell r="X14" t="str">
            <v>Заведование методическим отделением (Тип 3)</v>
          </cell>
          <cell r="Z14" t="str">
            <v>За квал. категорию или ученую степень</v>
          </cell>
          <cell r="AB14" t="str">
            <v>За почетные звания, знаки отличия</v>
          </cell>
          <cell r="AE14" t="str">
            <v>размер коэффициента</v>
          </cell>
          <cell r="AF14" t="str">
            <v>сумма, руб.</v>
          </cell>
          <cell r="AG14" t="str">
            <v>размер коэффициента</v>
          </cell>
          <cell r="AH14" t="str">
            <v>сумма, руб.</v>
          </cell>
          <cell r="AJ14" t="str">
            <v>Доплаты</v>
          </cell>
          <cell r="AT14" t="str">
            <v>Стимули-рующая надбавка, руб.</v>
          </cell>
          <cell r="AV14" t="str">
            <v>размер коэффициента</v>
          </cell>
          <cell r="AW14" t="str">
            <v>сумма, руб.</v>
          </cell>
          <cell r="AX14" t="str">
            <v>размер коэффициента</v>
          </cell>
          <cell r="AY14" t="str">
            <v>сумма, руб.</v>
          </cell>
        </row>
        <row r="15">
          <cell r="R15" t="str">
            <v>размер коэффициента</v>
          </cell>
          <cell r="S15" t="str">
            <v>сумма, руб.</v>
          </cell>
          <cell r="T15" t="str">
            <v>размер коэффициента</v>
          </cell>
          <cell r="U15" t="str">
            <v>сумма, руб.</v>
          </cell>
          <cell r="V15" t="str">
            <v>размер коэффициента</v>
          </cell>
          <cell r="W15" t="str">
            <v>сумма, руб.</v>
          </cell>
          <cell r="X15" t="str">
            <v>размер коэффициента</v>
          </cell>
          <cell r="Y15" t="str">
            <v>сумма, руб.</v>
          </cell>
          <cell r="Z15" t="str">
            <v>размер коэффициента</v>
          </cell>
          <cell r="AA15" t="str">
            <v>сумма, руб.</v>
          </cell>
          <cell r="AB15" t="str">
            <v>размер коэффициента</v>
          </cell>
          <cell r="AC15" t="str">
            <v>сумма, руб.</v>
          </cell>
          <cell r="AJ15" t="str">
            <v>доплата за СКК одному работнику</v>
          </cell>
          <cell r="AL15" t="str">
            <v>за работу с неблагоприятными условиями труда</v>
          </cell>
          <cell r="AN15" t="str">
            <v>доплата за работу с библиотечным фондом</v>
          </cell>
          <cell r="AP15" t="str">
            <v>доплата работникам библиотек</v>
          </cell>
          <cell r="AR15" t="str">
            <v>доплата за особые условия труда работникам библиотек</v>
          </cell>
        </row>
        <row r="16">
          <cell r="AJ16" t="str">
            <v>%</v>
          </cell>
          <cell r="AK16" t="str">
            <v>сумма, руб.</v>
          </cell>
          <cell r="AL16" t="str">
            <v>%</v>
          </cell>
          <cell r="AM16" t="str">
            <v>сумма, руб.</v>
          </cell>
          <cell r="AN16" t="str">
            <v>%</v>
          </cell>
          <cell r="AO16" t="str">
            <v>сумма, руб.</v>
          </cell>
          <cell r="AP16" t="str">
            <v>%</v>
          </cell>
          <cell r="AQ16" t="str">
            <v>сумма, руб.</v>
          </cell>
          <cell r="AR16" t="str">
            <v>%</v>
          </cell>
          <cell r="AS16" t="str">
            <v>сумма, руб.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 оу 35"/>
      <sheetName val="Спец_сты школы 35"/>
      <sheetName val="АУП 35"/>
      <sheetName val="35 квд 303"/>
      <sheetName val="ОУ 35"/>
      <sheetName val="ОУ 35(303)"/>
      <sheetName val="штатное35"/>
    </sheetNames>
    <sheetDataSet>
      <sheetData sheetId="0"/>
      <sheetData sheetId="1">
        <row r="13">
          <cell r="A13" t="str">
            <v>№ п/п</v>
          </cell>
          <cell r="B13" t="str">
            <v>Ф.И.О.</v>
          </cell>
          <cell r="C13" t="str">
            <v>Занимаемая должность</v>
          </cell>
          <cell r="D13" t="str">
            <v>Образование, наименование учебного заведения</v>
          </cell>
          <cell r="E13" t="str">
            <v>Наимено-вание документа об образовании, его № и дата выдачи</v>
          </cell>
          <cell r="F13" t="str">
            <v>Стаж работы по занимае-мой должности или профилю деятель-ности (число лет, месяцев, дней)</v>
          </cell>
          <cell r="G13" t="str">
            <v>Квалификация работника</v>
          </cell>
          <cell r="J13" t="str">
            <v>Кол-во ставок</v>
          </cell>
          <cell r="K13" t="str">
            <v>Кол-во недельных часов</v>
          </cell>
          <cell r="L13" t="str">
            <v>Базовая единица, руб.</v>
          </cell>
          <cell r="M13" t="str">
            <v>Коэффициент уровня образования (К1)</v>
          </cell>
          <cell r="N13" t="str">
            <v xml:space="preserve">Базовый оклад за ставку заработной платы, руб. </v>
          </cell>
          <cell r="O13" t="str">
            <v xml:space="preserve">Базовый оклад за фактически замещенное кол-во штатных единиц, руб. </v>
          </cell>
          <cell r="P13" t="str">
            <v>Коэффициент стажа (К2.1)</v>
          </cell>
          <cell r="R13" t="str">
            <v>Коэффициент специфики работы (К2.2)</v>
          </cell>
          <cell r="Z13" t="str">
            <v xml:space="preserve">Коэффициент квалификации работника (К2.3) </v>
          </cell>
          <cell r="AD13" t="str">
            <v xml:space="preserve">Должностной оклад с учетом повышающих коэффициентов, руб. </v>
          </cell>
          <cell r="AE13" t="str">
            <v>Районный коэффициент</v>
          </cell>
          <cell r="AG13" t="str">
            <v>Северная надбавка</v>
          </cell>
          <cell r="AI13" t="str">
            <v>Итого должностной оклад с учетом р/к, с/н, руб.</v>
          </cell>
          <cell r="AJ13" t="str">
            <v>Фонд надбавок и доплат</v>
          </cell>
          <cell r="AU13" t="str">
            <v>Итого фонд надбавок и доплат, руб.</v>
          </cell>
          <cell r="AV13" t="str">
            <v>Районный коэффициент</v>
          </cell>
          <cell r="AX13" t="str">
            <v>Северная надбавка</v>
          </cell>
          <cell r="AZ13" t="str">
            <v>Всего фонд надбавок и доплат, руб.</v>
          </cell>
          <cell r="BA13" t="str">
            <v>Итого фонд заработной платы в месяц, руб.</v>
          </cell>
        </row>
        <row r="14">
          <cell r="G14" t="str">
            <v>Наличие квалифика-ционной категории 
(№ приказа, дата)</v>
          </cell>
          <cell r="H14" t="str">
            <v>Наличие ученой степени
 (№ диплома, дата)</v>
          </cell>
          <cell r="I14" t="str">
            <v>Наличие почетного звания, знаков отличия 
(№ документа, дата)</v>
          </cell>
          <cell r="P14" t="str">
            <v>размер коэффициента</v>
          </cell>
          <cell r="Q14" t="str">
            <v>сумма, руб.</v>
          </cell>
          <cell r="R14" t="str">
            <v>Работа в специальных коррекционных классах, в классах компенсирующего вида (Тип 1, Тип 2)</v>
          </cell>
          <cell r="T14" t="str">
            <v>Работа ведущих специалистов</v>
          </cell>
          <cell r="V14" t="str">
            <v>Заведование  учебным кабинетом, мастеской, спортивным залом (Тип 3)</v>
          </cell>
          <cell r="X14" t="str">
            <v>Заведование методическим отделением (Тип 3)</v>
          </cell>
          <cell r="Z14" t="str">
            <v>За квал. категорию или ученую степень</v>
          </cell>
          <cell r="AB14" t="str">
            <v>За почетные звания, знаки отличия</v>
          </cell>
          <cell r="AE14" t="str">
            <v>размер коэффициента</v>
          </cell>
          <cell r="AF14" t="str">
            <v>сумма, руб.</v>
          </cell>
          <cell r="AG14" t="str">
            <v>размер коэффициента</v>
          </cell>
          <cell r="AH14" t="str">
            <v>сумма, руб.</v>
          </cell>
          <cell r="AJ14" t="str">
            <v>Доплаты</v>
          </cell>
          <cell r="AT14" t="str">
            <v>Стимули-рующая надбавка, руб.</v>
          </cell>
          <cell r="AV14" t="str">
            <v>размер коэффициента</v>
          </cell>
          <cell r="AW14" t="str">
            <v>сумма, руб.</v>
          </cell>
          <cell r="AX14" t="str">
            <v>размер коэффициента</v>
          </cell>
          <cell r="AY14" t="str">
            <v>сумма, руб.</v>
          </cell>
        </row>
        <row r="15">
          <cell r="R15" t="str">
            <v>размер коэффициента</v>
          </cell>
          <cell r="S15" t="str">
            <v>сумма, руб.</v>
          </cell>
          <cell r="T15" t="str">
            <v>размер коэффициента</v>
          </cell>
          <cell r="U15" t="str">
            <v>сумма, руб.</v>
          </cell>
          <cell r="V15" t="str">
            <v>размер коэффициента</v>
          </cell>
          <cell r="W15" t="str">
            <v>сумма, руб.</v>
          </cell>
          <cell r="X15" t="str">
            <v>размер коэффициента</v>
          </cell>
          <cell r="Y15" t="str">
            <v>сумма, руб.</v>
          </cell>
          <cell r="Z15" t="str">
            <v>размер коэффициента</v>
          </cell>
          <cell r="AA15" t="str">
            <v>сумма, руб.</v>
          </cell>
          <cell r="AB15" t="str">
            <v>размер коэффициента</v>
          </cell>
          <cell r="AC15" t="str">
            <v>сумма, руб.</v>
          </cell>
          <cell r="AJ15" t="str">
            <v>доплата за СКК одному работнику</v>
          </cell>
          <cell r="AL15" t="str">
            <v>за работу с неблагоприятными условиями труда</v>
          </cell>
          <cell r="AN15" t="str">
            <v>доплата за работу с библиотечным фондом</v>
          </cell>
          <cell r="AP15" t="str">
            <v>доплата работникам библиотек</v>
          </cell>
          <cell r="AR15" t="str">
            <v>доплата за особые условия труда работникам библиотек</v>
          </cell>
        </row>
        <row r="16">
          <cell r="AJ16" t="str">
            <v>%</v>
          </cell>
          <cell r="AK16" t="str">
            <v>сумма, руб.</v>
          </cell>
          <cell r="AL16" t="str">
            <v>%</v>
          </cell>
          <cell r="AM16" t="str">
            <v>сумма, руб.</v>
          </cell>
          <cell r="AN16" t="str">
            <v>%</v>
          </cell>
          <cell r="AO16" t="str">
            <v>сумма, руб.</v>
          </cell>
          <cell r="AP16" t="str">
            <v>%</v>
          </cell>
          <cell r="AQ16" t="str">
            <v>сумма, руб.</v>
          </cell>
          <cell r="AR16" t="str">
            <v>%</v>
          </cell>
          <cell r="AS16" t="str">
            <v>сумма, руб.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 оу 35"/>
      <sheetName val="Спец_сты школы 35"/>
      <sheetName val="АУП 35"/>
      <sheetName val="35 квд 303"/>
      <sheetName val="ОУ 35"/>
      <sheetName val="ОУ 35(303)"/>
      <sheetName val="штатное35"/>
    </sheetNames>
    <sheetDataSet>
      <sheetData sheetId="0"/>
      <sheetData sheetId="1">
        <row r="13">
          <cell r="A13" t="str">
            <v>№ п/п</v>
          </cell>
          <cell r="B13" t="str">
            <v>Ф.И.О.</v>
          </cell>
          <cell r="C13" t="str">
            <v>Занимаемая должность</v>
          </cell>
          <cell r="D13" t="str">
            <v>Образование, наименование учебного заведения</v>
          </cell>
          <cell r="E13" t="str">
            <v>Наимено-вание документа об образовании, его № и дата выдачи</v>
          </cell>
          <cell r="F13" t="str">
            <v>Стаж работы по занимае-мой должности или профилю деятель-ности (число лет, месяцев, дней)</v>
          </cell>
          <cell r="G13" t="str">
            <v>Квалификация работника</v>
          </cell>
          <cell r="J13" t="str">
            <v>Кол-во ставок</v>
          </cell>
          <cell r="K13" t="str">
            <v>Кол-во недельных часов</v>
          </cell>
          <cell r="L13" t="str">
            <v>Базовая единица, руб.</v>
          </cell>
          <cell r="M13" t="str">
            <v>Коэффициент уровня образования (К1)</v>
          </cell>
          <cell r="N13" t="str">
            <v xml:space="preserve">Базовый оклад за ставку заработной платы, руб. </v>
          </cell>
          <cell r="O13" t="str">
            <v xml:space="preserve">Базовый оклад за фактически замещенное кол-во штатных единиц, руб. </v>
          </cell>
          <cell r="P13" t="str">
            <v>Коэффициент стажа (К2.1)</v>
          </cell>
          <cell r="R13" t="str">
            <v>Коэффициент специфики работы (К2.2)</v>
          </cell>
          <cell r="Z13" t="str">
            <v xml:space="preserve">Коэффициент квалификации работника (К2.3) </v>
          </cell>
          <cell r="AD13" t="str">
            <v xml:space="preserve">Должностной оклад с учетом повышающих коэффициентов, руб. </v>
          </cell>
          <cell r="AE13" t="str">
            <v>Районный коэффициент</v>
          </cell>
          <cell r="AG13" t="str">
            <v>Северная надбавка</v>
          </cell>
          <cell r="AI13" t="str">
            <v>Итого должностной оклад с учетом р/к, с/н, руб.</v>
          </cell>
          <cell r="AJ13" t="str">
            <v>Фонд надбавок и доплат</v>
          </cell>
          <cell r="AU13" t="str">
            <v>Итого фонд надбавок и доплат, руб.</v>
          </cell>
          <cell r="AV13" t="str">
            <v>Районный коэффициент</v>
          </cell>
          <cell r="AX13" t="str">
            <v>Северная надбавка</v>
          </cell>
          <cell r="AZ13" t="str">
            <v>Всего фонд надбавок и доплат, руб.</v>
          </cell>
          <cell r="BA13" t="str">
            <v>Итого фонд заработной платы в месяц, руб.</v>
          </cell>
        </row>
        <row r="14">
          <cell r="G14" t="str">
            <v>Наличие квалифика-ционной категории (№ приказа, дата)</v>
          </cell>
          <cell r="H14" t="str">
            <v>Наличие ученой степени (№ диплома, дата)</v>
          </cell>
          <cell r="I14" t="str">
            <v>Наличие почетного звания, знаков отличия (№ документа, дата)</v>
          </cell>
          <cell r="P14" t="str">
            <v>размер коэффициента</v>
          </cell>
          <cell r="Q14" t="str">
            <v>сумма, руб.</v>
          </cell>
          <cell r="R14" t="str">
            <v>Работа в специальных коррекционных классах, в классах компенсирующего вида (Тип 1, Тип 2)</v>
          </cell>
          <cell r="T14" t="str">
            <v>Работа ведущих специалистов</v>
          </cell>
          <cell r="V14" t="str">
            <v>Заведование  учебным кабинетом, мастеской, спортивным залом (Тип 3)</v>
          </cell>
          <cell r="X14" t="str">
            <v>Заведование методическим отделением (Тип 3)</v>
          </cell>
          <cell r="Z14" t="str">
            <v>За квал. категорию или ученую степень</v>
          </cell>
          <cell r="AB14" t="str">
            <v>За почетные звания, знаки отличия</v>
          </cell>
          <cell r="AE14" t="str">
            <v>размер коэффициента</v>
          </cell>
          <cell r="AF14" t="str">
            <v>сумма, руб.</v>
          </cell>
          <cell r="AG14" t="str">
            <v>размер коэффициента</v>
          </cell>
          <cell r="AH14" t="str">
            <v>сумма, руб.</v>
          </cell>
          <cell r="AJ14" t="str">
            <v>Доплаты</v>
          </cell>
          <cell r="AT14" t="str">
            <v>Стимули-рующая надбавка, руб.</v>
          </cell>
          <cell r="AV14" t="str">
            <v>размер коэффициента</v>
          </cell>
          <cell r="AW14" t="str">
            <v>сумма, руб.</v>
          </cell>
          <cell r="AX14" t="str">
            <v>размер коэффициента</v>
          </cell>
          <cell r="AY14" t="str">
            <v>сумма, руб.</v>
          </cell>
        </row>
        <row r="15">
          <cell r="R15" t="str">
            <v>размер коэффициента</v>
          </cell>
          <cell r="S15" t="str">
            <v>сумма, руб.</v>
          </cell>
          <cell r="T15" t="str">
            <v>размер коэффициента</v>
          </cell>
          <cell r="U15" t="str">
            <v>сумма, руб.</v>
          </cell>
          <cell r="V15" t="str">
            <v>размер коэффициента</v>
          </cell>
          <cell r="W15" t="str">
            <v>сумма, руб.</v>
          </cell>
          <cell r="X15" t="str">
            <v>размер коэффициента</v>
          </cell>
          <cell r="Y15" t="str">
            <v>сумма, руб.</v>
          </cell>
          <cell r="Z15" t="str">
            <v>размер коэффициента</v>
          </cell>
          <cell r="AA15" t="str">
            <v>сумма, руб.</v>
          </cell>
          <cell r="AB15" t="str">
            <v>размер коэффициента</v>
          </cell>
          <cell r="AC15" t="str">
            <v>сумма, руб.</v>
          </cell>
          <cell r="AJ15" t="str">
            <v>доплата за СКК одному работнику</v>
          </cell>
          <cell r="AL15" t="str">
            <v>за работу с неблагоприятными условиями труда</v>
          </cell>
          <cell r="AN15" t="str">
            <v>доплата за работу с библиотечным фондом</v>
          </cell>
          <cell r="AP15" t="str">
            <v>доплата работникам библиотек</v>
          </cell>
          <cell r="AR15" t="str">
            <v>доплата за особые условия труда работникам библиотек</v>
          </cell>
        </row>
        <row r="16">
          <cell r="AJ16" t="str">
            <v>%</v>
          </cell>
          <cell r="AK16" t="str">
            <v>сумма, руб.</v>
          </cell>
          <cell r="AL16" t="str">
            <v>%</v>
          </cell>
          <cell r="AM16" t="str">
            <v>сумма, руб.</v>
          </cell>
          <cell r="AN16" t="str">
            <v>%</v>
          </cell>
          <cell r="AO16" t="str">
            <v>сумма, руб.</v>
          </cell>
          <cell r="AP16" t="str">
            <v>%</v>
          </cell>
          <cell r="AQ16" t="str">
            <v>сумма, руб.</v>
          </cell>
          <cell r="AR16" t="str">
            <v>%</v>
          </cell>
          <cell r="AS16" t="str">
            <v>сумма, руб.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УП"/>
      <sheetName val="учит"/>
      <sheetName val="пед"/>
      <sheetName val="проч"/>
      <sheetName val="служ"/>
      <sheetName val="раб"/>
      <sheetName val="Опр-ие ФСВ"/>
      <sheetName val="доля"/>
      <sheetName val="Опр-ие w 1 балла"/>
      <sheetName val="Расчет размера премии"/>
      <sheetName val="Баллы директору"/>
      <sheetName val="премия"/>
      <sheetName val="проверка"/>
    </sheetNames>
    <sheetDataSet>
      <sheetData sheetId="0"/>
      <sheetData sheetId="1"/>
      <sheetData sheetId="2"/>
      <sheetData sheetId="3"/>
      <sheetData sheetId="4">
        <row r="1">
          <cell r="B1" t="str">
            <v>СОГЛАСОВАНО</v>
          </cell>
        </row>
        <row r="2">
          <cell r="B2" t="str">
            <v>Председатель профсоюзного комитета _______________</v>
          </cell>
        </row>
        <row r="3">
          <cell r="B3" t="str">
            <v>"_____"_________________2013г.</v>
          </cell>
        </row>
        <row r="7">
          <cell r="B7" t="str">
            <v>Расчет фонда заработной платы на административный, другой педагогический, учебно-вспомогательный и младший обслуживающий персонал на 01.09.2013</v>
          </cell>
        </row>
        <row r="8">
          <cell r="B8" t="str">
            <v xml:space="preserve"> Цех 032 МБОУ СОШ № 32 Категория 2.4 - Служащие УВПЦ</v>
          </cell>
        </row>
        <row r="9">
          <cell r="B9" t="str">
            <v>№ п/п</v>
          </cell>
          <cell r="C9" t="str">
            <v>Фамилия Имя Отчество</v>
          </cell>
          <cell r="D9" t="str">
            <v>Наменование должности, преподоваемый предмет</v>
          </cell>
          <cell r="E9" t="str">
            <v>Вид должности (основная, замещаемая, совместительство внутреннее/внешнее)</v>
          </cell>
          <cell r="F9" t="str">
            <v>Образование</v>
          </cell>
          <cell r="K9" t="str">
            <v>Квалификация работниа</v>
          </cell>
          <cell r="T9" t="str">
            <v>Стаж педагогической работы на 01.09.2013 г.</v>
          </cell>
          <cell r="W9" t="str">
            <v>Общее кол-во ставок</v>
          </cell>
          <cell r="X9" t="str">
            <v>Базовая единица, руб.</v>
          </cell>
          <cell r="Y9" t="str">
            <v>Коэффициент уровня образования (К1)</v>
          </cell>
          <cell r="Z9" t="str">
            <v>Основной оклад за ставку заработной платы, руб.</v>
          </cell>
          <cell r="AA9" t="str">
            <v>Базовый оклад за фактически замещенное кол-во штатных единиц, руб.</v>
          </cell>
          <cell r="AB9" t="str">
            <v>Коэффициент специфики (К2.2)</v>
          </cell>
          <cell r="AD9" t="str">
            <v>Должностной оклад с учетом повышающих коэффициентов, руб.</v>
          </cell>
          <cell r="AE9" t="str">
            <v>Районный коэффициент 70%, руб.</v>
          </cell>
          <cell r="AF9" t="str">
            <v>Северная надбавка</v>
          </cell>
          <cell r="AH9" t="str">
            <v>Итого должностной оклад с учетом р/к, с/н, руб.</v>
          </cell>
          <cell r="AI9" t="str">
            <v>Фонд надбавок и доплат</v>
          </cell>
          <cell r="AL9" t="str">
            <v>Итого фонд надбавок и доплат, руб.</v>
          </cell>
          <cell r="AM9" t="str">
            <v>Районный коэффициент 70%, руб.</v>
          </cell>
          <cell r="AN9" t="str">
            <v>Северная надбавка</v>
          </cell>
          <cell r="AP9" t="str">
            <v>Всего фонд надбавок и доплат, руб.</v>
          </cell>
          <cell r="AQ9" t="str">
            <v>Всего фонд заработной платы в месяц, руб.</v>
          </cell>
        </row>
        <row r="10">
          <cell r="F10" t="str">
            <v>Наименование учебного заведения (полностью)</v>
          </cell>
          <cell r="G10" t="str">
            <v xml:space="preserve"> Документ об образовании                       </v>
          </cell>
          <cell r="J10" t="str">
            <v>Вид образования (высшее, средне специальное                         и т.д.)</v>
          </cell>
          <cell r="K10" t="str">
            <v>Квалификационная категория</v>
          </cell>
          <cell r="N10" t="str">
            <v>Наличие ученой степени</v>
          </cell>
          <cell r="Q10" t="str">
            <v>Почетные звания, знаки отличия (все имеющиеся)</v>
          </cell>
          <cell r="AI10" t="str">
            <v>049 Доплата за вредные условия труда</v>
          </cell>
          <cell r="AK10" t="str">
            <v>312 Стимулирующая выплата</v>
          </cell>
        </row>
        <row r="11">
          <cell r="G11" t="str">
            <v>Наименование</v>
          </cell>
          <cell r="H11" t="str">
            <v>№</v>
          </cell>
          <cell r="I11" t="str">
            <v>дата выдачи</v>
          </cell>
          <cell r="K11" t="str">
            <v>приказ</v>
          </cell>
          <cell r="M11" t="str">
            <v>вид категории (высшаая, первая, вторая)</v>
          </cell>
          <cell r="N11" t="str">
            <v>Наименование ученой степени</v>
          </cell>
          <cell r="O11" t="str">
            <v>№ диплома</v>
          </cell>
          <cell r="P11" t="str">
            <v>дата выдачи</v>
          </cell>
          <cell r="Q11" t="str">
            <v>Наименование звания</v>
          </cell>
          <cell r="R11" t="str">
            <v>№ документа</v>
          </cell>
          <cell r="S11" t="str">
            <v>дата присвоения звания</v>
          </cell>
          <cell r="T11" t="str">
            <v>лет</v>
          </cell>
          <cell r="U11" t="str">
            <v>месяцев</v>
          </cell>
          <cell r="V11" t="str">
            <v>дней</v>
          </cell>
        </row>
        <row r="12">
          <cell r="K12" t="str">
            <v>№</v>
          </cell>
          <cell r="L12" t="str">
            <v xml:space="preserve">дата </v>
          </cell>
          <cell r="AB12" t="str">
            <v>размер коэффициента</v>
          </cell>
          <cell r="AC12" t="str">
            <v>сумма, руб.</v>
          </cell>
          <cell r="AF12" t="str">
            <v>размер коэффициента</v>
          </cell>
          <cell r="AG12" t="str">
            <v>сумма, руб.</v>
          </cell>
          <cell r="AI12" t="str">
            <v>размер коэффициента</v>
          </cell>
          <cell r="AJ12" t="str">
            <v>сумма, руб.</v>
          </cell>
          <cell r="AK12" t="str">
            <v>сумма, руб.</v>
          </cell>
          <cell r="AN12" t="str">
            <v>размер коэффициента</v>
          </cell>
          <cell r="AO12" t="str">
            <v>сумма, руб.</v>
          </cell>
        </row>
        <row r="13">
          <cell r="B13">
            <v>1</v>
          </cell>
          <cell r="C13">
            <v>2</v>
          </cell>
          <cell r="D13">
            <v>3</v>
          </cell>
          <cell r="E13">
            <v>4</v>
          </cell>
          <cell r="F13">
            <v>5</v>
          </cell>
          <cell r="G13">
            <v>6</v>
          </cell>
          <cell r="H13">
            <v>7</v>
          </cell>
          <cell r="I13">
            <v>8</v>
          </cell>
          <cell r="J13">
            <v>9</v>
          </cell>
          <cell r="K13">
            <v>10</v>
          </cell>
          <cell r="L13">
            <v>11</v>
          </cell>
          <cell r="M13">
            <v>12</v>
          </cell>
          <cell r="N13">
            <v>13</v>
          </cell>
          <cell r="O13">
            <v>14</v>
          </cell>
          <cell r="P13">
            <v>15</v>
          </cell>
          <cell r="Q13">
            <v>16</v>
          </cell>
          <cell r="R13">
            <v>17</v>
          </cell>
          <cell r="S13">
            <v>18</v>
          </cell>
          <cell r="T13">
            <v>10</v>
          </cell>
          <cell r="U13">
            <v>11</v>
          </cell>
          <cell r="V13">
            <v>12</v>
          </cell>
          <cell r="W13">
            <v>26</v>
          </cell>
          <cell r="X13">
            <v>38</v>
          </cell>
          <cell r="Y13">
            <v>39</v>
          </cell>
          <cell r="Z13">
            <v>40</v>
          </cell>
          <cell r="AA13">
            <v>51</v>
          </cell>
          <cell r="AB13">
            <v>52</v>
          </cell>
          <cell r="AC13">
            <v>54</v>
          </cell>
          <cell r="AD13">
            <v>56</v>
          </cell>
          <cell r="AE13">
            <v>57</v>
          </cell>
          <cell r="AF13">
            <v>58</v>
          </cell>
          <cell r="AG13">
            <v>59</v>
          </cell>
          <cell r="AH13">
            <v>60</v>
          </cell>
          <cell r="AI13">
            <v>61</v>
          </cell>
          <cell r="AJ13">
            <v>62</v>
          </cell>
          <cell r="AK13">
            <v>63</v>
          </cell>
          <cell r="AL13">
            <v>64</v>
          </cell>
          <cell r="AM13">
            <v>65</v>
          </cell>
          <cell r="AN13">
            <v>66</v>
          </cell>
          <cell r="AO13">
            <v>67</v>
          </cell>
          <cell r="AP13">
            <v>68</v>
          </cell>
          <cell r="AQ13">
            <v>69</v>
          </cell>
        </row>
        <row r="14">
          <cell r="B14" t="str">
            <v>1</v>
          </cell>
          <cell r="C14" t="str">
            <v>БаймухаметоваГульшатФларитовна(32605)</v>
          </cell>
        </row>
        <row r="15">
          <cell r="B15" t="str">
            <v>2</v>
          </cell>
          <cell r="C15" t="str">
            <v>Котельникова Эльвира Николаевна</v>
          </cell>
        </row>
        <row r="16">
          <cell r="B16" t="str">
            <v>3</v>
          </cell>
          <cell r="C16" t="str">
            <v>БаймухаметоваГульшатФларитовна(32605)</v>
          </cell>
        </row>
        <row r="17">
          <cell r="C17" t="str">
            <v>Итого</v>
          </cell>
        </row>
        <row r="20">
          <cell r="C20" t="str">
            <v>Специалист отдела кадров</v>
          </cell>
        </row>
        <row r="22">
          <cell r="C22" t="str">
            <v>Ведущий экономист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5">
          <cell r="T15">
            <v>1375</v>
          </cell>
        </row>
      </sheetData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ерка"/>
      <sheetName val="Опр. ФСВ"/>
      <sheetName val="АУП"/>
      <sheetName val="Учителя"/>
      <sheetName val="Спец-сты школы "/>
      <sheetName val="Рабочие"/>
      <sheetName val="Определение балла"/>
      <sheetName val="расчет баллов"/>
      <sheetName val="Директорский фонд"/>
    </sheetNames>
    <sheetDataSet>
      <sheetData sheetId="0"/>
      <sheetData sheetId="1"/>
      <sheetData sheetId="2"/>
      <sheetData sheetId="3">
        <row r="76">
          <cell r="K76">
            <v>65.569999999999993</v>
          </cell>
        </row>
      </sheetData>
      <sheetData sheetId="4">
        <row r="2">
          <cell r="A2" t="str">
            <v>СОГЛАСОВАНО:</v>
          </cell>
        </row>
        <row r="3">
          <cell r="A3" t="str">
            <v>Председатель профсоюзного комитета</v>
          </cell>
        </row>
        <row r="4">
          <cell r="A4" t="str">
            <v>_______________</v>
          </cell>
        </row>
        <row r="6">
          <cell r="A6" t="str">
            <v>"_____"__________________2012 г.</v>
          </cell>
        </row>
        <row r="7">
          <cell r="A7" t="str">
            <v>М.П.</v>
          </cell>
        </row>
        <row r="10">
          <cell r="A10" t="str">
            <v>ТАРИФИКАЦИОННЫЕ СПИСКИ ПЕДАГОГИЧЕСКОГО ПЕРСОНАЛА, ПРОЧИХ СПЕЦИАЛИСТОВ, СЛУЖАЩИХ НА 01.09.2012г.</v>
          </cell>
        </row>
        <row r="11">
          <cell r="A11" t="str">
            <v>МБОУ СОШ №6</v>
          </cell>
        </row>
        <row r="13">
          <cell r="A13" t="str">
            <v>№ п/п</v>
          </cell>
          <cell r="B13" t="str">
            <v>Ф.И.О.</v>
          </cell>
          <cell r="C13" t="str">
            <v>Занимаемая должность</v>
          </cell>
          <cell r="D13" t="str">
            <v>Образование, наименование учебного заведения</v>
          </cell>
          <cell r="E13" t="str">
            <v>Наименование документа об образовании, его № и дата выдачи</v>
          </cell>
          <cell r="F13" t="str">
            <v>Стаж работы по занимаемой должности или профилю деятельности (число лет, месяцев, дней)</v>
          </cell>
          <cell r="G13" t="str">
            <v>Квалификация работника</v>
          </cell>
          <cell r="K13" t="str">
            <v>Кол-во ставок</v>
          </cell>
          <cell r="L13" t="str">
            <v>Основная единица, руб.</v>
          </cell>
          <cell r="M13" t="str">
            <v>Коэффициент уровня образования</v>
          </cell>
          <cell r="N13" t="str">
            <v xml:space="preserve">Основной оклад за ставку заработной платы, руб. </v>
          </cell>
          <cell r="O13" t="str">
            <v xml:space="preserve">Количество часов, руб. </v>
          </cell>
          <cell r="P13" t="str">
            <v xml:space="preserve">Основной оклад за фактически замещенное кол-во штатных единиц, руб. </v>
          </cell>
          <cell r="Q13" t="str">
            <v>Коэффициент стажа</v>
          </cell>
          <cell r="S13" t="str">
            <v xml:space="preserve">Коэффициент специфики работы </v>
          </cell>
          <cell r="AE13" t="str">
            <v xml:space="preserve">Коэффициент квалификации работника </v>
          </cell>
          <cell r="AI13" t="str">
            <v xml:space="preserve">Должностной оклад с учетом повышающих коэффициентов, руб. </v>
          </cell>
          <cell r="AJ13" t="str">
            <v>Районный коэффициент</v>
          </cell>
          <cell r="AL13" t="str">
            <v>Северная надбавка</v>
          </cell>
          <cell r="AN13" t="str">
            <v>Итого должностной оклад с учетом р/к, с/н, руб.</v>
          </cell>
          <cell r="AO13" t="str">
            <v>Фонд надбавок и доплат</v>
          </cell>
          <cell r="BD13" t="str">
            <v>Итого фонд надбавок и доплат, руб.</v>
          </cell>
          <cell r="BE13" t="str">
            <v>Районный коэффициент</v>
          </cell>
          <cell r="BG13" t="str">
            <v>Северная надбавка</v>
          </cell>
          <cell r="BI13" t="str">
            <v>Всего фонд надбавок и доплат, руб.</v>
          </cell>
          <cell r="BJ13" t="str">
            <v>Итого фонд заработной платы в месяц, руб.</v>
          </cell>
        </row>
        <row r="14">
          <cell r="G14" t="str">
            <v>Наличие квалификационной категории 
(№ приказа, дата)</v>
          </cell>
          <cell r="H14" t="str">
            <v>Наличие ученой степени
 (№ диплома, дата)</v>
          </cell>
          <cell r="I14" t="str">
            <v>Наличие ученой степени (№ приказа, дата)</v>
          </cell>
          <cell r="J14" t="str">
            <v>Наличие почетного звания, знаков отличия 
(№ документа, дата)</v>
          </cell>
          <cell r="Q14" t="str">
            <v>размер коэффициента</v>
          </cell>
          <cell r="R14" t="str">
            <v>сумма, руб.</v>
          </cell>
          <cell r="S14" t="str">
            <v>Выполнение обязанностей классного руководителя</v>
          </cell>
          <cell r="U14" t="str">
            <v>Работа ведущего специалиста</v>
          </cell>
          <cell r="W14" t="str">
            <v>Работа в классах компенсирующего вида (группах)</v>
          </cell>
          <cell r="Y14" t="str">
            <v>Работа педагогических работников в прогимназии, гимназии, лицее, школе с углубленным изучением предметов(Тип 4 п.2.3.)</v>
          </cell>
          <cell r="AA14" t="str">
            <v>Заведование  учебным кабинетом, мастерской, спортивным залом (Тип 4 п.2.4.)</v>
          </cell>
          <cell r="AC14" t="str">
            <v xml:space="preserve">Заведование методическим отделением </v>
          </cell>
          <cell r="AE14" t="str">
            <v>За квал. категорию или ученую степень</v>
          </cell>
          <cell r="AG14" t="str">
            <v>За почетные звания, знаки отличия</v>
          </cell>
          <cell r="AJ14" t="str">
            <v>размер коэффициента</v>
          </cell>
          <cell r="AK14" t="str">
            <v>сумма, руб.</v>
          </cell>
          <cell r="AL14" t="str">
            <v>размер коэффициента</v>
          </cell>
          <cell r="AM14" t="str">
            <v>сумма, руб.</v>
          </cell>
          <cell r="AO14" t="str">
            <v>за работу с неблагоприятными условиями труда</v>
          </cell>
          <cell r="AQ14" t="str">
            <v>доплата молодым специалистам</v>
          </cell>
          <cell r="AS14" t="str">
            <v>доплата за работу с библиотечным фондом</v>
          </cell>
          <cell r="AU14" t="str">
            <v>доплата работникам библиотек</v>
          </cell>
          <cell r="AW14" t="str">
            <v>доплата за особые условия труда работникам библиотек</v>
          </cell>
          <cell r="AY14" t="str">
            <v>Доплата СКК</v>
          </cell>
          <cell r="BA14" t="str">
            <v>доплата специалисту логопеду</v>
          </cell>
          <cell r="BC14" t="str">
            <v>Стимулирующая надбавка, руб.</v>
          </cell>
          <cell r="BE14" t="str">
            <v>размер коэффициента</v>
          </cell>
          <cell r="BF14" t="str">
            <v>сумма, руб.</v>
          </cell>
          <cell r="BG14" t="str">
            <v>размер коэффициента</v>
          </cell>
          <cell r="BH14" t="str">
            <v>сумма, руб.</v>
          </cell>
        </row>
        <row r="15">
          <cell r="S15" t="str">
            <v>размер коэффициента</v>
          </cell>
          <cell r="T15" t="str">
            <v>Сумма., руб.</v>
          </cell>
          <cell r="U15" t="str">
            <v>размер коэффициента</v>
          </cell>
          <cell r="V15" t="str">
            <v>сумма, руб.</v>
          </cell>
          <cell r="W15" t="str">
            <v>размер коэффициента</v>
          </cell>
          <cell r="X15" t="str">
            <v>сумма, руб.</v>
          </cell>
          <cell r="Y15" t="str">
            <v>размер коэффициента</v>
          </cell>
          <cell r="Z15" t="str">
            <v>сумма, руб.</v>
          </cell>
          <cell r="AA15" t="str">
            <v>размер коэффициента</v>
          </cell>
          <cell r="AB15" t="str">
            <v>сумма, руб.</v>
          </cell>
          <cell r="AC15" t="str">
            <v>размер коэффициента</v>
          </cell>
          <cell r="AD15" t="str">
            <v>сумма, руб.</v>
          </cell>
          <cell r="AE15" t="str">
            <v>размер коэффициента</v>
          </cell>
          <cell r="AF15" t="str">
            <v>сумма, руб.</v>
          </cell>
          <cell r="AG15" t="str">
            <v>размер коэффициента</v>
          </cell>
          <cell r="AH15" t="str">
            <v>сумма, руб.</v>
          </cell>
        </row>
        <row r="16">
          <cell r="AO16" t="str">
            <v>%</v>
          </cell>
          <cell r="AP16" t="str">
            <v>сумма, руб.</v>
          </cell>
          <cell r="AQ16" t="str">
            <v>%</v>
          </cell>
          <cell r="AR16" t="str">
            <v>сумма, руб.</v>
          </cell>
          <cell r="AS16" t="str">
            <v>%</v>
          </cell>
          <cell r="AT16" t="str">
            <v>сумма, руб.</v>
          </cell>
          <cell r="AU16" t="str">
            <v>%</v>
          </cell>
          <cell r="AV16" t="str">
            <v>сумма, руб.</v>
          </cell>
          <cell r="AW16" t="str">
            <v>%</v>
          </cell>
          <cell r="AX16" t="str">
            <v>сумма, руб.</v>
          </cell>
          <cell r="AY16" t="str">
            <v>%</v>
          </cell>
          <cell r="AZ16" t="str">
            <v>сумма, руб.</v>
          </cell>
          <cell r="BA16" t="str">
            <v>%</v>
          </cell>
          <cell r="BB16" t="str">
            <v>сумма, руб.</v>
          </cell>
        </row>
        <row r="17">
          <cell r="A17" t="str">
            <v>Специалисты (Прочие педагогические работники)</v>
          </cell>
        </row>
        <row r="18">
          <cell r="A18">
            <v>1</v>
          </cell>
          <cell r="B18" t="str">
            <v>Артемьева Наталья Александровна (297)</v>
          </cell>
        </row>
        <row r="19">
          <cell r="A19">
            <v>2</v>
          </cell>
          <cell r="B19" t="str">
            <v>Белых Лариса Михайловна</v>
          </cell>
        </row>
        <row r="20">
          <cell r="A20">
            <v>3</v>
          </cell>
          <cell r="B20" t="str">
            <v>Бондарь Оксана Михайловна</v>
          </cell>
        </row>
        <row r="21">
          <cell r="A21">
            <v>4</v>
          </cell>
          <cell r="B21" t="str">
            <v>Боровинских Алексей Николаевич (239)</v>
          </cell>
        </row>
        <row r="22">
          <cell r="A22">
            <v>5</v>
          </cell>
          <cell r="B22" t="str">
            <v>Вакансия</v>
          </cell>
        </row>
        <row r="23">
          <cell r="A23">
            <v>6</v>
          </cell>
          <cell r="B23" t="str">
            <v>Вакансия</v>
          </cell>
        </row>
        <row r="24">
          <cell r="A24">
            <v>7</v>
          </cell>
          <cell r="B24" t="str">
            <v>Вакансия</v>
          </cell>
        </row>
        <row r="25">
          <cell r="A25">
            <v>8</v>
          </cell>
          <cell r="B25" t="str">
            <v>Градобик Яна Вадимовна</v>
          </cell>
        </row>
        <row r="26">
          <cell r="A26">
            <v>9</v>
          </cell>
          <cell r="B26" t="str">
            <v>Дробязко Нелли Александровна (289)</v>
          </cell>
        </row>
        <row r="27">
          <cell r="A27">
            <v>10</v>
          </cell>
          <cell r="B27" t="str">
            <v>Зиганшина Алия Халитовна (129)</v>
          </cell>
        </row>
        <row r="28">
          <cell r="A28">
            <v>11</v>
          </cell>
          <cell r="B28" t="str">
            <v>Костик Елена Юрьвна</v>
          </cell>
        </row>
        <row r="29">
          <cell r="A29">
            <v>12</v>
          </cell>
          <cell r="B29" t="str">
            <v>Кравчина Людмила Анатольевна (12)</v>
          </cell>
        </row>
        <row r="30">
          <cell r="A30">
            <v>13</v>
          </cell>
          <cell r="B30" t="str">
            <v>Курбанова Зимфира Хинабиевна</v>
          </cell>
        </row>
        <row r="31">
          <cell r="A31">
            <v>14</v>
          </cell>
          <cell r="B31" t="str">
            <v>Маринина Юлия Николаевна (255)</v>
          </cell>
        </row>
        <row r="32">
          <cell r="A32">
            <v>15</v>
          </cell>
          <cell r="B32" t="str">
            <v>Мыльникова Елена Сергеевна (501)</v>
          </cell>
        </row>
        <row r="33">
          <cell r="A33">
            <v>16</v>
          </cell>
          <cell r="B33" t="str">
            <v>Перевалов Сергей Валерьевич (265)</v>
          </cell>
        </row>
        <row r="34">
          <cell r="A34">
            <v>17</v>
          </cell>
          <cell r="B34" t="str">
            <v>Петров Александр Иванович</v>
          </cell>
        </row>
        <row r="35">
          <cell r="A35">
            <v>18</v>
          </cell>
          <cell r="B35" t="str">
            <v>Плеханова Тамара Бахмановна</v>
          </cell>
        </row>
        <row r="36">
          <cell r="A36">
            <v>19</v>
          </cell>
          <cell r="B36" t="str">
            <v>Позднякова Людмила Юрьевна</v>
          </cell>
        </row>
        <row r="37">
          <cell r="A37">
            <v>20</v>
          </cell>
          <cell r="B37" t="str">
            <v>Половнева Евгения Николаевича (275)</v>
          </cell>
        </row>
        <row r="38">
          <cell r="A38">
            <v>21</v>
          </cell>
          <cell r="B38" t="str">
            <v>Саватеева Маргарита Ивановна (203)</v>
          </cell>
        </row>
        <row r="39">
          <cell r="A39">
            <v>22</v>
          </cell>
          <cell r="B39" t="str">
            <v>Савенков Артур Олегович (300)</v>
          </cell>
        </row>
        <row r="40">
          <cell r="A40">
            <v>23</v>
          </cell>
          <cell r="B40" t="str">
            <v>Хафизова Регина Раисовна (262)</v>
          </cell>
        </row>
        <row r="41">
          <cell r="A41">
            <v>24</v>
          </cell>
          <cell r="B41" t="str">
            <v>Ширяева Марина Александровна (579)</v>
          </cell>
        </row>
        <row r="42">
          <cell r="A42">
            <v>25</v>
          </cell>
          <cell r="B42" t="str">
            <v>Штейнгауер Евгения Ивановна (352)</v>
          </cell>
        </row>
        <row r="43">
          <cell r="A43">
            <v>26</v>
          </cell>
          <cell r="B43" t="str">
            <v>Штейнгауер Евгения Ивановна (352)</v>
          </cell>
        </row>
        <row r="44">
          <cell r="A44">
            <v>27</v>
          </cell>
          <cell r="B44" t="str">
            <v>Ялчибаева Наиля Дияссовна (664)</v>
          </cell>
        </row>
        <row r="45">
          <cell r="A45">
            <v>28</v>
          </cell>
          <cell r="B45" t="str">
            <v>Ятимова Айгуль Камиловна</v>
          </cell>
        </row>
        <row r="46">
          <cell r="A46" t="str">
            <v>ИТОГО:</v>
          </cell>
        </row>
        <row r="47">
          <cell r="A47" t="str">
            <v>Прочие специалисты</v>
          </cell>
        </row>
        <row r="48">
          <cell r="A48">
            <v>1</v>
          </cell>
          <cell r="B48" t="str">
            <v>Абдулгамидова Эльмира Тагировна (228)</v>
          </cell>
        </row>
        <row r="49">
          <cell r="A49">
            <v>2</v>
          </cell>
          <cell r="B49" t="str">
            <v>Агафонова Наталья Викторовна (281)</v>
          </cell>
        </row>
        <row r="50">
          <cell r="A50">
            <v>3</v>
          </cell>
          <cell r="B50" t="str">
            <v>Алиев Бейлак Намаз оглы (356)</v>
          </cell>
        </row>
        <row r="51">
          <cell r="A51">
            <v>4</v>
          </cell>
          <cell r="B51" t="str">
            <v>Аминова Мухабат Мирсалимовна (506)</v>
          </cell>
        </row>
        <row r="52">
          <cell r="A52">
            <v>5</v>
          </cell>
          <cell r="B52" t="str">
            <v>Вакансия</v>
          </cell>
        </row>
        <row r="53">
          <cell r="A53">
            <v>6</v>
          </cell>
          <cell r="B53" t="str">
            <v>Ганжеева Эльвира Марсовна (243)</v>
          </cell>
        </row>
        <row r="54">
          <cell r="A54">
            <v>7</v>
          </cell>
          <cell r="B54" t="str">
            <v>Ганжеева Эльвира Марсовна (244)</v>
          </cell>
        </row>
        <row r="55">
          <cell r="A55">
            <v>8</v>
          </cell>
          <cell r="B55" t="str">
            <v>Дудукалова Тамара Геннадьевна (494)</v>
          </cell>
        </row>
        <row r="56">
          <cell r="A56">
            <v>9</v>
          </cell>
          <cell r="B56" t="str">
            <v>Руденко Наталья Владимировна (512)</v>
          </cell>
        </row>
        <row r="57">
          <cell r="A57">
            <v>10</v>
          </cell>
          <cell r="B57" t="str">
            <v>Сыроваткина Наталья Александровна (665)</v>
          </cell>
        </row>
        <row r="58">
          <cell r="A58" t="str">
            <v>ИТОГО:</v>
          </cell>
        </row>
        <row r="59">
          <cell r="A59" t="str">
            <v>Служащие</v>
          </cell>
        </row>
        <row r="60">
          <cell r="A60">
            <v>1</v>
          </cell>
          <cell r="B60" t="str">
            <v>Агафонова Наталья Викторовна (281)</v>
          </cell>
        </row>
        <row r="61">
          <cell r="A61">
            <v>2</v>
          </cell>
          <cell r="B61" t="str">
            <v>Шайихова Татьяна Алексеевна (575)</v>
          </cell>
        </row>
        <row r="62">
          <cell r="A62">
            <v>3</v>
          </cell>
          <cell r="B62" t="str">
            <v>Шайихова Татьяна Алексеевна (573)</v>
          </cell>
        </row>
        <row r="63">
          <cell r="A63" t="str">
            <v>ИТОГО:</v>
          </cell>
        </row>
        <row r="64">
          <cell r="A64" t="str">
            <v>ВСЕГО:</v>
          </cell>
        </row>
        <row r="65">
          <cell r="A65" t="str">
            <v>Декретный отпуск</v>
          </cell>
        </row>
        <row r="66">
          <cell r="A66">
            <v>1</v>
          </cell>
          <cell r="B66" t="str">
            <v>Бондаренко Юлия Петровна (136)</v>
          </cell>
        </row>
        <row r="67">
          <cell r="A67">
            <v>2</v>
          </cell>
          <cell r="B67" t="str">
            <v>Ладухина Виктория Сергеевна</v>
          </cell>
        </row>
        <row r="68">
          <cell r="A68">
            <v>3</v>
          </cell>
          <cell r="B68" t="str">
            <v>Шарова Мария Валерьевна</v>
          </cell>
        </row>
        <row r="69">
          <cell r="A69">
            <v>4</v>
          </cell>
          <cell r="B69" t="str">
            <v>Притуляк Людмила Анатольевна</v>
          </cell>
        </row>
      </sheetData>
      <sheetData sheetId="5">
        <row r="53">
          <cell r="D53">
            <v>23.75</v>
          </cell>
        </row>
      </sheetData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УП школы"/>
      <sheetName val="Учителя"/>
      <sheetName val="Спец_сты школы"/>
      <sheetName val="Рабочие"/>
      <sheetName val="Доля"/>
      <sheetName val="Ведомость"/>
      <sheetName val="Сводная"/>
    </sheetNames>
    <sheetDataSet>
      <sheetData sheetId="0"/>
      <sheetData sheetId="1">
        <row r="5">
          <cell r="B5" t="str">
            <v xml:space="preserve">ШТАТНОЕ ЗАМЕЩЕНИЕ ПО ГРУППЕ "УЧИТЕЛЯ" </v>
          </cell>
        </row>
        <row r="6">
          <cell r="B6" t="str">
            <v>по состоянию на 01.09.2010</v>
          </cell>
        </row>
        <row r="7">
          <cell r="B7" t="str">
            <v>Наименование учереждения: Муниципальное общеобразовательное учреждение средняя общеобразовательная школа № 13</v>
          </cell>
        </row>
        <row r="8">
          <cell r="B8" t="str">
            <v>Юридический адрес: пр-кт Комсомольский, 10</v>
          </cell>
        </row>
        <row r="11">
          <cell r="A11" t="str">
            <v xml:space="preserve">Табельный № </v>
          </cell>
          <cell r="B11" t="str">
            <v>Ф.И.О.</v>
          </cell>
          <cell r="C11" t="str">
            <v>Занимаемая должность</v>
          </cell>
          <cell r="D11" t="str">
            <v>Образование, наименование учебного заведения</v>
          </cell>
          <cell r="E11" t="str">
            <v>Наименова-ние документа об образова-нии, его № и дата выдачи</v>
          </cell>
          <cell r="F11" t="str">
            <v xml:space="preserve">Стаж педогагической работы (число лет, месяцев, дней) </v>
          </cell>
          <cell r="G11" t="str">
            <v>Квалификация работника</v>
          </cell>
          <cell r="K11" t="str">
            <v>Кол-во недельных часов, всего</v>
          </cell>
          <cell r="L11" t="str">
            <v>из них:</v>
          </cell>
          <cell r="S11" t="str">
            <v>Базовая единица, руб.</v>
          </cell>
          <cell r="T11" t="str">
            <v>Коэффициент уровня образования (К1)</v>
          </cell>
          <cell r="U11" t="str">
            <v>Базовый оклад за норму часов преподавательской работы, руб.</v>
          </cell>
          <cell r="V11" t="str">
            <v>Расчет Базового оклада (Бо), руб.</v>
          </cell>
          <cell r="AE11" t="str">
            <v>Базовый оклад за часы работы в 1-11 классах, руб.</v>
          </cell>
          <cell r="AF11" t="str">
            <v>Коэффициент стажа работы (К2.1)</v>
          </cell>
          <cell r="AH11" t="str">
            <v>Коэффициент специфики работы (К2.2)</v>
          </cell>
          <cell r="AS11" t="str">
            <v>Коэффициент специфики работы (К2.2)</v>
          </cell>
          <cell r="BD11" t="str">
            <v>Районный коэффициент</v>
          </cell>
          <cell r="BE11" t="str">
            <v>Северная надбавка</v>
          </cell>
          <cell r="BF11" t="str">
            <v>Итого должностной оклад с учетом р/к, с/н</v>
          </cell>
          <cell r="BG11" t="str">
            <v>Фонд надбавок и доплат</v>
          </cell>
        </row>
        <row r="12">
          <cell r="G12" t="str">
            <v>Наличие квалифика-ционной категории 
(№ приказа, дата)</v>
          </cell>
          <cell r="H12" t="str">
            <v>Наличие ученой степени
 (№ диплома, дата)</v>
          </cell>
          <cell r="I12" t="str">
            <v>Наличие почетного звания,знаков отличия 
(№ документа, дата)</v>
          </cell>
          <cell r="L12" t="str">
            <v>в 1 - 4 классах</v>
          </cell>
          <cell r="P12" t="str">
            <v>в 5 - 11 классах</v>
          </cell>
          <cell r="V12" t="str">
            <v>в 1 - 4 классах</v>
          </cell>
          <cell r="Z12" t="str">
            <v>Итого Бо за часы работы в 1-4 классах</v>
          </cell>
          <cell r="AA12" t="str">
            <v>в 5 - 11 классах</v>
          </cell>
          <cell r="AD12" t="str">
            <v>Итого Бо за часы работы в 5-11 классах</v>
          </cell>
          <cell r="AF12" t="str">
            <v>размер коэффициента</v>
          </cell>
          <cell r="AG12" t="str">
            <v>сумма, руб.</v>
          </cell>
          <cell r="AH12" t="str">
            <v>Работа педагогических работников в прогимназии, гимназии, лицее, школе с углубленным изучением предметов (Тип 3)</v>
          </cell>
          <cell r="AJ12" t="str">
            <v>в 1-4 классах</v>
          </cell>
          <cell r="AS12" t="str">
            <v>с 5-11 классы</v>
          </cell>
          <cell r="BA12" t="str">
            <v>Заведование методическим объединением 
(Тип 3)</v>
          </cell>
          <cell r="BB12" t="str">
            <v>Заведование учебным кабинетом, мастерской, спортивным залом (Тип 3)</v>
          </cell>
          <cell r="BC12" t="str">
            <v>Работа учителя, связанная с выполнением обязанностей классного руководителя 
(Тип 2)</v>
          </cell>
          <cell r="BD12" t="str">
            <v>размер коэффициента</v>
          </cell>
          <cell r="BE12" t="str">
            <v>размер коэффициента</v>
          </cell>
          <cell r="BG12" t="str">
            <v>Доплата за подготовку Мастеров спорта</v>
          </cell>
          <cell r="BH12" t="str">
            <v>Доплата молодым специалистам</v>
          </cell>
          <cell r="BI12" t="str">
            <v>Социальный отпуск</v>
          </cell>
          <cell r="BJ12" t="str">
            <v>Доплата за разделение рабочего дня</v>
          </cell>
          <cell r="BK12" t="str">
            <v>За работу с неблагоприятными условиями труда</v>
          </cell>
        </row>
        <row r="13">
          <cell r="L13" t="str">
            <v>Кол-во часов в общеобразовательных классах</v>
          </cell>
          <cell r="M13" t="str">
            <v>Кол-во часов к классах компенсирующего обучения</v>
          </cell>
          <cell r="N13" t="str">
            <v>Кол-во часов в специальных  (коррекционных) классах</v>
          </cell>
          <cell r="O13" t="str">
            <v>Кол-во часов на домашнее обучение, обучение в больницах</v>
          </cell>
          <cell r="P13" t="str">
            <v>Кол-во часов в общеобразовательных классах</v>
          </cell>
          <cell r="Q13" t="str">
            <v>Кол-во часов в специальных  (коррекционных) классах</v>
          </cell>
          <cell r="R13" t="str">
            <v>Кол-во часов на домашнее обучение, обучение в больницах</v>
          </cell>
          <cell r="V13" t="str">
            <v>Бо за часы работы в общеобразовательных классах</v>
          </cell>
          <cell r="W13" t="str">
            <v>Бо за часы работы в классах компенсирующего обучения</v>
          </cell>
          <cell r="X13" t="str">
            <v xml:space="preserve">Бо за часы работы в специальных (коррекционных) классах </v>
          </cell>
          <cell r="Y13" t="str">
            <v>Бо за часы домашнего обучения, обучения в больницах</v>
          </cell>
          <cell r="AA13" t="str">
            <v>Бо за часы работы в общеобразовательных классах</v>
          </cell>
          <cell r="AB13" t="str">
            <v xml:space="preserve">Бо за часы работы в специальных (коррекционных) классах </v>
          </cell>
          <cell r="AC13" t="str">
            <v>Бо за часы домашнего обучения, обучения в больницах</v>
          </cell>
          <cell r="AH13" t="str">
            <v>размер коэффициента</v>
          </cell>
          <cell r="AI13" t="str">
            <v>сумма, руб.</v>
          </cell>
          <cell r="AJ13" t="str">
            <v>проверка тетрадей для учителей нач.классов (Тип 2)</v>
          </cell>
          <cell r="AM13" t="str">
            <v>работа учителя в классах компенсирующего обучения(Тип 2)</v>
          </cell>
          <cell r="AO13" t="str">
            <v>работа учителя в коррекционных классах(Тип 2)</v>
          </cell>
          <cell r="AQ13" t="str">
            <v>работа учителя в классах с индивидуальным и групповым обучением детей, находящихся на домашнем обучении, длительном лечении(Тип 2)</v>
          </cell>
          <cell r="AS13" t="str">
            <v>кол-во часов по предмету</v>
          </cell>
          <cell r="AT13" t="str">
            <v>проверка тетрадей по русскому, родному языку, литературе (Тип 1), математике, иностранному языку (Тип 2)</v>
          </cell>
          <cell r="AU13" t="str">
            <v>кол-во  часов по предмету</v>
          </cell>
          <cell r="AV13" t="str">
            <v>проверка тетрадей по физике, химии (Тип 3), географии, истории, черчению (Тип 4)</v>
          </cell>
          <cell r="AW13" t="str">
            <v>кол-во часов по предмету</v>
          </cell>
          <cell r="AX13" t="str">
            <v>проверка тетрадей по биологии, информатике 
(Тип 4)</v>
          </cell>
          <cell r="AY13" t="str">
            <v>работа учителя в коррекционных классах (Тип 2)</v>
          </cell>
          <cell r="AZ13" t="str">
            <v>работа учителя в классах с индивидуальным и групповым обучением детей, находящихся на домашнем обучении, длительном лечении (Тип 1)</v>
          </cell>
          <cell r="BA13" t="str">
            <v>размер коэффициента</v>
          </cell>
          <cell r="BB13" t="str">
            <v>размер коэффициента</v>
          </cell>
          <cell r="BC13" t="str">
            <v>размер коэффициента</v>
          </cell>
        </row>
        <row r="14">
          <cell r="AJ14" t="str">
            <v>размер коэффи-циента</v>
          </cell>
          <cell r="AL14" t="str">
            <v>сумма, руб.</v>
          </cell>
          <cell r="AM14" t="str">
            <v>размер коэффи-циента</v>
          </cell>
          <cell r="AN14" t="str">
            <v>сумма, руб.</v>
          </cell>
          <cell r="AO14" t="str">
            <v>размер коэффи-циента</v>
          </cell>
          <cell r="AP14" t="str">
            <v>сумма, руб.</v>
          </cell>
          <cell r="AQ14" t="str">
            <v>размер коэффи-циента</v>
          </cell>
          <cell r="AR14" t="str">
            <v>сумма, руб.</v>
          </cell>
          <cell r="AT14" t="str">
            <v>размер коэффи-циента</v>
          </cell>
          <cell r="AV14" t="str">
            <v>размер коэффи-циента</v>
          </cell>
          <cell r="AX14" t="str">
            <v>размер коэффи-циента</v>
          </cell>
          <cell r="AY14" t="str">
            <v>размер коэффи-циента</v>
          </cell>
          <cell r="AZ14" t="str">
            <v>размер коэффи-циента</v>
          </cell>
          <cell r="BA14" t="str">
            <v>размер коэффи-циент</v>
          </cell>
          <cell r="BB14" t="str">
            <v>размер коэффи-циент</v>
          </cell>
          <cell r="BC14" t="str">
            <v>размер коэффи-циент</v>
          </cell>
          <cell r="BG14" t="str">
            <v>%</v>
          </cell>
          <cell r="BH14" t="str">
            <v>%</v>
          </cell>
          <cell r="BI14" t="str">
            <v>%</v>
          </cell>
          <cell r="BJ14" t="str">
            <v>%</v>
          </cell>
          <cell r="BK14" t="str">
            <v>%</v>
          </cell>
        </row>
        <row r="15">
          <cell r="A15" t="str">
            <v>Педагогический персонал</v>
          </cell>
        </row>
        <row r="16">
          <cell r="A16" t="str">
            <v>004</v>
          </cell>
          <cell r="B16" t="str">
            <v>Сальникова 
Валентина Павловна</v>
          </cell>
        </row>
        <row r="17">
          <cell r="A17" t="str">
            <v>011</v>
          </cell>
          <cell r="B17" t="str">
            <v>Хвоинская 
Вера 
Адольфовна</v>
          </cell>
        </row>
        <row r="18">
          <cell r="A18" t="str">
            <v>012</v>
          </cell>
          <cell r="B18" t="str">
            <v>Владыкина 
Валентина Михайловна</v>
          </cell>
        </row>
        <row r="19">
          <cell r="A19" t="str">
            <v>014</v>
          </cell>
          <cell r="B19" t="str">
            <v>Бродникова
Ольга 
Викторовна</v>
          </cell>
        </row>
        <row r="20">
          <cell r="A20" t="str">
            <v>017</v>
          </cell>
          <cell r="B20" t="str">
            <v>Созинова
Ирина 
Викторовна</v>
          </cell>
        </row>
        <row r="21">
          <cell r="A21" t="str">
            <v>018</v>
          </cell>
          <cell r="B21" t="str">
            <v>Горобец
Елена 
Евгеньевна</v>
          </cell>
        </row>
        <row r="22">
          <cell r="A22" t="str">
            <v>019</v>
          </cell>
          <cell r="B22" t="str">
            <v>Мазурова 
Светлана Федоровна</v>
          </cell>
        </row>
        <row r="23">
          <cell r="A23" t="str">
            <v>021</v>
          </cell>
          <cell r="B23" t="str">
            <v>Кудрякова 
Людмила Анатольевна</v>
          </cell>
        </row>
        <row r="24">
          <cell r="A24" t="str">
            <v>022</v>
          </cell>
          <cell r="B24" t="str">
            <v>Литвиненко
Тамара 
Васильевна</v>
          </cell>
        </row>
        <row r="25">
          <cell r="A25" t="str">
            <v>023</v>
          </cell>
          <cell r="B25" t="str">
            <v>Иванова 
Светлана Александровна</v>
          </cell>
        </row>
        <row r="26">
          <cell r="A26" t="str">
            <v>025</v>
          </cell>
          <cell r="B26" t="str">
            <v>Птицина 
Александра Геннадьевна</v>
          </cell>
        </row>
        <row r="27">
          <cell r="A27" t="str">
            <v>026</v>
          </cell>
          <cell r="B27" t="str">
            <v>Горобец 
Анна 
Ивановна</v>
          </cell>
        </row>
        <row r="28">
          <cell r="A28" t="str">
            <v>027</v>
          </cell>
          <cell r="B28" t="str">
            <v>Никонорова 
Татьяна Александровна</v>
          </cell>
        </row>
        <row r="29">
          <cell r="A29" t="str">
            <v>029</v>
          </cell>
          <cell r="B29" t="str">
            <v>Невская 
Светлана Владимировна</v>
          </cell>
        </row>
        <row r="30">
          <cell r="A30" t="str">
            <v>030</v>
          </cell>
          <cell r="B30" t="str">
            <v>Шаповалова 
Олеся Владимировна</v>
          </cell>
        </row>
        <row r="31">
          <cell r="A31" t="str">
            <v>032</v>
          </cell>
          <cell r="B31" t="str">
            <v>Симкина 
Любовь Александровна</v>
          </cell>
        </row>
        <row r="32">
          <cell r="A32" t="str">
            <v>033</v>
          </cell>
          <cell r="B32" t="str">
            <v>Церабаева 
Светлана Владимировна</v>
          </cell>
        </row>
        <row r="33">
          <cell r="A33" t="str">
            <v>035</v>
          </cell>
          <cell r="B33" t="str">
            <v>Обожина 
Маргарита Михайловна</v>
          </cell>
        </row>
        <row r="34">
          <cell r="A34" t="str">
            <v>036</v>
          </cell>
          <cell r="B34" t="str">
            <v>Гринева
Ольга 
Ивановна</v>
          </cell>
        </row>
        <row r="35">
          <cell r="A35" t="str">
            <v>037</v>
          </cell>
          <cell r="B35" t="str">
            <v>Килинг 
Татьяна Викторовна</v>
          </cell>
        </row>
        <row r="36">
          <cell r="A36" t="str">
            <v>039</v>
          </cell>
          <cell r="B36" t="str">
            <v>Ишмиярова 
Алевтина Владимировна</v>
          </cell>
        </row>
        <row r="37">
          <cell r="A37" t="str">
            <v>040</v>
          </cell>
          <cell r="B37" t="str">
            <v>Гордеева 
Алла 
Николаевна</v>
          </cell>
        </row>
        <row r="38">
          <cell r="A38" t="str">
            <v>045</v>
          </cell>
          <cell r="B38" t="str">
            <v>Фоминых
Наталья 
Ивановна</v>
          </cell>
        </row>
        <row r="39">
          <cell r="A39" t="str">
            <v>046</v>
          </cell>
          <cell r="B39" t="str">
            <v>Фурина
Ольга 
Ивановна</v>
          </cell>
        </row>
        <row r="40">
          <cell r="A40" t="str">
            <v>052</v>
          </cell>
          <cell r="B40" t="str">
            <v>Тараненко 
Галина Робертовна</v>
          </cell>
        </row>
        <row r="41">
          <cell r="A41" t="str">
            <v>055</v>
          </cell>
          <cell r="B41" t="str">
            <v>Голышева
Оксана 
Юрьевна</v>
          </cell>
        </row>
        <row r="42">
          <cell r="A42" t="str">
            <v>057</v>
          </cell>
          <cell r="B42" t="str">
            <v>Стародубова
Галина 
Степановна</v>
          </cell>
        </row>
        <row r="43">
          <cell r="A43" t="str">
            <v>060</v>
          </cell>
          <cell r="B43" t="str">
            <v>Мальгин 
Александр Викторович</v>
          </cell>
        </row>
        <row r="44">
          <cell r="A44" t="str">
            <v>061</v>
          </cell>
          <cell r="B44" t="str">
            <v>Загирова 
Светлана 
Загировна</v>
          </cell>
        </row>
        <row r="45">
          <cell r="A45" t="str">
            <v>062</v>
          </cell>
          <cell r="B45" t="str">
            <v>Ахметов 
Станислав Радиевич</v>
          </cell>
        </row>
        <row r="46">
          <cell r="A46" t="str">
            <v>063</v>
          </cell>
          <cell r="B46" t="str">
            <v>Мальгина
Галина 
Васильевна</v>
          </cell>
        </row>
        <row r="47">
          <cell r="A47" t="str">
            <v>066</v>
          </cell>
          <cell r="B47" t="str">
            <v>Куряева
Лариса 
Евгеньевна</v>
          </cell>
        </row>
        <row r="48">
          <cell r="A48" t="str">
            <v>068</v>
          </cell>
          <cell r="B48" t="str">
            <v>Земченко
Лина 
Ивановна</v>
          </cell>
        </row>
        <row r="49">
          <cell r="A49" t="str">
            <v>072</v>
          </cell>
          <cell r="B49" t="str">
            <v>Глаголева
Галина 
Павловна</v>
          </cell>
        </row>
        <row r="50">
          <cell r="A50" t="str">
            <v>073</v>
          </cell>
          <cell r="B50" t="str">
            <v>Рогова 
Марина 
Гельевна</v>
          </cell>
        </row>
        <row r="51">
          <cell r="A51" t="str">
            <v>074</v>
          </cell>
          <cell r="B51" t="str">
            <v>Вакилова
Гузель 
Азуатовна</v>
          </cell>
        </row>
        <row r="52">
          <cell r="A52" t="str">
            <v>078</v>
          </cell>
          <cell r="B52" t="str">
            <v>Коллерова
Ирина
 Васильевна</v>
          </cell>
        </row>
        <row r="53">
          <cell r="A53" t="str">
            <v>080</v>
          </cell>
          <cell r="B53" t="str">
            <v>Кулешова 
Ирина 
Сергеевна</v>
          </cell>
        </row>
        <row r="54">
          <cell r="A54" t="str">
            <v>083</v>
          </cell>
          <cell r="B54" t="str">
            <v>Финандеева 
Оксана Нурудиновна</v>
          </cell>
        </row>
        <row r="55">
          <cell r="A55" t="str">
            <v>087</v>
          </cell>
          <cell r="B55" t="str">
            <v>Муздакова 
Олеся Александровна</v>
          </cell>
        </row>
        <row r="56">
          <cell r="A56" t="str">
            <v>088</v>
          </cell>
          <cell r="B56" t="str">
            <v>Калье 
Эльмира Габдулвалеевна</v>
          </cell>
        </row>
        <row r="57">
          <cell r="A57" t="str">
            <v>089</v>
          </cell>
          <cell r="B57" t="str">
            <v>Романова
Раиса 
Николаевна</v>
          </cell>
        </row>
        <row r="58">
          <cell r="A58" t="str">
            <v>090</v>
          </cell>
          <cell r="B58" t="str">
            <v>Лютостанская
Людмила 
Ивановна</v>
          </cell>
        </row>
        <row r="59">
          <cell r="A59" t="str">
            <v>095</v>
          </cell>
          <cell r="B59" t="str">
            <v>Лапина 
Людмила Арнольдовна</v>
          </cell>
        </row>
        <row r="60">
          <cell r="A60" t="str">
            <v>098</v>
          </cell>
          <cell r="B60" t="str">
            <v>Дементьева
Ирина 
Яковлевна</v>
          </cell>
        </row>
        <row r="61">
          <cell r="A61" t="str">
            <v>099</v>
          </cell>
          <cell r="B61" t="str">
            <v>Демчук
Лариса 
Аркадьевна</v>
          </cell>
        </row>
        <row r="62">
          <cell r="A62" t="str">
            <v>101</v>
          </cell>
          <cell r="B62" t="str">
            <v>Слета 
Олег Александрович</v>
          </cell>
        </row>
        <row r="63">
          <cell r="A63" t="str">
            <v>107</v>
          </cell>
          <cell r="B63" t="str">
            <v>Андрюнкин 
Александр Николаевич</v>
          </cell>
        </row>
        <row r="64">
          <cell r="A64" t="str">
            <v>109</v>
          </cell>
          <cell r="B64" t="str">
            <v>Буренин 
Юрий Владимирович</v>
          </cell>
        </row>
        <row r="65">
          <cell r="A65" t="str">
            <v>117</v>
          </cell>
          <cell r="B65" t="str">
            <v>Абрамов 
Руслан Васильевич</v>
          </cell>
        </row>
        <row r="66">
          <cell r="A66" t="str">
            <v>119</v>
          </cell>
          <cell r="B66" t="str">
            <v>Симоник 
Владимир Георгиевич</v>
          </cell>
        </row>
        <row r="67">
          <cell r="A67" t="str">
            <v>126</v>
          </cell>
          <cell r="B67" t="str">
            <v>Шурупова
Ольга 
Валерьевна</v>
          </cell>
        </row>
        <row r="68">
          <cell r="A68" t="str">
            <v>127</v>
          </cell>
          <cell r="B68" t="str">
            <v>Куликова 
Людмила Евгеньевна</v>
          </cell>
        </row>
        <row r="69">
          <cell r="A69" t="str">
            <v>133</v>
          </cell>
          <cell r="B69" t="str">
            <v xml:space="preserve"> Смагина
Елена 
Дмитриевна</v>
          </cell>
        </row>
        <row r="70">
          <cell r="A70" t="str">
            <v>140</v>
          </cell>
          <cell r="B70" t="str">
            <v>Симакова
Вера 
Николаевна</v>
          </cell>
        </row>
        <row r="71">
          <cell r="A71" t="str">
            <v>203</v>
          </cell>
          <cell r="B71" t="str">
            <v>Исхакова 
Наталья Анатольевна</v>
          </cell>
        </row>
        <row r="72">
          <cell r="B72" t="str">
            <v>Брейдер 
Екатерина 
Шариповна</v>
          </cell>
        </row>
        <row r="73">
          <cell r="B73" t="str">
            <v>Самбур  
Ольга Юрьевна</v>
          </cell>
        </row>
        <row r="74">
          <cell r="B74" t="str">
            <v>Кулашкина 
Алена
Николаевна</v>
          </cell>
        </row>
        <row r="75">
          <cell r="B75" t="str">
            <v>Смородинова 
Ольга 
Сергеевна</v>
          </cell>
        </row>
        <row r="76">
          <cell r="B76" t="str">
            <v>Аюпова
Вера
Григорьевна</v>
          </cell>
        </row>
        <row r="77">
          <cell r="B77" t="str">
            <v>Пунина 
Антонина 
Андреевна</v>
          </cell>
        </row>
        <row r="78">
          <cell r="B78" t="str">
            <v>Шакиров 
Денис 
Маратович</v>
          </cell>
        </row>
        <row r="79">
          <cell r="B79" t="str">
            <v>Строителева
Тамара
Петровна</v>
          </cell>
        </row>
        <row r="80">
          <cell r="B80" t="str">
            <v>Кузьмина 
Анна 
Викторовна</v>
          </cell>
        </row>
        <row r="81">
          <cell r="B81" t="str">
            <v>Гавриличева
Ольга
Владимировна</v>
          </cell>
        </row>
        <row r="82">
          <cell r="A82" t="str">
            <v>ИТОГО:</v>
          </cell>
        </row>
        <row r="83">
          <cell r="A83" t="str">
            <v>Декретный отпуск</v>
          </cell>
        </row>
        <row r="84">
          <cell r="A84" t="str">
            <v>010</v>
          </cell>
          <cell r="B84" t="str">
            <v xml:space="preserve">Гейнц 
Лилия 
Викторовна  </v>
          </cell>
        </row>
        <row r="85">
          <cell r="A85" t="str">
            <v>016</v>
          </cell>
          <cell r="B85" t="str">
            <v>Тухтубаева 
Эльза 
Айнуловна</v>
          </cell>
        </row>
        <row r="86">
          <cell r="A86" t="str">
            <v>024</v>
          </cell>
          <cell r="B86" t="str">
            <v>Илеева 
Светлана 
Сарсембаевна</v>
          </cell>
        </row>
        <row r="87">
          <cell r="A87" t="str">
            <v>034</v>
          </cell>
          <cell r="B87" t="str">
            <v>Дудникова
Ирина 
Федоровна</v>
          </cell>
        </row>
        <row r="88">
          <cell r="A88" t="str">
            <v>085</v>
          </cell>
          <cell r="B88" t="str">
            <v>Долгова 
Римма 
Максовна</v>
          </cell>
        </row>
        <row r="89">
          <cell r="A89" t="str">
            <v>ИТОГО:</v>
          </cell>
        </row>
        <row r="90">
          <cell r="A90" t="str">
            <v>Исполнитель: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 оу 35"/>
      <sheetName val="Спец_сты школы 35"/>
      <sheetName val="АУП 35"/>
      <sheetName val="35 квд 303"/>
      <sheetName val="ОУ 35"/>
      <sheetName val="ОУ 35(303)"/>
      <sheetName val="штатное35"/>
    </sheetNames>
    <sheetDataSet>
      <sheetData sheetId="0"/>
      <sheetData sheetId="1">
        <row r="13">
          <cell r="A13" t="str">
            <v>№ п/п</v>
          </cell>
          <cell r="B13" t="str">
            <v>Ф.И.О.</v>
          </cell>
          <cell r="C13" t="str">
            <v>Занимаемая должность</v>
          </cell>
          <cell r="D13" t="str">
            <v>Образование, наименование учебного заведения</v>
          </cell>
          <cell r="E13" t="str">
            <v>Наимено-вание документа об образовании, его № и дата выдачи</v>
          </cell>
          <cell r="F13" t="str">
            <v>Стаж работы по занимае-мой должности или профилю деятель-ности (число лет, месяцев, дней)</v>
          </cell>
          <cell r="G13" t="str">
            <v>Квалификация работника</v>
          </cell>
          <cell r="J13" t="str">
            <v>Кол-во ставок</v>
          </cell>
          <cell r="K13" t="str">
            <v>Кол-во недельных часов</v>
          </cell>
          <cell r="L13" t="str">
            <v>Базовая единица, руб.</v>
          </cell>
          <cell r="M13" t="str">
            <v>Коэффициент уровня образования (К1)</v>
          </cell>
          <cell r="N13" t="str">
            <v xml:space="preserve">Базовый оклад за ставку заработной платы, руб. </v>
          </cell>
          <cell r="O13" t="str">
            <v xml:space="preserve">Базовый оклад за фактически замещенное кол-во штатных единиц, руб. </v>
          </cell>
          <cell r="P13" t="str">
            <v>Коэффициент стажа (К2.1)</v>
          </cell>
          <cell r="R13" t="str">
            <v>Коэффициент специфики работы (К2.2)</v>
          </cell>
          <cell r="Z13" t="str">
            <v xml:space="preserve">Коэффициент квалификации работника (К2.3) </v>
          </cell>
          <cell r="AD13" t="str">
            <v xml:space="preserve">Должностной оклад с учетом повышающих коэффициентов, руб. </v>
          </cell>
          <cell r="AE13" t="str">
            <v>Районный коэффициент</v>
          </cell>
          <cell r="AG13" t="str">
            <v>Северная надбавка</v>
          </cell>
          <cell r="AI13" t="str">
            <v>Итого должностной оклад с учетом р/к, с/н, руб.</v>
          </cell>
          <cell r="AJ13" t="str">
            <v>Фонд надбавок и доплат</v>
          </cell>
          <cell r="AU13" t="str">
            <v>Итого фонд надбавок и доплат, руб.</v>
          </cell>
          <cell r="AV13" t="str">
            <v>Районный коэффициент</v>
          </cell>
          <cell r="AX13" t="str">
            <v>Северная надбавка</v>
          </cell>
          <cell r="AZ13" t="str">
            <v>Всего фонд надбавок и доплат, руб.</v>
          </cell>
          <cell r="BA13" t="str">
            <v>Итого фонд заработной платы в месяц, руб.</v>
          </cell>
        </row>
        <row r="14">
          <cell r="G14" t="str">
            <v>Наличие квалифика-ционной категории (№ приказа, дата)</v>
          </cell>
          <cell r="H14" t="str">
            <v>Наличие ученой степени (№ диплома, дата)</v>
          </cell>
          <cell r="I14" t="str">
            <v>Наличие почетного звания, знаков отличия (№ документа, дата)</v>
          </cell>
          <cell r="P14" t="str">
            <v>размер коэффициента</v>
          </cell>
          <cell r="Q14" t="str">
            <v>сумма, руб.</v>
          </cell>
          <cell r="R14" t="str">
            <v>Работа в специальных коррекционных классах, в классах компенсирующего вида (Тип 1, Тип 2)</v>
          </cell>
          <cell r="T14" t="str">
            <v>Работа ведущих специалистов</v>
          </cell>
          <cell r="V14" t="str">
            <v>Заведование  учебным кабинетом, мастеской, спортивным залом (Тип 3)</v>
          </cell>
          <cell r="X14" t="str">
            <v>Заведование методическим отделением (Тип 3)</v>
          </cell>
          <cell r="Z14" t="str">
            <v>За квал. категорию или ученую степень</v>
          </cell>
          <cell r="AB14" t="str">
            <v>За почетные звания, знаки отличия</v>
          </cell>
          <cell r="AE14" t="str">
            <v>размер коэффициента</v>
          </cell>
          <cell r="AF14" t="str">
            <v>сумма, руб.</v>
          </cell>
          <cell r="AG14" t="str">
            <v>размер коэффициента</v>
          </cell>
          <cell r="AH14" t="str">
            <v>сумма, руб.</v>
          </cell>
          <cell r="AJ14" t="str">
            <v>Доплаты</v>
          </cell>
          <cell r="AT14" t="str">
            <v>Стимули-рующая надбавка, руб.</v>
          </cell>
          <cell r="AV14" t="str">
            <v>размер коэффициента</v>
          </cell>
          <cell r="AW14" t="str">
            <v>сумма, руб.</v>
          </cell>
          <cell r="AX14" t="str">
            <v>размер коэффициента</v>
          </cell>
          <cell r="AY14" t="str">
            <v>сумма, руб.</v>
          </cell>
        </row>
        <row r="15">
          <cell r="R15" t="str">
            <v>размер коэффициента</v>
          </cell>
          <cell r="S15" t="str">
            <v>сумма, руб.</v>
          </cell>
          <cell r="T15" t="str">
            <v>размер коэффициента</v>
          </cell>
          <cell r="U15" t="str">
            <v>сумма, руб.</v>
          </cell>
          <cell r="V15" t="str">
            <v>размер коэффициента</v>
          </cell>
          <cell r="W15" t="str">
            <v>сумма, руб.</v>
          </cell>
          <cell r="X15" t="str">
            <v>размер коэффициента</v>
          </cell>
          <cell r="Y15" t="str">
            <v>сумма, руб.</v>
          </cell>
          <cell r="Z15" t="str">
            <v>размер коэффициента</v>
          </cell>
          <cell r="AA15" t="str">
            <v>сумма, руб.</v>
          </cell>
          <cell r="AB15" t="str">
            <v>размер коэффициента</v>
          </cell>
          <cell r="AC15" t="str">
            <v>сумма, руб.</v>
          </cell>
          <cell r="AJ15" t="str">
            <v>доплата за СКК одному работнику</v>
          </cell>
          <cell r="AL15" t="str">
            <v>за работу с неблагоприятными условиями труда</v>
          </cell>
          <cell r="AN15" t="str">
            <v>доплата за работу с библиотечным фондом</v>
          </cell>
          <cell r="AP15" t="str">
            <v>доплата работникам библиотек</v>
          </cell>
          <cell r="AR15" t="str">
            <v>доплата за особые условия труда работникам библиотек</v>
          </cell>
        </row>
        <row r="16">
          <cell r="AJ16" t="str">
            <v>%</v>
          </cell>
          <cell r="AK16" t="str">
            <v>сумма, руб.</v>
          </cell>
          <cell r="AL16" t="str">
            <v>%</v>
          </cell>
          <cell r="AM16" t="str">
            <v>сумма, руб.</v>
          </cell>
          <cell r="AN16" t="str">
            <v>%</v>
          </cell>
          <cell r="AO16" t="str">
            <v>сумма, руб.</v>
          </cell>
          <cell r="AP16" t="str">
            <v>%</v>
          </cell>
          <cell r="AQ16" t="str">
            <v>сумма, руб.</v>
          </cell>
          <cell r="AR16" t="str">
            <v>%</v>
          </cell>
          <cell r="AS16" t="str">
            <v>сумма, руб.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 оу 35"/>
      <sheetName val="Спец_сты школы 35"/>
      <sheetName val="АУП 35"/>
      <sheetName val="35 квд 303"/>
      <sheetName val="ОУ 35"/>
      <sheetName val="ОУ 35(303)"/>
      <sheetName val="штатное35"/>
    </sheetNames>
    <sheetDataSet>
      <sheetData sheetId="0"/>
      <sheetData sheetId="1">
        <row r="13">
          <cell r="A13" t="str">
            <v>№ п/п</v>
          </cell>
          <cell r="B13" t="str">
            <v>Ф.И.О.</v>
          </cell>
          <cell r="C13" t="str">
            <v>Занимаемая должность</v>
          </cell>
          <cell r="D13" t="str">
            <v>Образование, наименование учебного заведения</v>
          </cell>
          <cell r="E13" t="str">
            <v>Наимено-вание документа об образовании, его № и дата выдачи</v>
          </cell>
          <cell r="F13" t="str">
            <v>Стаж работы по занимае-мой должности или профилю деятель-ности (число лет, месяцев, дней)</v>
          </cell>
          <cell r="G13" t="str">
            <v>Квалификация работника</v>
          </cell>
          <cell r="J13" t="str">
            <v>Кол-во ставок</v>
          </cell>
          <cell r="K13" t="str">
            <v>Кол-во недельных часов</v>
          </cell>
          <cell r="L13" t="str">
            <v>Базовая единица, руб.</v>
          </cell>
          <cell r="M13" t="str">
            <v>Коэффициент уровня образования (К1)</v>
          </cell>
          <cell r="N13" t="str">
            <v xml:space="preserve">Базовый оклад за ставку заработной платы, руб. </v>
          </cell>
          <cell r="O13" t="str">
            <v xml:space="preserve">Базовый оклад за фактически замещенное кол-во штатных единиц, руб. </v>
          </cell>
          <cell r="P13" t="str">
            <v>Коэффициент стажа (К2.1)</v>
          </cell>
          <cell r="R13" t="str">
            <v>Коэффициент специфики работы (К2.2)</v>
          </cell>
          <cell r="Z13" t="str">
            <v xml:space="preserve">Коэффициент квалификации работника (К2.3) </v>
          </cell>
          <cell r="AD13" t="str">
            <v xml:space="preserve">Должностной оклад с учетом повышающих коэффициентов, руб. </v>
          </cell>
          <cell r="AE13" t="str">
            <v>Районный коэффициент</v>
          </cell>
          <cell r="AG13" t="str">
            <v>Северная надбавка</v>
          </cell>
          <cell r="AI13" t="str">
            <v>Итого должностной оклад с учетом р/к, с/н, руб.</v>
          </cell>
          <cell r="AJ13" t="str">
            <v>Фонд надбавок и доплат</v>
          </cell>
          <cell r="AU13" t="str">
            <v>Итого фонд надбавок и доплат, руб.</v>
          </cell>
          <cell r="AV13" t="str">
            <v>Районный коэффициент</v>
          </cell>
          <cell r="AX13" t="str">
            <v>Северная надбавка</v>
          </cell>
          <cell r="AZ13" t="str">
            <v>Всего фонд надбавок и доплат, руб.</v>
          </cell>
          <cell r="BA13" t="str">
            <v>Итого фонд заработной платы в месяц, руб.</v>
          </cell>
        </row>
        <row r="14">
          <cell r="G14" t="str">
            <v>Наличие квалифика-ционной категории (№ приказа, дата)</v>
          </cell>
          <cell r="H14" t="str">
            <v>Наличие ученой степени (№ диплома, дата)</v>
          </cell>
          <cell r="I14" t="str">
            <v>Наличие почетного звания, знаков отличия (№ документа, дата)</v>
          </cell>
          <cell r="P14" t="str">
            <v>размер коэффициента</v>
          </cell>
          <cell r="Q14" t="str">
            <v>сумма, руб.</v>
          </cell>
          <cell r="R14" t="str">
            <v>Работа в специальных коррекционных классах, в классах компенсирующего вида (Тип 1, Тип 2)</v>
          </cell>
          <cell r="T14" t="str">
            <v>Работа ведущих специалистов</v>
          </cell>
          <cell r="V14" t="str">
            <v>Заведование  учебным кабинетом, мастеской, спортивным залом (Тип 3)</v>
          </cell>
          <cell r="X14" t="str">
            <v>Заведование методическим отделением (Тип 3)</v>
          </cell>
          <cell r="Z14" t="str">
            <v>За квал. категорию или ученую степень</v>
          </cell>
          <cell r="AB14" t="str">
            <v>За почетные звания, знаки отличия</v>
          </cell>
          <cell r="AE14" t="str">
            <v>размер коэффициента</v>
          </cell>
          <cell r="AF14" t="str">
            <v>сумма, руб.</v>
          </cell>
          <cell r="AG14" t="str">
            <v>размер коэффициента</v>
          </cell>
          <cell r="AH14" t="str">
            <v>сумма, руб.</v>
          </cell>
          <cell r="AJ14" t="str">
            <v>Доплаты</v>
          </cell>
          <cell r="AT14" t="str">
            <v>Стимули-рующая надбавка, руб.</v>
          </cell>
          <cell r="AV14" t="str">
            <v>размер коэффициента</v>
          </cell>
          <cell r="AW14" t="str">
            <v>сумма, руб.</v>
          </cell>
          <cell r="AX14" t="str">
            <v>размер коэффициента</v>
          </cell>
          <cell r="AY14" t="str">
            <v>сумма, руб.</v>
          </cell>
        </row>
        <row r="15">
          <cell r="R15" t="str">
            <v>размер коэффициента</v>
          </cell>
          <cell r="S15" t="str">
            <v>сумма, руб.</v>
          </cell>
          <cell r="T15" t="str">
            <v>размер коэффициента</v>
          </cell>
          <cell r="U15" t="str">
            <v>сумма, руб.</v>
          </cell>
          <cell r="V15" t="str">
            <v>размер коэффициента</v>
          </cell>
          <cell r="W15" t="str">
            <v>сумма, руб.</v>
          </cell>
          <cell r="X15" t="str">
            <v>размер коэффициента</v>
          </cell>
          <cell r="Y15" t="str">
            <v>сумма, руб.</v>
          </cell>
          <cell r="Z15" t="str">
            <v>размер коэффициента</v>
          </cell>
          <cell r="AA15" t="str">
            <v>сумма, руб.</v>
          </cell>
          <cell r="AB15" t="str">
            <v>размер коэффициента</v>
          </cell>
          <cell r="AC15" t="str">
            <v>сумма, руб.</v>
          </cell>
          <cell r="AJ15" t="str">
            <v>доплата за СКК одному работнику</v>
          </cell>
          <cell r="AL15" t="str">
            <v>за работу с неблагоприятными условиями труда</v>
          </cell>
          <cell r="AN15" t="str">
            <v>доплата за работу с библиотечным фондом</v>
          </cell>
          <cell r="AP15" t="str">
            <v>доплата работникам библиотек</v>
          </cell>
          <cell r="AR15" t="str">
            <v>доплата за особые условия труда работникам библиотек</v>
          </cell>
        </row>
        <row r="16">
          <cell r="AJ16" t="str">
            <v>%</v>
          </cell>
          <cell r="AK16" t="str">
            <v>сумма, руб.</v>
          </cell>
          <cell r="AL16" t="str">
            <v>%</v>
          </cell>
          <cell r="AM16" t="str">
            <v>сумма, руб.</v>
          </cell>
          <cell r="AN16" t="str">
            <v>%</v>
          </cell>
          <cell r="AO16" t="str">
            <v>сумма, руб.</v>
          </cell>
          <cell r="AP16" t="str">
            <v>%</v>
          </cell>
          <cell r="AQ16" t="str">
            <v>сумма, руб.</v>
          </cell>
          <cell r="AR16" t="str">
            <v>%</v>
          </cell>
          <cell r="AS16" t="str">
            <v>сумма, руб.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№ 072 от 27.09.2018 (стр.2)"/>
      <sheetName val="№ 072 от 27.09.2018 (стр.3)"/>
      <sheetName val="БЮДЖЕТ(4+5)"/>
      <sheetName val="ОСТАТКИ(4)"/>
      <sheetName val="ВНЕБЮДЖЕТ"/>
      <sheetName val="4"/>
      <sheetName val="211,213"/>
      <sheetName val="многографка"/>
      <sheetName val="5"/>
      <sheetName val="ДАННЫЕ"/>
      <sheetName val="КОНТРОЛЬ"/>
      <sheetName val="КП"/>
      <sheetName val="ПЗ"/>
      <sheetName val="Список_учреждений"/>
      <sheetName val="п.4"/>
      <sheetName val="п.5"/>
      <sheetName val="п.8"/>
      <sheetName val="п.14"/>
      <sheetName val="п.29"/>
      <sheetName val="223"/>
      <sheetName val="2.7"/>
      <sheetName val="2,8"/>
      <sheetName val="2.10"/>
      <sheetName val="290-&gt;291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H2" t="str">
            <v>п.4</v>
          </cell>
        </row>
        <row r="3">
          <cell r="H3" t="str">
            <v>п.5</v>
          </cell>
        </row>
        <row r="4">
          <cell r="H4" t="str">
            <v>п.8</v>
          </cell>
        </row>
        <row r="5">
          <cell r="H5" t="str">
            <v>п.14</v>
          </cell>
        </row>
        <row r="6">
          <cell r="H6" t="str">
            <v>п.29</v>
          </cell>
        </row>
      </sheetData>
      <sheetData sheetId="11">
        <row r="3">
          <cell r="B3" t="str">
            <v>КЦС 2.001.0000 - ДО - Субсидия на финансовое обеспечение выполнения муниципального задания - средства местного бюджета</v>
          </cell>
          <cell r="D3" t="str">
            <v>2.03.2.01.61700.000000</v>
          </cell>
        </row>
        <row r="4">
          <cell r="B4" t="str">
            <v>КЦС 2.001.0000 - ДО - Субсидия на финансовое обеспечение выполнения муниципального задания - средства местного бюджета</v>
          </cell>
          <cell r="D4" t="str">
            <v>2.03.2.01.84303.000000</v>
          </cell>
        </row>
        <row r="5">
          <cell r="B5" t="str">
            <v>КЦС 2.001.0000 - ДО - Субсидия на финансовое обеспечение выполнения муниципального задания - средства местного бюджета</v>
          </cell>
          <cell r="D5" t="str">
            <v>2.03.2.03.85020.000000</v>
          </cell>
        </row>
        <row r="6">
          <cell r="B6" t="str">
            <v>КЦС 2.001.0000 - ДО - Субсидия на финансовое обеспечение выполнения муниципального задания - средства местного бюджета</v>
          </cell>
          <cell r="D6" t="str">
            <v>2.03.4.01.82050.000000</v>
          </cell>
        </row>
        <row r="7">
          <cell r="B7" t="str">
            <v>КЦС 2.001.2205 - ДО - Субсидия на финансовое обеспечение выполнения муниципального задания - 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</v>
          </cell>
          <cell r="D7" t="str">
            <v>2.03.2.01.85160.000000</v>
          </cell>
        </row>
        <row r="8">
          <cell r="B8" t="str">
            <v>КЦС 2.001.2101 - ДО - Субсидия на финансовое обеспечение выполнения муниципального задания -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</v>
          </cell>
          <cell r="D8" t="str">
            <v>2.22.0.06.61700.000000</v>
          </cell>
        </row>
        <row r="9">
          <cell r="B9" t="str">
            <v>КЦС 2.560.0000 - ДО - Субсидия на оплату работодателем не относящихся к заработной плате выплат, компенсаций работникам - средства местного бюджета</v>
          </cell>
          <cell r="D9" t="str">
            <v>2.17.2.08.61700.000000</v>
          </cell>
        </row>
        <row r="10">
          <cell r="B10" t="str">
            <v>КЦС 2.590.2302 - ДО - Субсидия на реализацию наказов избирателей депутатам Думы Ханты-Мансийского автономного округа - Югры</v>
          </cell>
          <cell r="D10" t="str">
            <v>2.03.2.01.84040.000000</v>
          </cell>
        </row>
        <row r="11">
          <cell r="B11" t="str">
            <v/>
          </cell>
          <cell r="D11" t="str">
            <v>2.34.0.03.20980.000000</v>
          </cell>
        </row>
        <row r="12">
          <cell r="B12" t="str">
            <v/>
          </cell>
          <cell r="D12" t="str">
            <v>2.03.2.01.20700.000000</v>
          </cell>
        </row>
        <row r="13">
          <cell r="B13" t="str">
            <v/>
          </cell>
          <cell r="D13" t="str">
            <v>2.03.4.01.61700.000000</v>
          </cell>
        </row>
        <row r="14">
          <cell r="B14" t="str">
            <v>КЦС 2.720.0000 - ДО - Субсидия на выплату единовременного вознаграждения при прекращении трудовых отношений в связи с выходом на пенсию по старости впервые - средства местного бюджета</v>
          </cell>
          <cell r="D14" t="str">
            <v>2.03.2.01.84010.000000</v>
          </cell>
        </row>
        <row r="15">
          <cell r="B15" t="str">
            <v>КЦС 2.770.0000 - ДО - Субсидия на реализацию мероприятий муниципальной программы «Улучшение условий и охраны труда в городе Сургуте на 2016 - 2030 годы» - средства местного бюджета</v>
          </cell>
          <cell r="D15" t="str">
            <v>2.03.4.01.S2050.000000</v>
          </cell>
        </row>
        <row r="16">
          <cell r="B16" t="str">
            <v/>
          </cell>
          <cell r="D16" t="str">
            <v>2.03.2.06.S2460.000000</v>
          </cell>
        </row>
        <row r="17">
          <cell r="B17" t="str">
            <v/>
          </cell>
          <cell r="D17">
            <v>0</v>
          </cell>
        </row>
        <row r="18">
          <cell r="B18" t="str">
            <v>КЦС 2.840.0000 - ДО - Субсидия на выплату материальной помощи неработающим пенсионерам - средства местного бюджета</v>
          </cell>
        </row>
        <row r="19">
          <cell r="B19" t="str">
            <v>КЦС 2.880.0000 - ДО - Субсидия на проведение городских массовых мероприятий, участие в выездных мероприятиях - средства местного бюджета</v>
          </cell>
          <cell r="D19" t="str">
            <v/>
          </cell>
        </row>
        <row r="20">
          <cell r="B20" t="str">
            <v>КЦС 2.910.0000 - ДО - Субсидия на оплату услуг по договорам возмездного оказания услуг (кроме услуг, связанных с содержанием муниципального имущества) - средства местного бюджета</v>
          </cell>
          <cell r="D20" t="str">
            <v/>
          </cell>
        </row>
        <row r="21">
          <cell r="B21" t="str">
            <v>КЦС 2.930.0000 - ДО - Субсидия на материально-техническое оснащение медицинских кабинетов</v>
          </cell>
        </row>
        <row r="22">
          <cell r="B22" t="str">
            <v/>
          </cell>
          <cell r="D22" t="str">
            <v/>
          </cell>
        </row>
        <row r="23">
          <cell r="B23" t="str">
            <v/>
          </cell>
          <cell r="D23" t="str">
            <v/>
          </cell>
        </row>
        <row r="24">
          <cell r="B24" t="str">
            <v/>
          </cell>
          <cell r="D24" t="str">
            <v/>
          </cell>
        </row>
        <row r="25">
          <cell r="B25" t="str">
            <v/>
          </cell>
          <cell r="D25" t="str">
            <v/>
          </cell>
        </row>
        <row r="26">
          <cell r="B26" t="str">
            <v/>
          </cell>
          <cell r="D26" t="str">
            <v/>
          </cell>
        </row>
        <row r="27">
          <cell r="B27" t="str">
            <v/>
          </cell>
          <cell r="D27" t="str">
            <v/>
          </cell>
        </row>
        <row r="28">
          <cell r="B28" t="str">
            <v/>
          </cell>
          <cell r="D28" t="str">
            <v/>
          </cell>
        </row>
        <row r="29">
          <cell r="B29" t="str">
            <v/>
          </cell>
          <cell r="D29" t="str">
            <v/>
          </cell>
        </row>
        <row r="30">
          <cell r="B30" t="str">
            <v/>
          </cell>
          <cell r="D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№ 072 от 27.09.2018 (стр.2)"/>
      <sheetName val="№ 072 от 27.09.2018 (стр.3)"/>
      <sheetName val="БЮДЖЕТ(4+5)"/>
      <sheetName val="ОСТАТКИ(4)"/>
      <sheetName val="ВНЕБЮДЖЕТ"/>
      <sheetName val="4"/>
      <sheetName val="211,213"/>
      <sheetName val="многографка"/>
      <sheetName val="5"/>
      <sheetName val="ДАННЫЕ"/>
      <sheetName val="КОНТРОЛЬ"/>
      <sheetName val="КП"/>
      <sheetName val="ПЗ"/>
      <sheetName val="Список_учреждений"/>
      <sheetName val="п.4"/>
      <sheetName val="п.5"/>
      <sheetName val="п.8"/>
      <sheetName val="п.14"/>
      <sheetName val="п.29"/>
      <sheetName val="223"/>
      <sheetName val="2.7"/>
      <sheetName val="2,8"/>
      <sheetName val="2.10"/>
      <sheetName val="290-&gt;291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H2" t="str">
            <v>п.4</v>
          </cell>
        </row>
        <row r="3">
          <cell r="H3" t="str">
            <v>п.5</v>
          </cell>
        </row>
        <row r="4">
          <cell r="H4" t="str">
            <v>п.8</v>
          </cell>
        </row>
        <row r="5">
          <cell r="H5" t="str">
            <v>п.14</v>
          </cell>
        </row>
        <row r="6">
          <cell r="H6" t="str">
            <v>п.29</v>
          </cell>
        </row>
      </sheetData>
      <sheetData sheetId="11">
        <row r="3">
          <cell r="B3" t="str">
            <v>КЦС 2.001.0000 - ДО - Субсидия на финансовое обеспечение выполнения муниципального задания - средства местного бюджета</v>
          </cell>
          <cell r="D3" t="str">
            <v>2.03.2.01.61700.000000</v>
          </cell>
        </row>
        <row r="4">
          <cell r="B4" t="str">
            <v>КЦС 2.001.0000 - ДО - Субсидия на финансовое обеспечение выполнения муниципального задания - средства местного бюджета</v>
          </cell>
          <cell r="D4" t="str">
            <v>2.03.2.01.84303.000000</v>
          </cell>
        </row>
        <row r="5">
          <cell r="B5" t="str">
            <v>КЦС 2.001.0000 - ДО - Субсидия на финансовое обеспечение выполнения муниципального задания - средства местного бюджета</v>
          </cell>
          <cell r="D5" t="str">
            <v>2.03.2.03.85020.000000</v>
          </cell>
        </row>
        <row r="6">
          <cell r="B6" t="str">
            <v>КЦС 2.001.0000 - ДО - Субсидия на финансовое обеспечение выполнения муниципального задания - средства местного бюджета</v>
          </cell>
          <cell r="D6" t="str">
            <v>2.03.4.01.82050.000000</v>
          </cell>
        </row>
        <row r="7">
          <cell r="B7" t="str">
            <v>КЦС 2.001.2205 - ДО - Субсидия на финансовое обеспечение выполнения муниципального задания - 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</v>
          </cell>
          <cell r="D7" t="str">
            <v>2.03.2.01.85160.000000</v>
          </cell>
        </row>
        <row r="8">
          <cell r="B8" t="str">
            <v>КЦС 2.001.2101 - ДО - Субсидия на финансовое обеспечение выполнения муниципального задания -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</v>
          </cell>
          <cell r="D8" t="str">
            <v>2.22.0.06.61700.000000</v>
          </cell>
        </row>
        <row r="9">
          <cell r="B9" t="str">
            <v>КЦС 2.560.0000 - ДО - Субсидия на оплату работодателем не относящихся к заработной плате выплат, компенсаций работникам - средства местного бюджета</v>
          </cell>
          <cell r="D9" t="str">
            <v>2.17.2.08.61700.000000</v>
          </cell>
        </row>
        <row r="10">
          <cell r="B10" t="str">
            <v>КЦС 2.590.2302 - ДО - Субсидия на реализацию наказов избирателей депутатам Думы Ханты-Мансийского автономного округа - Югры</v>
          </cell>
          <cell r="D10" t="str">
            <v>2.03.2.01.84040.000000</v>
          </cell>
        </row>
        <row r="11">
          <cell r="B11" t="str">
            <v/>
          </cell>
          <cell r="D11" t="str">
            <v>2.34.0.03.20980.000000</v>
          </cell>
        </row>
        <row r="12">
          <cell r="B12" t="str">
            <v/>
          </cell>
          <cell r="D12" t="str">
            <v>2.03.2.01.20700.000000</v>
          </cell>
        </row>
        <row r="13">
          <cell r="B13" t="str">
            <v/>
          </cell>
          <cell r="D13" t="str">
            <v>2.03.4.01.61700.000000</v>
          </cell>
        </row>
        <row r="14">
          <cell r="B14" t="str">
            <v>КЦС 2.720.0000 - ДО - Субсидия на выплату единовременного вознаграждения при прекращении трудовых отношений в связи с выходом на пенсию по старости впервые - средства местного бюджета</v>
          </cell>
          <cell r="D14" t="str">
            <v>2.03.2.01.84010.000000</v>
          </cell>
        </row>
        <row r="15">
          <cell r="B15" t="str">
            <v>КЦС 2.770.0000 - ДО - Субсидия на реализацию мероприятий муниципальной программы «Улучшение условий и охраны труда в городе Сургуте на 2016 - 2030 годы» - средства местного бюджета</v>
          </cell>
          <cell r="D15" t="str">
            <v>2.03.4.01.S2050.000000</v>
          </cell>
        </row>
        <row r="16">
          <cell r="B16" t="str">
            <v/>
          </cell>
          <cell r="D16" t="str">
            <v>2.03.2.06.S2460.000000</v>
          </cell>
        </row>
        <row r="17">
          <cell r="B17" t="str">
            <v/>
          </cell>
          <cell r="D17">
            <v>0</v>
          </cell>
        </row>
        <row r="18">
          <cell r="B18" t="str">
            <v>КЦС 2.840.0000 - ДО - Субсидия на выплату материальной помощи неработающим пенсионерам - средства местного бюджета</v>
          </cell>
        </row>
        <row r="19">
          <cell r="B19" t="str">
            <v>КЦС 2.880.0000 - ДО - Субсидия на проведение городских массовых мероприятий, участие в выездных мероприятиях - средства местного бюджета</v>
          </cell>
          <cell r="D19" t="str">
            <v/>
          </cell>
        </row>
        <row r="20">
          <cell r="B20" t="str">
            <v>КЦС 2.910.0000 - ДО - Субсидия на оплату услуг по договорам возмездного оказания услуг (кроме услуг, связанных с содержанием муниципального имущества) - средства местного бюджета</v>
          </cell>
          <cell r="D20" t="str">
            <v/>
          </cell>
        </row>
        <row r="21">
          <cell r="B21" t="str">
            <v>КЦС 2.930.0000 - ДО - Субсидия на материально-техническое оснащение медицинских кабинетов</v>
          </cell>
        </row>
        <row r="22">
          <cell r="B22" t="str">
            <v/>
          </cell>
          <cell r="D22" t="str">
            <v/>
          </cell>
        </row>
        <row r="23">
          <cell r="B23" t="str">
            <v/>
          </cell>
          <cell r="D23" t="str">
            <v/>
          </cell>
        </row>
        <row r="24">
          <cell r="B24" t="str">
            <v/>
          </cell>
          <cell r="D24" t="str">
            <v/>
          </cell>
        </row>
        <row r="25">
          <cell r="B25" t="str">
            <v/>
          </cell>
          <cell r="D25" t="str">
            <v/>
          </cell>
        </row>
        <row r="26">
          <cell r="B26" t="str">
            <v/>
          </cell>
          <cell r="D26" t="str">
            <v/>
          </cell>
        </row>
        <row r="27">
          <cell r="B27" t="str">
            <v/>
          </cell>
          <cell r="D27" t="str">
            <v/>
          </cell>
        </row>
        <row r="28">
          <cell r="B28" t="str">
            <v/>
          </cell>
          <cell r="D28" t="str">
            <v/>
          </cell>
        </row>
        <row r="29">
          <cell r="B29" t="str">
            <v/>
          </cell>
          <cell r="D29" t="str">
            <v/>
          </cell>
        </row>
        <row r="30">
          <cell r="B30" t="str">
            <v/>
          </cell>
          <cell r="D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№ 072 от 27.09.2018 (стр.2)"/>
      <sheetName val="№ 072 от 27.09.2018 (стр.3)"/>
      <sheetName val="БЮДЖЕТ(4+5)"/>
      <sheetName val="ОСТАТКИ(4)"/>
      <sheetName val="ВНЕБЮДЖЕТ"/>
      <sheetName val="4"/>
      <sheetName val="211,213"/>
      <sheetName val="многографка"/>
      <sheetName val="5"/>
      <sheetName val="ДАННЫЕ"/>
      <sheetName val="КОНТРОЛЬ"/>
      <sheetName val="КП"/>
      <sheetName val="ПЗ"/>
      <sheetName val="Список_учреждений"/>
      <sheetName val="п.4"/>
      <sheetName val="п.5"/>
      <sheetName val="п.8"/>
      <sheetName val="п.14"/>
      <sheetName val="п.29"/>
      <sheetName val="223"/>
      <sheetName val="2.7"/>
      <sheetName val="2,8"/>
      <sheetName val="2.10"/>
      <sheetName val="290-&gt;291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H2" t="str">
            <v>п.4</v>
          </cell>
        </row>
        <row r="3">
          <cell r="H3" t="str">
            <v>п.5</v>
          </cell>
        </row>
        <row r="4">
          <cell r="H4" t="str">
            <v>п.8</v>
          </cell>
        </row>
        <row r="5">
          <cell r="H5" t="str">
            <v>п.14</v>
          </cell>
        </row>
        <row r="6">
          <cell r="H6" t="str">
            <v>п.29</v>
          </cell>
        </row>
      </sheetData>
      <sheetData sheetId="11">
        <row r="3">
          <cell r="B3" t="str">
            <v>КЦС 2.001.0000 - ДО - Субсидия на финансовое обеспечение выполнения муниципального задания - средства местного бюджета</v>
          </cell>
          <cell r="D3" t="str">
            <v>2.03.2.01.61700.000000</v>
          </cell>
        </row>
        <row r="4">
          <cell r="B4" t="str">
            <v>КЦС 2.001.0000 - ДО - Субсидия на финансовое обеспечение выполнения муниципального задания - средства местного бюджета</v>
          </cell>
          <cell r="D4" t="str">
            <v>2.03.2.01.84303.000000</v>
          </cell>
        </row>
        <row r="5">
          <cell r="B5" t="str">
            <v>КЦС 2.001.0000 - ДО - Субсидия на финансовое обеспечение выполнения муниципального задания - средства местного бюджета</v>
          </cell>
          <cell r="D5" t="str">
            <v>2.03.2.03.85020.000000</v>
          </cell>
        </row>
        <row r="6">
          <cell r="B6" t="str">
            <v>КЦС 2.001.0000 - ДО - Субсидия на финансовое обеспечение выполнения муниципального задания - средства местного бюджета</v>
          </cell>
          <cell r="D6" t="str">
            <v>2.03.4.01.82050.000000</v>
          </cell>
        </row>
        <row r="7">
          <cell r="B7" t="str">
            <v>КЦС 2.001.2205 - ДО - Субсидия на финансовое обеспечение выполнения муниципального задания - 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</v>
          </cell>
          <cell r="D7" t="str">
            <v>2.03.2.01.85160.000000</v>
          </cell>
        </row>
        <row r="8">
          <cell r="B8" t="str">
            <v>КЦС 2.001.2101 - ДО - Субсидия на финансовое обеспечение выполнения муниципального задания -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</v>
          </cell>
          <cell r="D8" t="str">
            <v>2.22.0.06.61700.000000</v>
          </cell>
        </row>
        <row r="9">
          <cell r="B9" t="str">
            <v>КЦС 2.560.0000 - ДО - Субсидия на оплату работодателем не относящихся к заработной плате выплат, компенсаций работникам - средства местного бюджета</v>
          </cell>
          <cell r="D9" t="str">
            <v>2.17.2.08.61700.000000</v>
          </cell>
        </row>
        <row r="10">
          <cell r="B10" t="str">
            <v>КЦС 2.590.2302 - ДО - Субсидия на реализацию наказов избирателей депутатам Думы Ханты-Мансийского автономного округа - Югры</v>
          </cell>
          <cell r="D10" t="str">
            <v>2.03.2.01.84040.000000</v>
          </cell>
        </row>
        <row r="11">
          <cell r="B11" t="str">
            <v/>
          </cell>
          <cell r="D11" t="str">
            <v>2.34.0.03.20980.000000</v>
          </cell>
        </row>
        <row r="12">
          <cell r="B12" t="str">
            <v/>
          </cell>
          <cell r="D12" t="str">
            <v>2.03.2.01.20700.000000</v>
          </cell>
        </row>
        <row r="13">
          <cell r="B13" t="str">
            <v/>
          </cell>
          <cell r="D13" t="str">
            <v>2.03.4.01.61700.000000</v>
          </cell>
        </row>
        <row r="14">
          <cell r="B14" t="str">
            <v>КЦС 2.720.0000 - ДО - Субсидия на выплату единовременного вознаграждения при прекращении трудовых отношений в связи с выходом на пенсию по старости впервые - средства местного бюджета</v>
          </cell>
          <cell r="D14" t="str">
            <v>2.03.2.01.84010.000000</v>
          </cell>
        </row>
        <row r="15">
          <cell r="B15" t="str">
            <v>КЦС 2.770.0000 - ДО - Субсидия на реализацию мероприятий муниципальной программы «Улучшение условий и охраны труда в городе Сургуте на 2016 - 2030 годы» - средства местного бюджета</v>
          </cell>
          <cell r="D15" t="str">
            <v>2.03.4.01.S2050.000000</v>
          </cell>
        </row>
        <row r="16">
          <cell r="B16" t="str">
            <v/>
          </cell>
          <cell r="D16" t="str">
            <v>2.03.2.06.S2460.000000</v>
          </cell>
        </row>
        <row r="17">
          <cell r="B17" t="str">
            <v/>
          </cell>
          <cell r="D17">
            <v>0</v>
          </cell>
        </row>
        <row r="18">
          <cell r="B18" t="str">
            <v>КЦС 2.840.0000 - ДО - Субсидия на выплату материальной помощи неработающим пенсионерам - средства местного бюджета</v>
          </cell>
        </row>
        <row r="19">
          <cell r="B19" t="str">
            <v>КЦС 2.880.0000 - ДО - Субсидия на проведение городских массовых мероприятий, участие в выездных мероприятиях - средства местного бюджета</v>
          </cell>
          <cell r="D19" t="str">
            <v/>
          </cell>
        </row>
        <row r="20">
          <cell r="B20" t="str">
            <v>КЦС 2.910.0000 - ДО - Субсидия на оплату услуг по договорам возмездного оказания услуг (кроме услуг, связанных с содержанием муниципального имущества) - средства местного бюджета</v>
          </cell>
          <cell r="D20" t="str">
            <v/>
          </cell>
        </row>
        <row r="21">
          <cell r="B21" t="str">
            <v>КЦС 2.930.0000 - ДО - Субсидия на материально-техническое оснащение медицинских кабинетов</v>
          </cell>
        </row>
        <row r="22">
          <cell r="B22" t="str">
            <v/>
          </cell>
          <cell r="D22" t="str">
            <v/>
          </cell>
        </row>
        <row r="23">
          <cell r="B23" t="str">
            <v/>
          </cell>
          <cell r="D23" t="str">
            <v/>
          </cell>
        </row>
        <row r="24">
          <cell r="B24" t="str">
            <v/>
          </cell>
          <cell r="D24" t="str">
            <v/>
          </cell>
        </row>
        <row r="25">
          <cell r="B25" t="str">
            <v/>
          </cell>
          <cell r="D25" t="str">
            <v/>
          </cell>
        </row>
        <row r="26">
          <cell r="B26" t="str">
            <v/>
          </cell>
          <cell r="D26" t="str">
            <v/>
          </cell>
        </row>
        <row r="27">
          <cell r="B27" t="str">
            <v/>
          </cell>
          <cell r="D27" t="str">
            <v/>
          </cell>
        </row>
        <row r="28">
          <cell r="B28" t="str">
            <v/>
          </cell>
          <cell r="D28" t="str">
            <v/>
          </cell>
        </row>
        <row r="29">
          <cell r="B29" t="str">
            <v/>
          </cell>
          <cell r="D29" t="str">
            <v/>
          </cell>
        </row>
        <row r="30">
          <cell r="B30" t="str">
            <v/>
          </cell>
          <cell r="D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УП"/>
      <sheetName val="Учителя"/>
      <sheetName val="Спец_сты школы"/>
      <sheetName val="Рабочие"/>
      <sheetName val="определение ФСВ"/>
      <sheetName val="анализ надбавок"/>
    </sheetNames>
    <sheetDataSet>
      <sheetData sheetId="0" refreshError="1"/>
      <sheetData sheetId="1" refreshError="1">
        <row r="2">
          <cell r="A2" t="str">
            <v>СОГЛАСОВАНО:</v>
          </cell>
        </row>
        <row r="3">
          <cell r="A3" t="str">
            <v>Председатель профсоюзного комитета</v>
          </cell>
        </row>
        <row r="4">
          <cell r="A4" t="str">
            <v>________________________</v>
          </cell>
        </row>
        <row r="6">
          <cell r="A6" t="str">
            <v>"______"_____________________2008 г.</v>
          </cell>
        </row>
        <row r="8">
          <cell r="A8" t="str">
            <v>М.П.</v>
          </cell>
        </row>
        <row r="13">
          <cell r="A13" t="str">
            <v>№ п/п</v>
          </cell>
          <cell r="B13" t="str">
            <v>Ф.И.О.</v>
          </cell>
          <cell r="C13" t="str">
            <v>Занимаемая должность</v>
          </cell>
          <cell r="D13" t="str">
            <v>Образование, наименование учебного заведения</v>
          </cell>
          <cell r="E13" t="str">
            <v>Наименова-ние документа об образова-нии, его № и дата выдачи</v>
          </cell>
          <cell r="F13" t="str">
            <v xml:space="preserve">Стаж педогагической работы (число лет, месяцев, дней) </v>
          </cell>
          <cell r="G13" t="str">
            <v>Квалификация работника</v>
          </cell>
          <cell r="J13" t="str">
            <v>Кол-во недельных часов, всего</v>
          </cell>
          <cell r="K13" t="str">
            <v>из них:</v>
          </cell>
          <cell r="R13" t="str">
            <v>Базовая единица, руб.</v>
          </cell>
          <cell r="S13" t="str">
            <v>Коэффициент уровня образования (К1)</v>
          </cell>
          <cell r="T13" t="str">
            <v>Базовый оклад за норму часов преподавательской работы, руб.</v>
          </cell>
          <cell r="U13" t="str">
            <v>Расчет Базового оклада (Бо), руб.</v>
          </cell>
          <cell r="AD13" t="str">
            <v>Базовый оклад за часы работы в 1-11 классах, руб.</v>
          </cell>
          <cell r="AE13" t="str">
            <v>Коэффициент стажа работы (К2.1)</v>
          </cell>
          <cell r="AJ13" t="str">
            <v>Коэффициент специфики работы (К2.2)</v>
          </cell>
          <cell r="AN13" t="str">
            <v>Коэффициент специфики работы (К2.2)</v>
          </cell>
          <cell r="BI13" t="str">
            <v>Итого сумма коэффициента специфики, руб.(К2.2)</v>
          </cell>
          <cell r="BJ13" t="str">
            <v xml:space="preserve">Коэффициент квалификации работника (К2.3) </v>
          </cell>
          <cell r="BN13" t="str">
            <v xml:space="preserve">Должностной оклад с учетом повышающих коэффициентов </v>
          </cell>
          <cell r="BO13" t="str">
            <v>Районный коэффициент</v>
          </cell>
          <cell r="BQ13" t="str">
            <v>Северная надбавка</v>
          </cell>
          <cell r="BS13" t="str">
            <v>Итого должностной оклад с учетом р/к, с/н</v>
          </cell>
          <cell r="BT13" t="str">
            <v>Фонд надбавок и доплат</v>
          </cell>
          <cell r="BY13" t="str">
            <v>Итого фонд надбавок и доплат, руб.</v>
          </cell>
          <cell r="BZ13" t="str">
            <v>Районный коэффициент</v>
          </cell>
          <cell r="CB13" t="str">
            <v>Северная надбавка</v>
          </cell>
          <cell r="CD13" t="str">
            <v>Всего фонд надбавок и доплат, руб.</v>
          </cell>
          <cell r="CE13" t="str">
            <v>Итого фонд заработной платы в месяц, руб.</v>
          </cell>
          <cell r="CF13" t="str">
            <v>Выплата вознаграждения за выполнение функций классного руководителя, руб. с учетом районного коэффициента и северной надбавки</v>
          </cell>
        </row>
        <row r="14">
          <cell r="G14" t="str">
            <v>Наличие квалифика-ционной категории (№ приказа, дата)</v>
          </cell>
          <cell r="H14" t="str">
            <v>Наличие ученой степени (№ диплома, дата)</v>
          </cell>
          <cell r="I14" t="str">
            <v>Наличие почетного звания,знаков отличия (№ документа, дата)</v>
          </cell>
          <cell r="K14" t="str">
            <v>в 1 - 4 классах</v>
          </cell>
          <cell r="O14" t="str">
            <v>в 5 - 11 классах</v>
          </cell>
          <cell r="U14" t="str">
            <v>в 1 - 4 классах</v>
          </cell>
          <cell r="Y14" t="str">
            <v>Итого Бо за часы работы в 1-4 классах</v>
          </cell>
          <cell r="Z14" t="str">
            <v>в 5 - 11 классах</v>
          </cell>
          <cell r="AC14" t="str">
            <v>Итого Бо за часы работы в 5-11 классах</v>
          </cell>
          <cell r="AE14" t="str">
            <v>размер коэффициента</v>
          </cell>
          <cell r="AF14" t="str">
            <v>сумма, руб.</v>
          </cell>
          <cell r="AG14" t="str">
            <v>Работа педагогических работников в прогимназии, гимназии, лицее, школе с углубленным изучением предметов(Тип 3)</v>
          </cell>
          <cell r="AJ14" t="str">
            <v>в 1-4 классах</v>
          </cell>
          <cell r="AN14" t="str">
            <v>в 1-4 классах</v>
          </cell>
          <cell r="AS14" t="str">
            <v>с 5-11 классы</v>
          </cell>
          <cell r="BC14" t="str">
            <v>Заведование методическим объединением (Тип3)</v>
          </cell>
          <cell r="BE14" t="str">
            <v>Заведование учебным кабинетом, мастерской, спортивным залом(Тип 3)</v>
          </cell>
          <cell r="BG14" t="str">
            <v>Работа учителя, связанная с выполнением обязанностей классного руководителя (Тип2)</v>
          </cell>
          <cell r="BJ14" t="str">
            <v>За квал. категорию или ученую степень</v>
          </cell>
          <cell r="BL14" t="str">
            <v>За почетные звания, знаки отличия</v>
          </cell>
          <cell r="BO14" t="str">
            <v>размер коэффициента</v>
          </cell>
          <cell r="BP14" t="str">
            <v>сумма, руб.</v>
          </cell>
          <cell r="BQ14" t="str">
            <v>размер коэффициента</v>
          </cell>
          <cell r="BR14" t="str">
            <v>сумма, руб.</v>
          </cell>
          <cell r="BT14" t="str">
            <v>Доплаты</v>
          </cell>
          <cell r="BX14" t="str">
            <v>Стимулирующая выплата, руб.</v>
          </cell>
          <cell r="BZ14" t="str">
            <v>размер коэффициента</v>
          </cell>
          <cell r="CA14" t="str">
            <v>сумма, руб.</v>
          </cell>
          <cell r="CB14" t="str">
            <v>размер коэффициента</v>
          </cell>
          <cell r="CC14" t="str">
            <v>сумма, руб.</v>
          </cell>
        </row>
        <row r="15">
          <cell r="K15" t="str">
            <v>Кол-во часов в общеобразовательных классах</v>
          </cell>
          <cell r="L15" t="str">
            <v>Кол-во часов к классах компенсирующего обучения</v>
          </cell>
          <cell r="M15" t="str">
            <v>Кол-во часов в специальных  (коррекционных) классах</v>
          </cell>
          <cell r="N15" t="str">
            <v>Кол-во часов на домашнее обучение, обучение в больницах</v>
          </cell>
          <cell r="O15" t="str">
            <v>Кол-во часов в общеобразовательных классах</v>
          </cell>
          <cell r="P15" t="str">
            <v>Кол-во часов в специальных  (коррекционных) классах</v>
          </cell>
          <cell r="Q15" t="str">
            <v>Кол-во часов на домашнее обучение, обучение в больницах</v>
          </cell>
          <cell r="U15" t="str">
            <v>Бо за часы работы в общеобразовательных классах</v>
          </cell>
          <cell r="V15" t="str">
            <v>Бо за часы работы в классах компенсирующего обучения</v>
          </cell>
          <cell r="W15" t="str">
            <v xml:space="preserve">Бо за часы работы в специальных (коррекционных) классах </v>
          </cell>
          <cell r="X15" t="str">
            <v>Бо за часы домашнего обучения, обучения в больницах</v>
          </cell>
          <cell r="Z15" t="str">
            <v>Бо за часы работы в общеобразовательных классах</v>
          </cell>
          <cell r="AA15" t="str">
            <v xml:space="preserve">Бо за часы работы в специальных (коррекционных) классах </v>
          </cell>
          <cell r="AB15" t="str">
            <v>Бо за часы домашнего обучения, обучения в больницах</v>
          </cell>
          <cell r="AG15" t="str">
            <v>размер коэффициента</v>
          </cell>
          <cell r="AH15" t="str">
            <v>сумма, руб.</v>
          </cell>
          <cell r="AI15" t="str">
            <v>Кол-во часов на проверку тетрадей</v>
          </cell>
          <cell r="AJ15" t="str">
            <v>проверка тетрадей для учителей нач.классов (Тип2)</v>
          </cell>
          <cell r="AL15" t="str">
            <v>работа учителя в классах компенсирующего обучения (Тип 2)</v>
          </cell>
          <cell r="AN15" t="str">
            <v>работа учителя в коррекционных классах (Тип 1)</v>
          </cell>
          <cell r="AP15" t="str">
            <v>работа учителя в классах с индивидуальным и групповым обучением детей, находящихся на домашнем обучении, длительном лечении (Тип 1)</v>
          </cell>
          <cell r="AR15" t="str">
            <v>Кол-во часов на проверку тетрадей</v>
          </cell>
          <cell r="AS15" t="str">
            <v>проверка тетрадей по русскому, родному языку, литературе, математике, иностранному языку (Тип 1, Тип 2)</v>
          </cell>
          <cell r="AU15" t="str">
            <v>проверка тетрадей по физике, химии (Тип3)</v>
          </cell>
          <cell r="AW15" t="str">
            <v>проверка тетрадей по географии, истории, черчению, биологии, информатике (Тип 4)</v>
          </cell>
          <cell r="AY15" t="str">
            <v>работа учителя в коррекционных классах (Тип 1)</v>
          </cell>
          <cell r="BA15" t="str">
            <v>работа учителя в классах с индивидуальным и групповым обучением детей, находящихся на домашнем обучении, длительном лечении (Тип 1)</v>
          </cell>
          <cell r="BC15" t="str">
            <v>размер коэффициента</v>
          </cell>
          <cell r="BD15" t="str">
            <v>сумма, руб.</v>
          </cell>
          <cell r="BE15" t="str">
            <v>размер коэффициента</v>
          </cell>
          <cell r="BF15" t="str">
            <v>сумма, руб.</v>
          </cell>
          <cell r="BG15" t="str">
            <v>размер коэффициента</v>
          </cell>
          <cell r="BH15" t="str">
            <v>сумма, руб.</v>
          </cell>
          <cell r="BJ15" t="str">
            <v>размер коэффициента</v>
          </cell>
          <cell r="BK15" t="str">
            <v>сумма, руб.</v>
          </cell>
          <cell r="BL15" t="str">
            <v>размер коэффициента</v>
          </cell>
          <cell r="BM15" t="str">
            <v>сумма, руб.</v>
          </cell>
          <cell r="BT15" t="str">
            <v>за работу с неблагоприятными условиями труда</v>
          </cell>
          <cell r="BV15" t="str">
            <v>за работу в выходные, праздничные дни</v>
          </cell>
        </row>
        <row r="17">
          <cell r="A17" t="str">
            <v>Педагогический персонал</v>
          </cell>
        </row>
        <row r="18">
          <cell r="A18">
            <v>1</v>
          </cell>
          <cell r="B18" t="str">
            <v>Андрианова Светлана Ивановна</v>
          </cell>
        </row>
        <row r="19">
          <cell r="A19">
            <v>2</v>
          </cell>
          <cell r="B19" t="str">
            <v>Ананьева Любовь Николаевна</v>
          </cell>
        </row>
        <row r="20">
          <cell r="A20">
            <v>3</v>
          </cell>
          <cell r="B20" t="str">
            <v>Бреусенко Гульнара Махмутовна</v>
          </cell>
        </row>
        <row r="21">
          <cell r="A21">
            <v>4</v>
          </cell>
          <cell r="B21" t="str">
            <v>Василенко Кулян Васильевна</v>
          </cell>
        </row>
        <row r="22">
          <cell r="A22">
            <v>5</v>
          </cell>
          <cell r="B22" t="str">
            <v>Гапонова Татьяна Ивановна</v>
          </cell>
        </row>
        <row r="23">
          <cell r="A23">
            <v>6</v>
          </cell>
          <cell r="B23" t="str">
            <v>Голышева Оксана Юрьевна</v>
          </cell>
        </row>
        <row r="24">
          <cell r="A24">
            <v>7</v>
          </cell>
          <cell r="B24" t="str">
            <v>Горина Елена Дмитриевна</v>
          </cell>
        </row>
        <row r="25">
          <cell r="A25">
            <v>8</v>
          </cell>
          <cell r="B25" t="str">
            <v>Данилина Татьяна Павловна</v>
          </cell>
        </row>
        <row r="26">
          <cell r="A26">
            <v>9</v>
          </cell>
          <cell r="B26" t="str">
            <v>Пелых Елена Григорьевна</v>
          </cell>
        </row>
        <row r="27">
          <cell r="A27">
            <v>10</v>
          </cell>
          <cell r="B27" t="str">
            <v>Домрачеева Людмила Николаевна</v>
          </cell>
        </row>
        <row r="28">
          <cell r="A28">
            <v>11</v>
          </cell>
          <cell r="B28" t="str">
            <v>Ерина Ольга Ивановна</v>
          </cell>
        </row>
        <row r="29">
          <cell r="A29">
            <v>12</v>
          </cell>
          <cell r="B29" t="str">
            <v>Калестру Ирина Марсовна</v>
          </cell>
        </row>
        <row r="30">
          <cell r="A30">
            <v>13</v>
          </cell>
          <cell r="B30" t="str">
            <v>Зарипова Филюза Магсумовна</v>
          </cell>
        </row>
        <row r="31">
          <cell r="A31">
            <v>14</v>
          </cell>
          <cell r="B31" t="str">
            <v>Иванова Елена Викторовна</v>
          </cell>
        </row>
        <row r="32">
          <cell r="A32">
            <v>15</v>
          </cell>
          <cell r="B32" t="str">
            <v>Иванова Елена Сергеевна</v>
          </cell>
        </row>
        <row r="33">
          <cell r="A33">
            <v>16</v>
          </cell>
          <cell r="B33" t="str">
            <v>Карайсенлы Аэлита Евгеньевна</v>
          </cell>
        </row>
        <row r="34">
          <cell r="A34">
            <v>17</v>
          </cell>
          <cell r="B34" t="str">
            <v>Кутовая Оксана Анатольевна</v>
          </cell>
        </row>
        <row r="35">
          <cell r="A35">
            <v>18</v>
          </cell>
          <cell r="B35" t="str">
            <v>Морозова Лилия Анатольевна</v>
          </cell>
        </row>
        <row r="36">
          <cell r="A36">
            <v>19</v>
          </cell>
          <cell r="B36" t="str">
            <v>Нигматуллина Венера Ахатовна</v>
          </cell>
        </row>
        <row r="37">
          <cell r="A37">
            <v>20</v>
          </cell>
          <cell r="B37" t="str">
            <v>Овчинникова Ольга Юрьевна</v>
          </cell>
        </row>
        <row r="38">
          <cell r="A38">
            <v>21</v>
          </cell>
          <cell r="B38" t="str">
            <v>Парыгина Елена Васильевна</v>
          </cell>
        </row>
        <row r="39">
          <cell r="A39">
            <v>22</v>
          </cell>
          <cell r="B39" t="str">
            <v>Пастухова Светлана Александровна</v>
          </cell>
        </row>
        <row r="40">
          <cell r="A40">
            <v>23</v>
          </cell>
          <cell r="B40" t="str">
            <v>Перевалова Наталья Николаевна</v>
          </cell>
        </row>
        <row r="41">
          <cell r="A41">
            <v>24</v>
          </cell>
          <cell r="B41" t="str">
            <v>Пермякова Елена Николаевна</v>
          </cell>
        </row>
        <row r="42">
          <cell r="A42">
            <v>25</v>
          </cell>
          <cell r="B42" t="str">
            <v>Пушкарева Екатерина Валерьевна</v>
          </cell>
        </row>
        <row r="43">
          <cell r="A43">
            <v>26</v>
          </cell>
          <cell r="B43" t="str">
            <v>Расторгуева Татьяна Николаевна</v>
          </cell>
        </row>
        <row r="44">
          <cell r="A44">
            <v>27</v>
          </cell>
          <cell r="B44" t="str">
            <v>Русакова Галина Николаевна</v>
          </cell>
        </row>
        <row r="45">
          <cell r="A45">
            <v>28</v>
          </cell>
          <cell r="B45" t="str">
            <v>Рысляева Евгения Юрьевна</v>
          </cell>
        </row>
        <row r="46">
          <cell r="A46">
            <v>29</v>
          </cell>
          <cell r="B46" t="str">
            <v>Санникова Галина Алексеевна</v>
          </cell>
        </row>
        <row r="47">
          <cell r="A47">
            <v>30</v>
          </cell>
          <cell r="B47" t="str">
            <v>Сахарова Ольга Леонидовна</v>
          </cell>
        </row>
        <row r="48">
          <cell r="A48">
            <v>31</v>
          </cell>
          <cell r="B48" t="str">
            <v>Бабан Юлия Владимировна</v>
          </cell>
        </row>
        <row r="49">
          <cell r="A49">
            <v>32</v>
          </cell>
          <cell r="B49" t="str">
            <v>Симоник Владимир Георгиевич</v>
          </cell>
        </row>
        <row r="50">
          <cell r="A50">
            <v>33</v>
          </cell>
          <cell r="B50" t="str">
            <v>Хасанова Алтын Сеильбековна</v>
          </cell>
        </row>
        <row r="51">
          <cell r="A51">
            <v>34</v>
          </cell>
          <cell r="B51" t="str">
            <v>Юрченко Галина Викторовна</v>
          </cell>
        </row>
        <row r="52">
          <cell r="A52">
            <v>35</v>
          </cell>
          <cell r="B52" t="str">
            <v>Муртазин Рустем Маратович</v>
          </cell>
        </row>
        <row r="53">
          <cell r="A53">
            <v>36</v>
          </cell>
          <cell r="B53" t="str">
            <v>Мартынюк Любовь Ивановна</v>
          </cell>
        </row>
        <row r="54">
          <cell r="A54">
            <v>37</v>
          </cell>
          <cell r="B54" t="str">
            <v>Тутаева Людмила Григорьевна</v>
          </cell>
        </row>
        <row r="55">
          <cell r="A55">
            <v>38</v>
          </cell>
          <cell r="B55" t="str">
            <v>Гумерова Айгуль Вадисовна</v>
          </cell>
        </row>
        <row r="56">
          <cell r="A56">
            <v>39</v>
          </cell>
          <cell r="B56" t="str">
            <v>Капш Марина Вячеславовна</v>
          </cell>
        </row>
        <row r="57">
          <cell r="A57">
            <v>40</v>
          </cell>
          <cell r="B57" t="str">
            <v>Кирилина Татьяна Юрьевна</v>
          </cell>
        </row>
        <row r="58">
          <cell r="A58">
            <v>41</v>
          </cell>
          <cell r="B58" t="str">
            <v>Крецу Светлана Агзамовна</v>
          </cell>
        </row>
        <row r="59">
          <cell r="A59">
            <v>42</v>
          </cell>
          <cell r="B59" t="str">
            <v>Петракова Вера Владимировна</v>
          </cell>
        </row>
        <row r="60">
          <cell r="A60" t="str">
            <v>ИТОГО:</v>
          </cell>
        </row>
        <row r="64">
          <cell r="A64" t="str">
            <v>Исполнитель:</v>
          </cell>
        </row>
        <row r="67">
          <cell r="A67" t="str">
            <v>Специалист отдела кадров:</v>
          </cell>
        </row>
        <row r="70">
          <cell r="A70" t="str">
            <v>Ведущий экономист: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ЗП на 31.08.08"/>
      <sheetName val="АУП"/>
      <sheetName val="Учителя"/>
      <sheetName val="Спец_сты школы"/>
      <sheetName val="Рабочие"/>
      <sheetName val="анализ надбавок"/>
      <sheetName val="анализ зар.платы"/>
      <sheetName val="ФЗП учителя"/>
      <sheetName val="анализ зар.платы 01.01.09"/>
      <sheetName val="анализ в ДО"/>
      <sheetName val="определение ФСВ"/>
      <sheetName val="Сводная ведомость"/>
      <sheetName val="Определение доли, суммы"/>
      <sheetName val="Определение стоимости 1 балла"/>
      <sheetName val="Расчет размера премии"/>
      <sheetName val="расчет дир.фонда-7"/>
    </sheetNames>
    <sheetDataSet>
      <sheetData sheetId="0" refreshError="1"/>
      <sheetData sheetId="1" refreshError="1"/>
      <sheetData sheetId="2">
        <row r="2">
          <cell r="A2" t="str">
            <v>СОГЛАСОВАНО:</v>
          </cell>
        </row>
        <row r="3">
          <cell r="A3" t="str">
            <v>Председатель профсоюзного комитета</v>
          </cell>
        </row>
        <row r="4">
          <cell r="A4" t="str">
            <v>________________________</v>
          </cell>
        </row>
        <row r="6">
          <cell r="A6" t="str">
            <v>"______"_____________________2009 г.</v>
          </cell>
        </row>
        <row r="8">
          <cell r="A8" t="str">
            <v>М.П.</v>
          </cell>
        </row>
        <row r="13">
          <cell r="A13" t="str">
            <v>№ п/п</v>
          </cell>
          <cell r="B13" t="str">
            <v>Ф.И.О.</v>
          </cell>
          <cell r="C13" t="str">
            <v>Занимаемая должность</v>
          </cell>
          <cell r="D13" t="str">
            <v>Образование, наименование учебного заведения</v>
          </cell>
          <cell r="E13" t="str">
            <v>Наименова-ние документа об образова-нии, его № и дата выдачи</v>
          </cell>
          <cell r="F13" t="str">
            <v xml:space="preserve">Стаж педогагической работы (число лет, месяцев, дней) </v>
          </cell>
          <cell r="G13" t="str">
            <v>Квалификация работника</v>
          </cell>
          <cell r="J13" t="str">
            <v>Кол-во недельных часов, всего</v>
          </cell>
          <cell r="K13" t="str">
            <v>из них:</v>
          </cell>
          <cell r="R13" t="str">
            <v>Базовая единица, руб.</v>
          </cell>
          <cell r="S13" t="str">
            <v>Коэффициент уровня образования (К1)</v>
          </cell>
          <cell r="T13" t="str">
            <v>Базовый оклад за норму часов преподавательской работы, руб.</v>
          </cell>
          <cell r="U13" t="str">
            <v>Расчет Базового оклада (Бо), руб.</v>
          </cell>
          <cell r="AD13" t="str">
            <v>Базовый оклад за часы работы в 1-11 классах, руб.</v>
          </cell>
          <cell r="AE13" t="str">
            <v>Коэффициент стажа работы (К2.1)</v>
          </cell>
          <cell r="AJ13" t="str">
            <v>Коэффициент специфики работы (К2.2)</v>
          </cell>
          <cell r="AN13" t="str">
            <v>Коэффициент специфики работы (К2.2)</v>
          </cell>
          <cell r="BI13" t="str">
            <v>Итого сумма коэффициента специфики, руб.(К2.2)</v>
          </cell>
          <cell r="BJ13" t="str">
            <v xml:space="preserve">Коэффициент квалификации работника (К2.3) </v>
          </cell>
          <cell r="BN13" t="str">
            <v xml:space="preserve">Должностной оклад с учетом повышающих коэффициентов </v>
          </cell>
          <cell r="BO13" t="str">
            <v>Районный коэффициент</v>
          </cell>
          <cell r="BQ13" t="str">
            <v>Северная надбавка</v>
          </cell>
          <cell r="BS13" t="str">
            <v>Итого должностной оклад с учетом р/к, с/н</v>
          </cell>
          <cell r="BT13" t="str">
            <v>Фонд надбавок и доплат</v>
          </cell>
          <cell r="BY13" t="str">
            <v>Итого фонд надбавок и доплат, руб.</v>
          </cell>
          <cell r="BZ13" t="str">
            <v>Районный коэффициент</v>
          </cell>
          <cell r="CB13" t="str">
            <v>Северная надбавка</v>
          </cell>
          <cell r="CD13" t="str">
            <v>Всего фонд надбавок и доплат, руб.</v>
          </cell>
          <cell r="CE13" t="str">
            <v>Итого фонд заработной платы в месяц, руб.</v>
          </cell>
          <cell r="CF13" t="str">
            <v>Выплата вознаграждения за выполнение функций классного руководителя, руб. с учетом районного коэффициента и северной надбавки</v>
          </cell>
        </row>
        <row r="14">
          <cell r="G14" t="str">
            <v>Наличие квалифика-ционной категории (№ приказа, дата)</v>
          </cell>
          <cell r="H14" t="str">
            <v>Наличие ученой степени (№ диплома, дата)</v>
          </cell>
          <cell r="I14" t="str">
            <v>Наличие почетного звания,знаков отличия (№ документа, дата)</v>
          </cell>
          <cell r="K14" t="str">
            <v>в 1 - 4 классах</v>
          </cell>
          <cell r="O14" t="str">
            <v>в 5 - 11 классах</v>
          </cell>
          <cell r="U14" t="str">
            <v>в 1 - 4 классах</v>
          </cell>
          <cell r="Y14" t="str">
            <v>Итого Бо за часы работы в 1-4 классах</v>
          </cell>
          <cell r="Z14" t="str">
            <v>в 5 - 11 классах</v>
          </cell>
          <cell r="AC14" t="str">
            <v>Итого Бо за часы работы в 5-11 классах</v>
          </cell>
          <cell r="AE14" t="str">
            <v>размер коэффициента</v>
          </cell>
          <cell r="AF14" t="str">
            <v>сумма, руб.</v>
          </cell>
          <cell r="AG14" t="str">
            <v>Работа педагогических работников в прогимназии, гимназии, лицее, школе с углубленным изучением предметов(Тип 3)</v>
          </cell>
          <cell r="AJ14" t="str">
            <v>в 1-4 классах</v>
          </cell>
          <cell r="AN14" t="str">
            <v>в 1-4 классах</v>
          </cell>
          <cell r="AS14" t="str">
            <v>с 5-11 классы</v>
          </cell>
          <cell r="BC14" t="str">
            <v>Заведование методическим объединением (Тип3)</v>
          </cell>
          <cell r="BE14" t="str">
            <v>Заведование учебным кабинетом, мастерской, спортивным залом(Тип 3)</v>
          </cell>
          <cell r="BG14" t="str">
            <v>Работа учителя, связанная с выполнением обязанностей классного руководителя (Тип2)</v>
          </cell>
          <cell r="BJ14" t="str">
            <v>За квал. категорию или ученую степень</v>
          </cell>
          <cell r="BL14" t="str">
            <v>За почетные звания, знаки отличия</v>
          </cell>
          <cell r="BO14" t="str">
            <v>размер коэффициента</v>
          </cell>
          <cell r="BP14" t="str">
            <v>сумма, руб.</v>
          </cell>
          <cell r="BQ14" t="str">
            <v>размер коэффициента</v>
          </cell>
          <cell r="BR14" t="str">
            <v>сумма, руб.</v>
          </cell>
          <cell r="BT14" t="str">
            <v>Доплаты</v>
          </cell>
          <cell r="BX14" t="str">
            <v>Стимулирующая выплата, руб.</v>
          </cell>
          <cell r="BZ14" t="str">
            <v>размер коэффициента</v>
          </cell>
          <cell r="CA14" t="str">
            <v>сумма, руб.</v>
          </cell>
          <cell r="CB14" t="str">
            <v>размер коэффициента</v>
          </cell>
          <cell r="CC14" t="str">
            <v>сумма, руб.</v>
          </cell>
        </row>
        <row r="15">
          <cell r="K15" t="str">
            <v>Кол-во часов в общеобразовательных классах</v>
          </cell>
          <cell r="L15" t="str">
            <v>Кол-во часов к классах компенсирующего обучения</v>
          </cell>
          <cell r="M15" t="str">
            <v>Кол-во часов в специальных  (коррекционных) классах</v>
          </cell>
          <cell r="N15" t="str">
            <v>Кол-во часов на домашнее обучение, обучение в больницах</v>
          </cell>
          <cell r="O15" t="str">
            <v>Кол-во часов в общеобразовательных классах</v>
          </cell>
          <cell r="P15" t="str">
            <v>Кол-во часов в специальных  (коррекционных) классах</v>
          </cell>
          <cell r="Q15" t="str">
            <v>Кол-во часов на домашнее обучение, обучение в больницах</v>
          </cell>
          <cell r="U15" t="str">
            <v>Бо за часы работы в общеобразовательных классах</v>
          </cell>
          <cell r="V15" t="str">
            <v>Бо за часы работы в классах компенсирующего обучения</v>
          </cell>
          <cell r="W15" t="str">
            <v xml:space="preserve">Бо за часы работы в специальных (коррекционных) классах </v>
          </cell>
          <cell r="X15" t="str">
            <v>Бо за часы домашнего обучения, обучения в больницах</v>
          </cell>
          <cell r="Z15" t="str">
            <v>Бо за часы работы в общеобразовательных классах</v>
          </cell>
          <cell r="AA15" t="str">
            <v xml:space="preserve">Бо за часы работы в специальных (коррекционных) классах </v>
          </cell>
          <cell r="AB15" t="str">
            <v>Бо за часы домашнего обучения, обучения в больницах</v>
          </cell>
          <cell r="AG15" t="str">
            <v>размер коэффициента</v>
          </cell>
          <cell r="AH15" t="str">
            <v>сумма, руб.</v>
          </cell>
          <cell r="AI15" t="str">
            <v>Кол-во часов на проверку тетрадей</v>
          </cell>
          <cell r="AJ15" t="str">
            <v>проверка тетрадей для учителей нач.классов (Тип2)</v>
          </cell>
          <cell r="AL15" t="str">
            <v>работа учителя в классах компенсирующего обучения (Тип 2)</v>
          </cell>
          <cell r="AN15" t="str">
            <v>работа учителя в коррекционных классах (Тип 1)</v>
          </cell>
          <cell r="AP15" t="str">
            <v>работа учителя в классах с индивидуальным и групповым обучением детей, находящихся на домашнем обучении, длительном лечении (Тип 1)</v>
          </cell>
          <cell r="AR15" t="str">
            <v>Кол-во часов на проверку тетрадей</v>
          </cell>
          <cell r="AS15" t="str">
            <v>проверка тетрадей по русскому, родному языку, литературе, математике, иностранному языку (Тип 1, Тип 2)</v>
          </cell>
          <cell r="AU15" t="str">
            <v>проверка тетрадей по физике, химии (Тип3)</v>
          </cell>
          <cell r="AW15" t="str">
            <v>проверка тетрадей по географии, истории, черчению, биологии, информатике (Тип 4)</v>
          </cell>
          <cell r="AY15" t="str">
            <v>работа учителя в коррекционных классах (Тип 1)</v>
          </cell>
          <cell r="BA15" t="str">
            <v>работа учителя в классах с индивидуальным и групповым обучением детей, находящихся на домашнем обучении, длительном лечении (Тип 1)</v>
          </cell>
          <cell r="BC15" t="str">
            <v>размер коэффициента</v>
          </cell>
          <cell r="BD15" t="str">
            <v>сумма, руб.</v>
          </cell>
          <cell r="BE15" t="str">
            <v>размер коэффициента</v>
          </cell>
          <cell r="BF15" t="str">
            <v>сумма, руб.</v>
          </cell>
          <cell r="BG15" t="str">
            <v>размер коэффициента</v>
          </cell>
          <cell r="BH15" t="str">
            <v>сумма, руб.</v>
          </cell>
          <cell r="BJ15" t="str">
            <v>размер коэффициента</v>
          </cell>
          <cell r="BK15" t="str">
            <v>сумма, руб.</v>
          </cell>
          <cell r="BL15" t="str">
            <v>размер коэффициента</v>
          </cell>
          <cell r="BM15" t="str">
            <v>сумма, руб.</v>
          </cell>
          <cell r="BT15" t="str">
            <v>за работу с неблагоприятными условиями труда</v>
          </cell>
          <cell r="BV15" t="str">
            <v>доплата молодому специалисту</v>
          </cell>
        </row>
        <row r="17">
          <cell r="A17" t="str">
            <v>Педагогический персонал</v>
          </cell>
        </row>
        <row r="18">
          <cell r="A18">
            <v>1</v>
          </cell>
          <cell r="B18" t="str">
            <v>Андрианова Светлана Ивановна</v>
          </cell>
        </row>
        <row r="19">
          <cell r="A19">
            <v>2</v>
          </cell>
          <cell r="B19" t="str">
            <v>Ананьева Любовь Николаевна</v>
          </cell>
        </row>
        <row r="20">
          <cell r="A20">
            <v>3</v>
          </cell>
          <cell r="B20" t="str">
            <v>Бреусенко Гульнара Махмутовна</v>
          </cell>
        </row>
        <row r="21">
          <cell r="A21">
            <v>4</v>
          </cell>
          <cell r="B21" t="str">
            <v>Василенко Кулян Васильевна</v>
          </cell>
        </row>
        <row r="22">
          <cell r="A22">
            <v>5</v>
          </cell>
          <cell r="B22" t="str">
            <v>Гапонова Татьяна Ивановна</v>
          </cell>
        </row>
        <row r="23">
          <cell r="A23">
            <v>6</v>
          </cell>
          <cell r="B23" t="str">
            <v>Голышева Оксана Юрьевна</v>
          </cell>
        </row>
        <row r="24">
          <cell r="A24">
            <v>7</v>
          </cell>
          <cell r="B24" t="str">
            <v>Горина Елена Дмитриевна</v>
          </cell>
        </row>
        <row r="25">
          <cell r="A25">
            <v>8</v>
          </cell>
          <cell r="B25" t="str">
            <v>Данилина Татьяна Павловна</v>
          </cell>
        </row>
        <row r="26">
          <cell r="A26">
            <v>9</v>
          </cell>
          <cell r="B26" t="str">
            <v>Пелых Елена Григорьевна</v>
          </cell>
        </row>
        <row r="27">
          <cell r="A27">
            <v>10</v>
          </cell>
          <cell r="B27" t="str">
            <v>Домрачеева Людмила Николаевна</v>
          </cell>
        </row>
        <row r="28">
          <cell r="A28">
            <v>11</v>
          </cell>
          <cell r="B28" t="str">
            <v>Ерина Ольга Ивановна</v>
          </cell>
        </row>
        <row r="29">
          <cell r="A29">
            <v>12</v>
          </cell>
          <cell r="B29" t="str">
            <v>Калестру Ирина Марсовна</v>
          </cell>
        </row>
        <row r="30">
          <cell r="A30">
            <v>13</v>
          </cell>
          <cell r="B30" t="str">
            <v>Зарипова Филюза Магсумовна</v>
          </cell>
        </row>
        <row r="31">
          <cell r="A31">
            <v>14</v>
          </cell>
          <cell r="B31" t="str">
            <v>Иванова Елена Викторовна</v>
          </cell>
        </row>
        <row r="32">
          <cell r="A32">
            <v>15</v>
          </cell>
          <cell r="B32" t="str">
            <v>Иванова Елена Сергеевна</v>
          </cell>
        </row>
        <row r="33">
          <cell r="A33">
            <v>16</v>
          </cell>
          <cell r="B33" t="str">
            <v>Карайсенлы Аэлита Евгеньевна</v>
          </cell>
        </row>
        <row r="34">
          <cell r="A34">
            <v>17</v>
          </cell>
          <cell r="B34" t="str">
            <v>Кутовая Оксана Анатольевна</v>
          </cell>
        </row>
        <row r="35">
          <cell r="A35">
            <v>18</v>
          </cell>
          <cell r="B35" t="str">
            <v>Морозова Лилия Анатольевна</v>
          </cell>
        </row>
        <row r="36">
          <cell r="A36">
            <v>19</v>
          </cell>
          <cell r="B36" t="str">
            <v>Нигматуллина Венера Ахатовна</v>
          </cell>
        </row>
        <row r="37">
          <cell r="A37">
            <v>20</v>
          </cell>
          <cell r="B37" t="str">
            <v>Овчинникова Ольга Юрьевна</v>
          </cell>
        </row>
        <row r="38">
          <cell r="A38">
            <v>21</v>
          </cell>
          <cell r="B38" t="str">
            <v>Парыгина Елена Васильевна</v>
          </cell>
        </row>
        <row r="39">
          <cell r="A39">
            <v>22</v>
          </cell>
          <cell r="B39" t="str">
            <v>Пастухова Светлана Александровна</v>
          </cell>
        </row>
        <row r="40">
          <cell r="A40">
            <v>23</v>
          </cell>
          <cell r="B40" t="str">
            <v>Перевалова Наталья Николаевна</v>
          </cell>
        </row>
        <row r="41">
          <cell r="A41">
            <v>24</v>
          </cell>
          <cell r="B41" t="str">
            <v>Пермякова Елена Николаевна</v>
          </cell>
        </row>
        <row r="42">
          <cell r="A42">
            <v>25</v>
          </cell>
          <cell r="B42" t="str">
            <v>Пушкарева Екатерина Валерьевна</v>
          </cell>
        </row>
        <row r="43">
          <cell r="A43">
            <v>26</v>
          </cell>
          <cell r="B43" t="str">
            <v>Расторгуева Татьяна Николаевна</v>
          </cell>
        </row>
        <row r="44">
          <cell r="A44">
            <v>27</v>
          </cell>
          <cell r="B44" t="str">
            <v>Русакова Галина Николаевна</v>
          </cell>
        </row>
        <row r="45">
          <cell r="A45">
            <v>28</v>
          </cell>
          <cell r="B45" t="str">
            <v>Рысляева Евгения Юрьевна</v>
          </cell>
        </row>
        <row r="46">
          <cell r="A46">
            <v>29</v>
          </cell>
          <cell r="B46" t="str">
            <v>Санникова Галина Алексеевна</v>
          </cell>
        </row>
        <row r="47">
          <cell r="A47">
            <v>30</v>
          </cell>
          <cell r="B47" t="str">
            <v>Сахарова Ольга Леонидовна</v>
          </cell>
        </row>
        <row r="48">
          <cell r="A48">
            <v>31</v>
          </cell>
          <cell r="B48" t="str">
            <v>Бабан Юлия Владимировна</v>
          </cell>
        </row>
        <row r="49">
          <cell r="A49">
            <v>32</v>
          </cell>
          <cell r="B49" t="str">
            <v>Симоник Владимир Георгиевич</v>
          </cell>
        </row>
        <row r="50">
          <cell r="A50">
            <v>33</v>
          </cell>
          <cell r="B50" t="str">
            <v>Хасанова Алтын Сеильбековна</v>
          </cell>
        </row>
        <row r="51">
          <cell r="A51">
            <v>34</v>
          </cell>
          <cell r="B51" t="str">
            <v>Юрченко Галина Викторовна</v>
          </cell>
        </row>
        <row r="52">
          <cell r="A52">
            <v>35</v>
          </cell>
          <cell r="B52" t="str">
            <v>Муртазин Рустем Маратович</v>
          </cell>
        </row>
        <row r="53">
          <cell r="A53">
            <v>36</v>
          </cell>
          <cell r="B53" t="str">
            <v>Мартынюк Любовь Ивановна</v>
          </cell>
        </row>
        <row r="54">
          <cell r="A54">
            <v>37</v>
          </cell>
          <cell r="B54" t="str">
            <v>Тутаева Людмила Григорьевна</v>
          </cell>
        </row>
        <row r="55">
          <cell r="A55">
            <v>38</v>
          </cell>
          <cell r="B55" t="str">
            <v>Гумерова Айгуль Вадисовна</v>
          </cell>
        </row>
        <row r="56">
          <cell r="A56">
            <v>39</v>
          </cell>
          <cell r="B56" t="str">
            <v>Капш Марина Вячеславовна</v>
          </cell>
        </row>
        <row r="57">
          <cell r="A57">
            <v>40</v>
          </cell>
          <cell r="B57" t="str">
            <v>Кирилина Татьяна Юрьевна</v>
          </cell>
        </row>
        <row r="58">
          <cell r="A58">
            <v>41</v>
          </cell>
          <cell r="B58" t="str">
            <v>Крецу Светлана Агзамовна</v>
          </cell>
        </row>
        <row r="59">
          <cell r="A59">
            <v>42</v>
          </cell>
          <cell r="B59" t="str">
            <v>Петракова Вера Владимировна</v>
          </cell>
        </row>
        <row r="60">
          <cell r="A60">
            <v>43</v>
          </cell>
          <cell r="B60" t="str">
            <v>Аникина Ирина Алексеевна</v>
          </cell>
        </row>
        <row r="61">
          <cell r="A61">
            <v>44</v>
          </cell>
          <cell r="B61" t="str">
            <v>Осипова Елена Владимировна</v>
          </cell>
        </row>
        <row r="62">
          <cell r="A62" t="str">
            <v>ИТОГО: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ЗП на 31.08.08"/>
      <sheetName val="АУП"/>
      <sheetName val="Учителя"/>
      <sheetName val="Спец_сты школы"/>
      <sheetName val="Рабочие"/>
      <sheetName val="анализ надбавок"/>
      <sheetName val="анализ зар.платы"/>
      <sheetName val="ФЗП учителя"/>
      <sheetName val="анализ зар.платы 01.01.09"/>
      <sheetName val="анализ в ДО"/>
      <sheetName val="определение ФСВ"/>
      <sheetName val="Сводная ведомость"/>
      <sheetName val="Определение доли, суммы"/>
      <sheetName val="Определение стоимости 1 балла"/>
      <sheetName val="Расчет размера премии"/>
      <sheetName val="расчет дир.фонда-7"/>
    </sheetNames>
    <sheetDataSet>
      <sheetData sheetId="0" refreshError="1"/>
      <sheetData sheetId="1" refreshError="1"/>
      <sheetData sheetId="2">
        <row r="2">
          <cell r="A2" t="str">
            <v>СОГЛАСОВАНО:</v>
          </cell>
        </row>
        <row r="3">
          <cell r="A3" t="str">
            <v>Председатель профсоюзного комитета</v>
          </cell>
        </row>
        <row r="4">
          <cell r="A4" t="str">
            <v>________________________</v>
          </cell>
        </row>
        <row r="6">
          <cell r="A6" t="str">
            <v>"______"_____________________2009 г.</v>
          </cell>
        </row>
        <row r="8">
          <cell r="A8" t="str">
            <v>М.П.</v>
          </cell>
        </row>
        <row r="13">
          <cell r="A13" t="str">
            <v>№ п/п</v>
          </cell>
          <cell r="B13" t="str">
            <v>Ф.И.О.</v>
          </cell>
          <cell r="C13" t="str">
            <v>Занимаемая должность</v>
          </cell>
          <cell r="D13" t="str">
            <v>Образование, наименование учебного заведения</v>
          </cell>
          <cell r="E13" t="str">
            <v>Наименова-ние документа об образова-нии, его № и дата выдачи</v>
          </cell>
          <cell r="F13" t="str">
            <v xml:space="preserve">Стаж педогагической работы (число лет, месяцев, дней) </v>
          </cell>
          <cell r="G13" t="str">
            <v>Квалификация работника</v>
          </cell>
          <cell r="J13" t="str">
            <v>Кол-во недельных часов, всего</v>
          </cell>
          <cell r="K13" t="str">
            <v>из них:</v>
          </cell>
          <cell r="R13" t="str">
            <v>Базовая единица, руб.</v>
          </cell>
          <cell r="S13" t="str">
            <v>Коэффициент уровня образования (К1)</v>
          </cell>
          <cell r="T13" t="str">
            <v>Базовый оклад за норму часов преподавательской работы, руб.</v>
          </cell>
          <cell r="U13" t="str">
            <v>Расчет Базового оклада (Бо), руб.</v>
          </cell>
          <cell r="AD13" t="str">
            <v>Базовый оклад за часы работы в 1-11 классах, руб.</v>
          </cell>
          <cell r="AE13" t="str">
            <v>Коэффициент стажа работы (К2.1)</v>
          </cell>
          <cell r="AJ13" t="str">
            <v>Коэффициент специфики работы (К2.2)</v>
          </cell>
          <cell r="AN13" t="str">
            <v>Коэффициент специфики работы (К2.2)</v>
          </cell>
          <cell r="BI13" t="str">
            <v>Итого сумма коэффициента специфики, руб.(К2.2)</v>
          </cell>
          <cell r="BJ13" t="str">
            <v xml:space="preserve">Коэффициент квалификации работника (К2.3) </v>
          </cell>
          <cell r="BN13" t="str">
            <v xml:space="preserve">Должностной оклад с учетом повышающих коэффициентов </v>
          </cell>
          <cell r="BO13" t="str">
            <v>Районный коэффициент</v>
          </cell>
          <cell r="BQ13" t="str">
            <v>Северная надбавка</v>
          </cell>
          <cell r="BS13" t="str">
            <v>Итого должностной оклад с учетом р/к, с/н</v>
          </cell>
          <cell r="BT13" t="str">
            <v>Фонд надбавок и доплат</v>
          </cell>
          <cell r="BY13" t="str">
            <v>Итого фонд надбавок и доплат, руб.</v>
          </cell>
          <cell r="BZ13" t="str">
            <v>Районный коэффициент</v>
          </cell>
          <cell r="CB13" t="str">
            <v>Северная надбавка</v>
          </cell>
          <cell r="CD13" t="str">
            <v>Всего фонд надбавок и доплат, руб.</v>
          </cell>
          <cell r="CE13" t="str">
            <v>Итого фонд заработной платы в месяц, руб.</v>
          </cell>
          <cell r="CF13" t="str">
            <v>Выплата вознаграждения за выполнение функций классного руководителя, руб. с учетом районного коэффициента и северной надбавки</v>
          </cell>
        </row>
        <row r="14">
          <cell r="G14" t="str">
            <v>Наличие квалифика-ционной категории (№ приказа, дата)</v>
          </cell>
          <cell r="H14" t="str">
            <v>Наличие ученой степени (№ диплома, дата)</v>
          </cell>
          <cell r="I14" t="str">
            <v>Наличие почетного звания,знаков отличия (№ документа, дата)</v>
          </cell>
          <cell r="K14" t="str">
            <v>в 1 - 4 классах</v>
          </cell>
          <cell r="O14" t="str">
            <v>в 5 - 11 классах</v>
          </cell>
          <cell r="U14" t="str">
            <v>в 1 - 4 классах</v>
          </cell>
          <cell r="Y14" t="str">
            <v>Итого Бо за часы работы в 1-4 классах</v>
          </cell>
          <cell r="Z14" t="str">
            <v>в 5 - 11 классах</v>
          </cell>
          <cell r="AC14" t="str">
            <v>Итого Бо за часы работы в 5-11 классах</v>
          </cell>
          <cell r="AE14" t="str">
            <v>размер коэффициента</v>
          </cell>
          <cell r="AF14" t="str">
            <v>сумма, руб.</v>
          </cell>
          <cell r="AG14" t="str">
            <v>Работа педагогических работников в прогимназии, гимназии, лицее, школе с углубленным изучением предметов(Тип 3)</v>
          </cell>
          <cell r="AJ14" t="str">
            <v>в 1-4 классах</v>
          </cell>
          <cell r="AN14" t="str">
            <v>в 1-4 классах</v>
          </cell>
          <cell r="AS14" t="str">
            <v>с 5-11 классы</v>
          </cell>
          <cell r="BC14" t="str">
            <v>Заведование методическим объединением (Тип3)</v>
          </cell>
          <cell r="BE14" t="str">
            <v>Заведование учебным кабинетом, мастерской, спортивным залом(Тип 3)</v>
          </cell>
          <cell r="BG14" t="str">
            <v>Работа учителя, связанная с выполнением обязанностей классного руководителя (Тип2)</v>
          </cell>
          <cell r="BJ14" t="str">
            <v>За квал. категорию или ученую степень</v>
          </cell>
          <cell r="BL14" t="str">
            <v>За почетные звания, знаки отличия</v>
          </cell>
          <cell r="BO14" t="str">
            <v>размер коэффициента</v>
          </cell>
          <cell r="BP14" t="str">
            <v>сумма, руб.</v>
          </cell>
          <cell r="BQ14" t="str">
            <v>размер коэффициента</v>
          </cell>
          <cell r="BR14" t="str">
            <v>сумма, руб.</v>
          </cell>
          <cell r="BT14" t="str">
            <v>Доплаты</v>
          </cell>
          <cell r="BX14" t="str">
            <v>Стимулирующая выплата, руб.</v>
          </cell>
          <cell r="BZ14" t="str">
            <v>размер коэффициента</v>
          </cell>
          <cell r="CA14" t="str">
            <v>сумма, руб.</v>
          </cell>
          <cell r="CB14" t="str">
            <v>размер коэффициента</v>
          </cell>
          <cell r="CC14" t="str">
            <v>сумма, руб.</v>
          </cell>
        </row>
        <row r="15">
          <cell r="K15" t="str">
            <v>Кол-во часов в общеобразовательных классах</v>
          </cell>
          <cell r="L15" t="str">
            <v>Кол-во часов к классах компенсирующего обучения</v>
          </cell>
          <cell r="M15" t="str">
            <v>Кол-во часов в специальных  (коррекционных) классах</v>
          </cell>
          <cell r="N15" t="str">
            <v>Кол-во часов на домашнее обучение, обучение в больницах</v>
          </cell>
          <cell r="O15" t="str">
            <v>Кол-во часов в общеобразовательных классах</v>
          </cell>
          <cell r="P15" t="str">
            <v>Кол-во часов в специальных  (коррекционных) классах</v>
          </cell>
          <cell r="Q15" t="str">
            <v>Кол-во часов на домашнее обучение, обучение в больницах</v>
          </cell>
          <cell r="U15" t="str">
            <v>Бо за часы работы в общеобразовательных классах</v>
          </cell>
          <cell r="V15" t="str">
            <v>Бо за часы работы в классах компенсирующего обучения</v>
          </cell>
          <cell r="W15" t="str">
            <v xml:space="preserve">Бо за часы работы в специальных (коррекционных) классах </v>
          </cell>
          <cell r="X15" t="str">
            <v>Бо за часы домашнего обучения, обучения в больницах</v>
          </cell>
          <cell r="Z15" t="str">
            <v>Бо за часы работы в общеобразовательных классах</v>
          </cell>
          <cell r="AA15" t="str">
            <v xml:space="preserve">Бо за часы работы в специальных (коррекционных) классах </v>
          </cell>
          <cell r="AB15" t="str">
            <v>Бо за часы домашнего обучения, обучения в больницах</v>
          </cell>
          <cell r="AG15" t="str">
            <v>размер коэффициента</v>
          </cell>
          <cell r="AH15" t="str">
            <v>сумма, руб.</v>
          </cell>
          <cell r="AI15" t="str">
            <v>Кол-во часов на проверку тетрадей</v>
          </cell>
          <cell r="AJ15" t="str">
            <v>проверка тетрадей для учителей нач.классов (Тип2)</v>
          </cell>
          <cell r="AL15" t="str">
            <v>работа учителя в классах компенсирующего обучения (Тип 2)</v>
          </cell>
          <cell r="AN15" t="str">
            <v>работа учителя в коррекционных классах (Тип 1)</v>
          </cell>
          <cell r="AP15" t="str">
            <v>работа учителя в классах с индивидуальным и групповым обучением детей, находящихся на домашнем обучении, длительном лечении (Тип 1)</v>
          </cell>
          <cell r="AR15" t="str">
            <v>Кол-во часов на проверку тетрадей</v>
          </cell>
          <cell r="AS15" t="str">
            <v>проверка тетрадей по русскому, родному языку, литературе, математике, иностранному языку (Тип 1, Тип 2)</v>
          </cell>
          <cell r="AU15" t="str">
            <v>проверка тетрадей по физике, химии (Тип3)</v>
          </cell>
          <cell r="AW15" t="str">
            <v>проверка тетрадей по географии, истории, черчению, биологии, информатике (Тип 4)</v>
          </cell>
          <cell r="AY15" t="str">
            <v>работа учителя в коррекционных классах (Тип 1)</v>
          </cell>
          <cell r="BA15" t="str">
            <v>работа учителя в классах с индивидуальным и групповым обучением детей, находящихся на домашнем обучении, длительном лечении (Тип 1)</v>
          </cell>
          <cell r="BC15" t="str">
            <v>размер коэффициента</v>
          </cell>
          <cell r="BD15" t="str">
            <v>сумма, руб.</v>
          </cell>
          <cell r="BE15" t="str">
            <v>размер коэффициента</v>
          </cell>
          <cell r="BF15" t="str">
            <v>сумма, руб.</v>
          </cell>
          <cell r="BG15" t="str">
            <v>размер коэффициента</v>
          </cell>
          <cell r="BH15" t="str">
            <v>сумма, руб.</v>
          </cell>
          <cell r="BJ15" t="str">
            <v>размер коэффициента</v>
          </cell>
          <cell r="BK15" t="str">
            <v>сумма, руб.</v>
          </cell>
          <cell r="BL15" t="str">
            <v>размер коэффициента</v>
          </cell>
          <cell r="BM15" t="str">
            <v>сумма, руб.</v>
          </cell>
          <cell r="BT15" t="str">
            <v>за работу с неблагоприятными условиями труда</v>
          </cell>
          <cell r="BV15" t="str">
            <v>доплата молодому специалисту</v>
          </cell>
        </row>
        <row r="17">
          <cell r="A17" t="str">
            <v>Педагогический персонал</v>
          </cell>
        </row>
        <row r="18">
          <cell r="A18">
            <v>1</v>
          </cell>
          <cell r="B18" t="str">
            <v>Андрианова Светлана Ивановна</v>
          </cell>
        </row>
        <row r="19">
          <cell r="A19">
            <v>2</v>
          </cell>
          <cell r="B19" t="str">
            <v>Ананьева Любовь Николаевна</v>
          </cell>
        </row>
        <row r="20">
          <cell r="A20">
            <v>3</v>
          </cell>
          <cell r="B20" t="str">
            <v>Бреусенко Гульнара Махмутовна</v>
          </cell>
        </row>
        <row r="21">
          <cell r="A21">
            <v>4</v>
          </cell>
          <cell r="B21" t="str">
            <v>Василенко Кулян Васильевна</v>
          </cell>
        </row>
        <row r="22">
          <cell r="A22">
            <v>5</v>
          </cell>
          <cell r="B22" t="str">
            <v>Гапонова Татьяна Ивановна</v>
          </cell>
        </row>
        <row r="23">
          <cell r="A23">
            <v>6</v>
          </cell>
          <cell r="B23" t="str">
            <v>Голышева Оксана Юрьевна</v>
          </cell>
        </row>
        <row r="24">
          <cell r="A24">
            <v>7</v>
          </cell>
          <cell r="B24" t="str">
            <v>Горина Елена Дмитриевна</v>
          </cell>
        </row>
        <row r="25">
          <cell r="A25">
            <v>8</v>
          </cell>
          <cell r="B25" t="str">
            <v>Данилина Татьяна Павловна</v>
          </cell>
        </row>
        <row r="26">
          <cell r="A26">
            <v>9</v>
          </cell>
          <cell r="B26" t="str">
            <v>Пелых Елена Григорьевна</v>
          </cell>
        </row>
        <row r="27">
          <cell r="A27">
            <v>10</v>
          </cell>
          <cell r="B27" t="str">
            <v>Домрачеева Людмила Николаевна</v>
          </cell>
        </row>
        <row r="28">
          <cell r="A28">
            <v>11</v>
          </cell>
          <cell r="B28" t="str">
            <v>Ерина Ольга Ивановна</v>
          </cell>
        </row>
        <row r="29">
          <cell r="A29">
            <v>12</v>
          </cell>
          <cell r="B29" t="str">
            <v>Калестру Ирина Марсовна</v>
          </cell>
        </row>
        <row r="30">
          <cell r="A30">
            <v>13</v>
          </cell>
          <cell r="B30" t="str">
            <v>Зарипова Филюза Магсумовна</v>
          </cell>
        </row>
        <row r="31">
          <cell r="A31">
            <v>14</v>
          </cell>
          <cell r="B31" t="str">
            <v>Иванова Елена Викторовна</v>
          </cell>
        </row>
        <row r="32">
          <cell r="A32">
            <v>15</v>
          </cell>
          <cell r="B32" t="str">
            <v>Иванова Елена Сергеевна</v>
          </cell>
        </row>
        <row r="33">
          <cell r="A33">
            <v>16</v>
          </cell>
          <cell r="B33" t="str">
            <v>Карайсенлы Аэлита Евгеньевна</v>
          </cell>
        </row>
        <row r="34">
          <cell r="A34">
            <v>17</v>
          </cell>
          <cell r="B34" t="str">
            <v>Кутовая Оксана Анатольевна</v>
          </cell>
        </row>
        <row r="35">
          <cell r="A35">
            <v>18</v>
          </cell>
          <cell r="B35" t="str">
            <v>Морозова Лилия Анатольевна</v>
          </cell>
        </row>
        <row r="36">
          <cell r="A36">
            <v>19</v>
          </cell>
          <cell r="B36" t="str">
            <v>Нигматуллина Венера Ахатовна</v>
          </cell>
        </row>
        <row r="37">
          <cell r="A37">
            <v>20</v>
          </cell>
          <cell r="B37" t="str">
            <v>Овчинникова Ольга Юрьевна</v>
          </cell>
        </row>
        <row r="38">
          <cell r="A38">
            <v>21</v>
          </cell>
          <cell r="B38" t="str">
            <v>Парыгина Елена Васильевна</v>
          </cell>
        </row>
        <row r="39">
          <cell r="A39">
            <v>22</v>
          </cell>
          <cell r="B39" t="str">
            <v>Пастухова Светлана Александровна</v>
          </cell>
        </row>
        <row r="40">
          <cell r="A40">
            <v>23</v>
          </cell>
          <cell r="B40" t="str">
            <v>Перевалова Наталья Николаевна</v>
          </cell>
        </row>
        <row r="41">
          <cell r="A41">
            <v>24</v>
          </cell>
          <cell r="B41" t="str">
            <v>Пермякова Елена Николаевна</v>
          </cell>
        </row>
        <row r="42">
          <cell r="A42">
            <v>25</v>
          </cell>
          <cell r="B42" t="str">
            <v>Пушкарева Екатерина Валерьевна</v>
          </cell>
        </row>
        <row r="43">
          <cell r="A43">
            <v>26</v>
          </cell>
          <cell r="B43" t="str">
            <v>Расторгуева Татьяна Николаевна</v>
          </cell>
        </row>
        <row r="44">
          <cell r="A44">
            <v>27</v>
          </cell>
          <cell r="B44" t="str">
            <v>Русакова Галина Николаевна</v>
          </cell>
        </row>
        <row r="45">
          <cell r="A45">
            <v>28</v>
          </cell>
          <cell r="B45" t="str">
            <v>Рысляева Евгения Юрьевна</v>
          </cell>
        </row>
        <row r="46">
          <cell r="A46">
            <v>29</v>
          </cell>
          <cell r="B46" t="str">
            <v>Санникова Галина Алексеевна</v>
          </cell>
        </row>
        <row r="47">
          <cell r="A47">
            <v>30</v>
          </cell>
          <cell r="B47" t="str">
            <v>Сахарова Ольга Леонидовна</v>
          </cell>
        </row>
        <row r="48">
          <cell r="A48">
            <v>31</v>
          </cell>
          <cell r="B48" t="str">
            <v>Бабан Юлия Владимировна</v>
          </cell>
        </row>
        <row r="49">
          <cell r="A49">
            <v>32</v>
          </cell>
          <cell r="B49" t="str">
            <v>Симоник Владимир Георгиевич</v>
          </cell>
        </row>
        <row r="50">
          <cell r="A50">
            <v>33</v>
          </cell>
          <cell r="B50" t="str">
            <v>Хасанова Алтын Сеильбековна</v>
          </cell>
        </row>
        <row r="51">
          <cell r="A51">
            <v>34</v>
          </cell>
          <cell r="B51" t="str">
            <v>Юрченко Галина Викторовна</v>
          </cell>
        </row>
        <row r="52">
          <cell r="A52">
            <v>35</v>
          </cell>
          <cell r="B52" t="str">
            <v>Муртазин Рустем Маратович</v>
          </cell>
        </row>
        <row r="53">
          <cell r="A53">
            <v>36</v>
          </cell>
          <cell r="B53" t="str">
            <v>Мартынюк Любовь Ивановна</v>
          </cell>
        </row>
        <row r="54">
          <cell r="A54">
            <v>37</v>
          </cell>
          <cell r="B54" t="str">
            <v>Тутаева Людмила Григорьевна</v>
          </cell>
        </row>
        <row r="55">
          <cell r="A55">
            <v>38</v>
          </cell>
          <cell r="B55" t="str">
            <v>Гумерова Айгуль Вадисовна</v>
          </cell>
        </row>
        <row r="56">
          <cell r="A56">
            <v>39</v>
          </cell>
          <cell r="B56" t="str">
            <v>Капш Марина Вячеславовна</v>
          </cell>
        </row>
        <row r="57">
          <cell r="A57">
            <v>40</v>
          </cell>
          <cell r="B57" t="str">
            <v>Кирилина Татьяна Юрьевна</v>
          </cell>
        </row>
        <row r="58">
          <cell r="A58">
            <v>41</v>
          </cell>
          <cell r="B58" t="str">
            <v>Крецу Светлана Агзамовна</v>
          </cell>
        </row>
        <row r="59">
          <cell r="A59">
            <v>42</v>
          </cell>
          <cell r="B59" t="str">
            <v>Петракова Вера Владимировна</v>
          </cell>
        </row>
        <row r="60">
          <cell r="A60">
            <v>43</v>
          </cell>
          <cell r="B60" t="str">
            <v>Аникина Ирина Алексеевна</v>
          </cell>
        </row>
        <row r="61">
          <cell r="A61">
            <v>44</v>
          </cell>
          <cell r="B61" t="str">
            <v>Осипова Елена Владимировна</v>
          </cell>
        </row>
        <row r="62">
          <cell r="A62" t="str">
            <v>ИТОГО: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ЗП на 31.08.08"/>
      <sheetName val="АУП"/>
      <sheetName val="Учителя"/>
      <sheetName val="Спец_сты школы"/>
      <sheetName val="Рабочие"/>
      <sheetName val="анализ надбавок"/>
      <sheetName val="анализ зар.платы"/>
      <sheetName val="ФЗП учителя"/>
      <sheetName val="анализ зар.платы 01.01.09"/>
      <sheetName val="анализ в ДО"/>
      <sheetName val="определение ФСВ"/>
      <sheetName val="Сводная ведомость"/>
      <sheetName val="Определение доли, суммы"/>
      <sheetName val="Определение стоимости 1 балла"/>
      <sheetName val="Расчет размера премии"/>
      <sheetName val="расчет дир.фонда-7"/>
    </sheetNames>
    <sheetDataSet>
      <sheetData sheetId="0" refreshError="1"/>
      <sheetData sheetId="1" refreshError="1"/>
      <sheetData sheetId="2">
        <row r="2">
          <cell r="A2" t="str">
            <v>СОГЛАСОВАНО:</v>
          </cell>
        </row>
        <row r="3">
          <cell r="A3" t="str">
            <v>Председатель профсоюзного комитета</v>
          </cell>
        </row>
        <row r="4">
          <cell r="A4" t="str">
            <v>________________________</v>
          </cell>
        </row>
        <row r="6">
          <cell r="A6" t="str">
            <v>"______"_____________________2009 г.</v>
          </cell>
        </row>
        <row r="8">
          <cell r="A8" t="str">
            <v>М.П.</v>
          </cell>
        </row>
        <row r="13">
          <cell r="A13" t="str">
            <v>№ п/п</v>
          </cell>
          <cell r="B13" t="str">
            <v>Ф.И.О.</v>
          </cell>
          <cell r="C13" t="str">
            <v>Занимаемая должность</v>
          </cell>
          <cell r="D13" t="str">
            <v>Образование, наименование учебного заведения</v>
          </cell>
          <cell r="E13" t="str">
            <v>Наименова-ние документа об образова-нии, его № и дата выдачи</v>
          </cell>
          <cell r="F13" t="str">
            <v xml:space="preserve">Стаж педогагической работы (число лет, месяцев, дней) </v>
          </cell>
          <cell r="G13" t="str">
            <v>Квалификация работника</v>
          </cell>
          <cell r="J13" t="str">
            <v>Кол-во недельных часов, всего</v>
          </cell>
          <cell r="K13" t="str">
            <v>из них:</v>
          </cell>
          <cell r="R13" t="str">
            <v>Базовая единица, руб.</v>
          </cell>
          <cell r="S13" t="str">
            <v>Коэффициент уровня образования (К1)</v>
          </cell>
          <cell r="T13" t="str">
            <v>Базовый оклад за норму часов преподавательской работы, руб.</v>
          </cell>
          <cell r="U13" t="str">
            <v>Расчет Базового оклада (Бо), руб.</v>
          </cell>
          <cell r="AD13" t="str">
            <v>Базовый оклад за часы работы в 1-11 классах, руб.</v>
          </cell>
          <cell r="AE13" t="str">
            <v>Коэффициент стажа работы (К2.1)</v>
          </cell>
          <cell r="AJ13" t="str">
            <v>Коэффициент специфики работы (К2.2)</v>
          </cell>
          <cell r="AN13" t="str">
            <v>Коэффициент специфики работы (К2.2)</v>
          </cell>
          <cell r="BI13" t="str">
            <v>Итого сумма коэффициента специфики, руб.(К2.2)</v>
          </cell>
          <cell r="BJ13" t="str">
            <v xml:space="preserve">Коэффициент квалификации работника (К2.3) </v>
          </cell>
          <cell r="BN13" t="str">
            <v xml:space="preserve">Должностной оклад с учетом повышающих коэффициентов </v>
          </cell>
          <cell r="BO13" t="str">
            <v>Районный коэффициент</v>
          </cell>
          <cell r="BQ13" t="str">
            <v>Северная надбавка</v>
          </cell>
          <cell r="BS13" t="str">
            <v>Итого должностной оклад с учетом р/к, с/н</v>
          </cell>
          <cell r="BT13" t="str">
            <v>Фонд надбавок и доплат</v>
          </cell>
          <cell r="BY13" t="str">
            <v>Итого фонд надбавок и доплат, руб.</v>
          </cell>
          <cell r="BZ13" t="str">
            <v>Районный коэффициент</v>
          </cell>
          <cell r="CB13" t="str">
            <v>Северная надбавка</v>
          </cell>
          <cell r="CD13" t="str">
            <v>Всего фонд надбавок и доплат, руб.</v>
          </cell>
          <cell r="CE13" t="str">
            <v>Итого фонд заработной платы в месяц, руб.</v>
          </cell>
          <cell r="CF13" t="str">
            <v>Выплата вознаграждения за выполнение функций классного руководителя, руб. с учетом районного коэффициента и северной надбавки</v>
          </cell>
        </row>
        <row r="14">
          <cell r="G14" t="str">
            <v>Наличие квалифика-ционной категории 
(№ приказа, дата)</v>
          </cell>
          <cell r="H14" t="str">
            <v>Наличие ученой степени
 (№ диплома, дата)</v>
          </cell>
          <cell r="I14" t="str">
            <v>Наличие почетного звания,знаков отличия 
(№ документа, дата)</v>
          </cell>
          <cell r="K14" t="str">
            <v>в 1 - 4 классах</v>
          </cell>
          <cell r="O14" t="str">
            <v>в 5 - 11 классах</v>
          </cell>
          <cell r="U14" t="str">
            <v>в 1 - 4 классах</v>
          </cell>
          <cell r="Y14" t="str">
            <v>Итого Бо за часы работы в 1-4 классах</v>
          </cell>
          <cell r="Z14" t="str">
            <v>в 5 - 11 классах</v>
          </cell>
          <cell r="AC14" t="str">
            <v>Итого Бо за часы работы в 5-11 классах</v>
          </cell>
          <cell r="AE14" t="str">
            <v>размер коэффициента</v>
          </cell>
          <cell r="AF14" t="str">
            <v>сумма, руб.</v>
          </cell>
          <cell r="AG14" t="str">
            <v>Работа педагогических работников в прогимназии, гимназии, лицее, школе с углубленным изучением предметов(Тип 3)</v>
          </cell>
          <cell r="AJ14" t="str">
            <v>в 1-4 классах</v>
          </cell>
          <cell r="AN14" t="str">
            <v>в 1-4 классах</v>
          </cell>
          <cell r="AS14" t="str">
            <v>с 5-11 классы</v>
          </cell>
          <cell r="BC14" t="str">
            <v>Заведование методическим объединением (Тип3)</v>
          </cell>
          <cell r="BE14" t="str">
            <v>Заведование учебным кабинетом, мастерской, спортивным залом(Тип 3)</v>
          </cell>
          <cell r="BG14" t="str">
            <v>Работа учителя, связанная с выполнением обязанностей классного руководителя (Тип2)</v>
          </cell>
          <cell r="BJ14" t="str">
            <v>За квал. категорию или ученую степень</v>
          </cell>
          <cell r="BL14" t="str">
            <v>За почетные звания, знаки отличия</v>
          </cell>
          <cell r="BO14" t="str">
            <v>размер коэффициента</v>
          </cell>
          <cell r="BP14" t="str">
            <v>сумма, руб.</v>
          </cell>
          <cell r="BQ14" t="str">
            <v>размер коэффициента</v>
          </cell>
          <cell r="BR14" t="str">
            <v>сумма, руб.</v>
          </cell>
          <cell r="BT14" t="str">
            <v>Доплаты</v>
          </cell>
          <cell r="BX14" t="str">
            <v>Стимулирующая выплата, руб.</v>
          </cell>
          <cell r="BZ14" t="str">
            <v>размер коэффициента</v>
          </cell>
          <cell r="CA14" t="str">
            <v>сумма, руб.</v>
          </cell>
          <cell r="CB14" t="str">
            <v>размер коэффициента</v>
          </cell>
          <cell r="CC14" t="str">
            <v>сумма, руб.</v>
          </cell>
        </row>
        <row r="15">
          <cell r="K15" t="str">
            <v>Кол-во часов в общеобразовательных классах</v>
          </cell>
          <cell r="L15" t="str">
            <v>Кол-во часов к классах компенсирующего обучения</v>
          </cell>
          <cell r="M15" t="str">
            <v>Кол-во часов в специальных  (коррекционных) классах</v>
          </cell>
          <cell r="N15" t="str">
            <v>Кол-во часов на домашнее обучение, обучение в больницах</v>
          </cell>
          <cell r="O15" t="str">
            <v>Кол-во часов в общеобразовательных классах</v>
          </cell>
          <cell r="P15" t="str">
            <v>Кол-во часов в специальных  (коррекционных) классах</v>
          </cell>
          <cell r="Q15" t="str">
            <v>Кол-во часов на домашнее обучение, обучение в больницах</v>
          </cell>
          <cell r="U15" t="str">
            <v>Бо за часы работы в общеобразовательных классах</v>
          </cell>
          <cell r="V15" t="str">
            <v>Бо за часы работы в классах компенсирующего обучения</v>
          </cell>
          <cell r="W15" t="str">
            <v xml:space="preserve">Бо за часы работы в специальных (коррекционных) классах </v>
          </cell>
          <cell r="X15" t="str">
            <v>Бо за часы домашнего обучения, обучения в больницах</v>
          </cell>
          <cell r="Z15" t="str">
            <v>Бо за часы работы в общеобразовательных классах</v>
          </cell>
          <cell r="AA15" t="str">
            <v xml:space="preserve">Бо за часы работы в специальных (коррекционных) классах </v>
          </cell>
          <cell r="AB15" t="str">
            <v>Бо за часы домашнего обучения, обучения в больницах</v>
          </cell>
          <cell r="AG15" t="str">
            <v>размер коэффициента</v>
          </cell>
          <cell r="AH15" t="str">
            <v>сумма, руб.</v>
          </cell>
          <cell r="AI15" t="str">
            <v>Кол-во часов на проверку тетрадей</v>
          </cell>
          <cell r="AJ15" t="str">
            <v>проверка тетрадей для учителей нач.классов (Тип2)</v>
          </cell>
          <cell r="AL15" t="str">
            <v>работа учителя в классах компенсирующего обучения (Тип 2)</v>
          </cell>
          <cell r="AN15" t="str">
            <v>работа учителя в коррекционных классах (Тип 1)</v>
          </cell>
          <cell r="AP15" t="str">
            <v>работа учителя в классах с индивидуальным и групповым обучением детей, находящихся на домашнем обучении, длительном лечении (Тип 1)</v>
          </cell>
          <cell r="AR15" t="str">
            <v>Кол-во часов на проверку тетрадей</v>
          </cell>
          <cell r="AS15" t="str">
            <v>проверка тетрадей по русскому, родному языку, литературе, математике, иностранному языку (Тип 1, Тип 2)</v>
          </cell>
          <cell r="AU15" t="str">
            <v>проверка тетрадей по физике, химии (Тип3)</v>
          </cell>
          <cell r="AW15" t="str">
            <v>проверка тетрадей по географии, истории, черчению, биологии, информатике (Тип 4)</v>
          </cell>
          <cell r="AY15" t="str">
            <v>работа учителя в коррекционных классах (Тип 1)</v>
          </cell>
          <cell r="BA15" t="str">
            <v>работа учителя в классах с индивидуальным и групповым обучением детей, находящихся на домашнем обучении, длительном лечении (Тип 1)</v>
          </cell>
          <cell r="BC15" t="str">
            <v>размер коэффициента</v>
          </cell>
          <cell r="BD15" t="str">
            <v>сумма, руб.</v>
          </cell>
          <cell r="BE15" t="str">
            <v>размер коэффициента</v>
          </cell>
          <cell r="BF15" t="str">
            <v>сумма, руб.</v>
          </cell>
          <cell r="BG15" t="str">
            <v>размер коэффициента</v>
          </cell>
          <cell r="BH15" t="str">
            <v>сумма, руб.</v>
          </cell>
          <cell r="BJ15" t="str">
            <v>размер коэффициента</v>
          </cell>
          <cell r="BK15" t="str">
            <v>сумма, руб.</v>
          </cell>
          <cell r="BL15" t="str">
            <v>размер коэффициента</v>
          </cell>
          <cell r="BM15" t="str">
            <v>сумма, руб.</v>
          </cell>
          <cell r="BT15" t="str">
            <v>за работу с неблагоприятными условиями труда</v>
          </cell>
          <cell r="BV15" t="str">
            <v>доплата молодому специалисту</v>
          </cell>
        </row>
        <row r="17">
          <cell r="A17" t="str">
            <v>Педагогический персонал</v>
          </cell>
        </row>
        <row r="18">
          <cell r="A18">
            <v>1</v>
          </cell>
          <cell r="B18" t="str">
            <v>Андрианова Светлана Ивановна</v>
          </cell>
        </row>
        <row r="19">
          <cell r="A19">
            <v>2</v>
          </cell>
          <cell r="B19" t="str">
            <v>Ананьева Любовь Николаевна</v>
          </cell>
        </row>
        <row r="20">
          <cell r="A20">
            <v>3</v>
          </cell>
          <cell r="B20" t="str">
            <v>Бреусенко Гульнара Махмутовна</v>
          </cell>
        </row>
        <row r="21">
          <cell r="A21">
            <v>4</v>
          </cell>
          <cell r="B21" t="str">
            <v>Василенко Кулян Васильевна</v>
          </cell>
        </row>
        <row r="22">
          <cell r="A22">
            <v>5</v>
          </cell>
          <cell r="B22" t="str">
            <v>Гапонова Татьяна Ивановна</v>
          </cell>
        </row>
        <row r="23">
          <cell r="A23">
            <v>6</v>
          </cell>
          <cell r="B23" t="str">
            <v>Голышева Оксана Юрьевна</v>
          </cell>
        </row>
        <row r="24">
          <cell r="A24">
            <v>7</v>
          </cell>
          <cell r="B24" t="str">
            <v>Горина Елена Дмитриевна</v>
          </cell>
        </row>
        <row r="25">
          <cell r="A25">
            <v>8</v>
          </cell>
          <cell r="B25" t="str">
            <v>Данилина Татьяна Павловна</v>
          </cell>
        </row>
        <row r="26">
          <cell r="A26">
            <v>9</v>
          </cell>
          <cell r="B26" t="str">
            <v>Пелых Елена Григорьевна</v>
          </cell>
        </row>
        <row r="27">
          <cell r="A27">
            <v>10</v>
          </cell>
          <cell r="B27" t="str">
            <v>Домрачеева Людмила Николаевна</v>
          </cell>
        </row>
        <row r="28">
          <cell r="A28">
            <v>11</v>
          </cell>
          <cell r="B28" t="str">
            <v>Ерина Ольга Ивановна</v>
          </cell>
        </row>
        <row r="29">
          <cell r="A29">
            <v>12</v>
          </cell>
          <cell r="B29" t="str">
            <v>Калестру Ирина Марсовна</v>
          </cell>
        </row>
        <row r="30">
          <cell r="A30">
            <v>13</v>
          </cell>
          <cell r="B30" t="str">
            <v>Зарипова Филюза Магсумовна</v>
          </cell>
        </row>
        <row r="31">
          <cell r="A31">
            <v>14</v>
          </cell>
          <cell r="B31" t="str">
            <v>Иванова Елена Викторовна</v>
          </cell>
        </row>
        <row r="32">
          <cell r="A32">
            <v>15</v>
          </cell>
          <cell r="B32" t="str">
            <v>Иванова Елена Сергеевна</v>
          </cell>
        </row>
        <row r="33">
          <cell r="A33">
            <v>16</v>
          </cell>
          <cell r="B33" t="str">
            <v>Карайсенлы Аэлита Евгеньевна</v>
          </cell>
        </row>
        <row r="34">
          <cell r="A34">
            <v>17</v>
          </cell>
          <cell r="B34" t="str">
            <v>Кутовая Оксана Анатольевна</v>
          </cell>
        </row>
        <row r="35">
          <cell r="A35">
            <v>18</v>
          </cell>
          <cell r="B35" t="str">
            <v>Морозова Лилия Анатольевна</v>
          </cell>
        </row>
        <row r="36">
          <cell r="A36">
            <v>19</v>
          </cell>
          <cell r="B36" t="str">
            <v>Нигматуллина Венера Ахатовна</v>
          </cell>
        </row>
        <row r="37">
          <cell r="A37">
            <v>20</v>
          </cell>
          <cell r="B37" t="str">
            <v>Овчинникова Ольга Юрьевна</v>
          </cell>
        </row>
        <row r="38">
          <cell r="A38">
            <v>21</v>
          </cell>
          <cell r="B38" t="str">
            <v>Парыгина Елена Васильевна</v>
          </cell>
        </row>
        <row r="39">
          <cell r="A39">
            <v>22</v>
          </cell>
          <cell r="B39" t="str">
            <v>Пастухова Светлана Александровна</v>
          </cell>
        </row>
        <row r="40">
          <cell r="A40">
            <v>23</v>
          </cell>
          <cell r="B40" t="str">
            <v>Перевалова Наталья Николаевна</v>
          </cell>
        </row>
        <row r="41">
          <cell r="A41">
            <v>24</v>
          </cell>
          <cell r="B41" t="str">
            <v>Пермякова Елена Николаевна</v>
          </cell>
        </row>
        <row r="42">
          <cell r="A42">
            <v>25</v>
          </cell>
          <cell r="B42" t="str">
            <v>Пушкарева Екатерина Валерьевна</v>
          </cell>
        </row>
        <row r="43">
          <cell r="A43">
            <v>26</v>
          </cell>
          <cell r="B43" t="str">
            <v>Расторгуева Татьяна Николаевна</v>
          </cell>
        </row>
        <row r="44">
          <cell r="A44">
            <v>27</v>
          </cell>
          <cell r="B44" t="str">
            <v>Русакова Галина Николаевна</v>
          </cell>
        </row>
        <row r="45">
          <cell r="A45">
            <v>28</v>
          </cell>
          <cell r="B45" t="str">
            <v>Рысляева Евгения Юрьевна</v>
          </cell>
        </row>
        <row r="46">
          <cell r="A46">
            <v>29</v>
          </cell>
          <cell r="B46" t="str">
            <v>Санникова Галина Алексеевна</v>
          </cell>
        </row>
        <row r="47">
          <cell r="A47">
            <v>30</v>
          </cell>
          <cell r="B47" t="str">
            <v>Сахарова Ольга Леонидовна</v>
          </cell>
        </row>
        <row r="48">
          <cell r="A48">
            <v>31</v>
          </cell>
          <cell r="B48" t="str">
            <v>Бабан Юлия Владимировна</v>
          </cell>
        </row>
        <row r="49">
          <cell r="A49">
            <v>32</v>
          </cell>
          <cell r="B49" t="str">
            <v>Симоник Владимир Георгиевич</v>
          </cell>
        </row>
        <row r="50">
          <cell r="A50">
            <v>33</v>
          </cell>
          <cell r="B50" t="str">
            <v>Хасанова Алтын Сеильбековна</v>
          </cell>
        </row>
        <row r="51">
          <cell r="A51">
            <v>34</v>
          </cell>
          <cell r="B51" t="str">
            <v>Юрченко Галина Викторовна</v>
          </cell>
        </row>
        <row r="52">
          <cell r="A52">
            <v>35</v>
          </cell>
          <cell r="B52" t="str">
            <v>Муртазин Рустем Маратович</v>
          </cell>
        </row>
        <row r="53">
          <cell r="A53">
            <v>36</v>
          </cell>
          <cell r="B53" t="str">
            <v>Мартынюк Любовь Ивановна</v>
          </cell>
        </row>
        <row r="54">
          <cell r="A54">
            <v>37</v>
          </cell>
          <cell r="B54" t="str">
            <v>Тутаева Людмила Григорьевна</v>
          </cell>
        </row>
        <row r="55">
          <cell r="A55">
            <v>38</v>
          </cell>
          <cell r="B55" t="str">
            <v>Гумерова Айгуль Вадисовна</v>
          </cell>
        </row>
        <row r="56">
          <cell r="A56">
            <v>39</v>
          </cell>
          <cell r="B56" t="str">
            <v>Капш Марина Вячеславовна</v>
          </cell>
        </row>
        <row r="57">
          <cell r="A57">
            <v>40</v>
          </cell>
          <cell r="B57" t="str">
            <v>Кирилина Татьяна Юрьевна</v>
          </cell>
        </row>
        <row r="58">
          <cell r="A58">
            <v>41</v>
          </cell>
          <cell r="B58" t="str">
            <v>Крецу Светлана Агзамовна</v>
          </cell>
        </row>
        <row r="59">
          <cell r="A59">
            <v>42</v>
          </cell>
          <cell r="B59" t="str">
            <v>Петракова Вера Владимировна</v>
          </cell>
        </row>
        <row r="60">
          <cell r="A60">
            <v>43</v>
          </cell>
          <cell r="B60" t="str">
            <v>Аникина Ирина Алексеевна</v>
          </cell>
        </row>
        <row r="61">
          <cell r="A61">
            <v>44</v>
          </cell>
          <cell r="B61" t="str">
            <v>Осипова Елена Владимировна</v>
          </cell>
        </row>
        <row r="62">
          <cell r="A62" t="str">
            <v>ИТОГО: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ЗП на 31.08.08"/>
      <sheetName val="АУП"/>
      <sheetName val="Учителя"/>
      <sheetName val="Спец_сты школы"/>
      <sheetName val="Рабочие"/>
      <sheetName val="анализ надбавок"/>
      <sheetName val="анализ зар.платы"/>
      <sheetName val="ФЗП учителя"/>
      <sheetName val="анализ зар.платы 01.01.09"/>
      <sheetName val="анализ в ДО"/>
      <sheetName val="определение ФСВ"/>
      <sheetName val="Сводная ведомость"/>
      <sheetName val="Определение доли, суммы"/>
      <sheetName val="Определение стоимости 1 балла"/>
      <sheetName val="Расчет размера премии"/>
      <sheetName val="расчет дир.фонда-7"/>
    </sheetNames>
    <sheetDataSet>
      <sheetData sheetId="0" refreshError="1"/>
      <sheetData sheetId="1" refreshError="1"/>
      <sheetData sheetId="2">
        <row r="2">
          <cell r="A2" t="str">
            <v>СОГЛАСОВАНО:</v>
          </cell>
        </row>
        <row r="3">
          <cell r="A3" t="str">
            <v>Председатель профсоюзного комитета</v>
          </cell>
        </row>
        <row r="4">
          <cell r="A4" t="str">
            <v>________________________</v>
          </cell>
        </row>
        <row r="6">
          <cell r="A6" t="str">
            <v>"______"_____________________2009 г.</v>
          </cell>
        </row>
        <row r="8">
          <cell r="A8" t="str">
            <v>М.П.</v>
          </cell>
        </row>
        <row r="13">
          <cell r="A13" t="str">
            <v>№ п/п</v>
          </cell>
          <cell r="B13" t="str">
            <v>Ф.И.О.</v>
          </cell>
          <cell r="C13" t="str">
            <v>Занимаемая должность</v>
          </cell>
          <cell r="D13" t="str">
            <v>Образование, наименование учебного заведения</v>
          </cell>
          <cell r="E13" t="str">
            <v>Наименова-ние документа об образова-нии, его № и дата выдачи</v>
          </cell>
          <cell r="F13" t="str">
            <v xml:space="preserve">Стаж педогагической работы (число лет, месяцев, дней) </v>
          </cell>
          <cell r="G13" t="str">
            <v>Квалификация работника</v>
          </cell>
          <cell r="J13" t="str">
            <v>Кол-во недельных часов, всего</v>
          </cell>
          <cell r="K13" t="str">
            <v>из них:</v>
          </cell>
          <cell r="R13" t="str">
            <v>Базовая единица, руб.</v>
          </cell>
          <cell r="S13" t="str">
            <v>Коэффициент уровня образования (К1)</v>
          </cell>
          <cell r="T13" t="str">
            <v>Базовый оклад за норму часов преподавательской работы, руб.</v>
          </cell>
          <cell r="U13" t="str">
            <v>Расчет Базового оклада (Бо), руб.</v>
          </cell>
          <cell r="AD13" t="str">
            <v>Базовый оклад за часы работы в 1-11 классах, руб.</v>
          </cell>
          <cell r="AE13" t="str">
            <v>Коэффициент стажа работы (К2.1)</v>
          </cell>
          <cell r="AJ13" t="str">
            <v>Коэффициент специфики работы (К2.2)</v>
          </cell>
          <cell r="AN13" t="str">
            <v>Коэффициент специфики работы (К2.2)</v>
          </cell>
          <cell r="BI13" t="str">
            <v>Итого сумма коэффициента специфики, руб.(К2.2)</v>
          </cell>
          <cell r="BJ13" t="str">
            <v xml:space="preserve">Коэффициент квалификации работника (К2.3) </v>
          </cell>
          <cell r="BN13" t="str">
            <v xml:space="preserve">Должностной оклад с учетом повышающих коэффициентов </v>
          </cell>
          <cell r="BO13" t="str">
            <v>Районный коэффициент</v>
          </cell>
          <cell r="BQ13" t="str">
            <v>Северная надбавка</v>
          </cell>
          <cell r="BS13" t="str">
            <v>Итого должностной оклад с учетом р/к, с/н</v>
          </cell>
          <cell r="BT13" t="str">
            <v>Фонд надбавок и доплат</v>
          </cell>
          <cell r="BY13" t="str">
            <v>Итого фонд надбавок и доплат, руб.</v>
          </cell>
          <cell r="BZ13" t="str">
            <v>Районный коэффициент</v>
          </cell>
          <cell r="CB13" t="str">
            <v>Северная надбавка</v>
          </cell>
          <cell r="CD13" t="str">
            <v>Всего фонд надбавок и доплат, руб.</v>
          </cell>
          <cell r="CE13" t="str">
            <v>Итого фонд заработной платы в месяц, руб.</v>
          </cell>
          <cell r="CF13" t="str">
            <v>Выплата вознаграждения за выполнение функций классного руководителя, руб. с учетом районного коэффициента и северной надбавки</v>
          </cell>
        </row>
        <row r="14">
          <cell r="G14" t="str">
            <v>Наличие квалифика-ционной категории (№ приказа, дата)</v>
          </cell>
          <cell r="H14" t="str">
            <v>Наличие ученой степени (№ диплома, дата)</v>
          </cell>
          <cell r="I14" t="str">
            <v>Наличие почетного звания,знаков отличия (№ документа, дата)</v>
          </cell>
          <cell r="K14" t="str">
            <v>в 1 - 4 классах</v>
          </cell>
          <cell r="O14" t="str">
            <v>в 5 - 11 классах</v>
          </cell>
          <cell r="U14" t="str">
            <v>в 1 - 4 классах</v>
          </cell>
          <cell r="Y14" t="str">
            <v>Итого Бо за часы работы в 1-4 классах</v>
          </cell>
          <cell r="Z14" t="str">
            <v>в 5 - 11 классах</v>
          </cell>
          <cell r="AC14" t="str">
            <v>Итого Бо за часы работы в 5-11 классах</v>
          </cell>
          <cell r="AE14" t="str">
            <v>размер коэффициента</v>
          </cell>
          <cell r="AF14" t="str">
            <v>сумма, руб.</v>
          </cell>
          <cell r="AG14" t="str">
            <v>Работа педагогических работников в прогимназии, гимназии, лицее, школе с углубленным изучением предметов(Тип 3)</v>
          </cell>
          <cell r="AJ14" t="str">
            <v>в 1-4 классах</v>
          </cell>
          <cell r="AN14" t="str">
            <v>в 1-4 классах</v>
          </cell>
          <cell r="AS14" t="str">
            <v>с 5-11 классы</v>
          </cell>
          <cell r="BC14" t="str">
            <v>Заведование методическим объединением (Тип3)</v>
          </cell>
          <cell r="BE14" t="str">
            <v>Заведование учебным кабинетом, мастерской, спортивным залом(Тип 3)</v>
          </cell>
          <cell r="BG14" t="str">
            <v>Работа учителя, связанная с выполнением обязанностей классного руководителя (Тип2)</v>
          </cell>
          <cell r="BJ14" t="str">
            <v>За квал. категорию или ученую степень</v>
          </cell>
          <cell r="BL14" t="str">
            <v>За почетные звания, знаки отличия</v>
          </cell>
          <cell r="BO14" t="str">
            <v>размер коэффициента</v>
          </cell>
          <cell r="BP14" t="str">
            <v>сумма, руб.</v>
          </cell>
          <cell r="BQ14" t="str">
            <v>размер коэффициента</v>
          </cell>
          <cell r="BR14" t="str">
            <v>сумма, руб.</v>
          </cell>
          <cell r="BT14" t="str">
            <v>Доплаты</v>
          </cell>
          <cell r="BX14" t="str">
            <v>Стимулирующая выплата, руб.</v>
          </cell>
          <cell r="BZ14" t="str">
            <v>размер коэффициента</v>
          </cell>
          <cell r="CA14" t="str">
            <v>сумма, руб.</v>
          </cell>
          <cell r="CB14" t="str">
            <v>размер коэффициента</v>
          </cell>
          <cell r="CC14" t="str">
            <v>сумма, руб.</v>
          </cell>
        </row>
        <row r="15">
          <cell r="K15" t="str">
            <v>Кол-во часов в общеобразовательных классах</v>
          </cell>
          <cell r="L15" t="str">
            <v>Кол-во часов к классах компенсирующего обучения</v>
          </cell>
          <cell r="M15" t="str">
            <v>Кол-во часов в специальных  (коррекционных) классах</v>
          </cell>
          <cell r="N15" t="str">
            <v>Кол-во часов на домашнее обучение, обучение в больницах</v>
          </cell>
          <cell r="O15" t="str">
            <v>Кол-во часов в общеобразовательных классах</v>
          </cell>
          <cell r="P15" t="str">
            <v>Кол-во часов в специальных  (коррекционных) классах</v>
          </cell>
          <cell r="Q15" t="str">
            <v>Кол-во часов на домашнее обучение, обучение в больницах</v>
          </cell>
          <cell r="U15" t="str">
            <v>Бо за часы работы в общеобразовательных классах</v>
          </cell>
          <cell r="V15" t="str">
            <v>Бо за часы работы в классах компенсирующего обучения</v>
          </cell>
          <cell r="W15" t="str">
            <v xml:space="preserve">Бо за часы работы в специальных (коррекционных) классах </v>
          </cell>
          <cell r="X15" t="str">
            <v>Бо за часы домашнего обучения, обучения в больницах</v>
          </cell>
          <cell r="Z15" t="str">
            <v>Бо за часы работы в общеобразовательных классах</v>
          </cell>
          <cell r="AA15" t="str">
            <v xml:space="preserve">Бо за часы работы в специальных (коррекционных) классах </v>
          </cell>
          <cell r="AB15" t="str">
            <v>Бо за часы домашнего обучения, обучения в больницах</v>
          </cell>
          <cell r="AG15" t="str">
            <v>размер коэффициента</v>
          </cell>
          <cell r="AH15" t="str">
            <v>сумма, руб.</v>
          </cell>
          <cell r="AI15" t="str">
            <v>Кол-во часов на проверку тетрадей</v>
          </cell>
          <cell r="AJ15" t="str">
            <v>проверка тетрадей для учителей нач.классов (Тип2)</v>
          </cell>
          <cell r="AL15" t="str">
            <v>работа учителя в классах компенсирующего обучения (Тип 2)</v>
          </cell>
          <cell r="AN15" t="str">
            <v>работа учителя в коррекционных классах (Тип 1)</v>
          </cell>
          <cell r="AP15" t="str">
            <v>работа учителя в классах с индивидуальным и групповым обучением детей, находящихся на домашнем обучении, длительном лечении (Тип 1)</v>
          </cell>
          <cell r="AR15" t="str">
            <v>Кол-во часов на проверку тетрадей</v>
          </cell>
          <cell r="AS15" t="str">
            <v>проверка тетрадей по русскому, родному языку, литературе, математике, иностранному языку (Тип 1, Тип 2)</v>
          </cell>
          <cell r="AU15" t="str">
            <v>проверка тетрадей по физике, химии (Тип3)</v>
          </cell>
          <cell r="AW15" t="str">
            <v>проверка тетрадей по географии, истории, черчению, биологии, информатике (Тип 4)</v>
          </cell>
          <cell r="AY15" t="str">
            <v>работа учителя в коррекционных классах (Тип 1)</v>
          </cell>
          <cell r="BA15" t="str">
            <v>работа учителя в классах с индивидуальным и групповым обучением детей, находящихся на домашнем обучении, длительном лечении (Тип 1)</v>
          </cell>
          <cell r="BC15" t="str">
            <v>размер коэффициента</v>
          </cell>
          <cell r="BD15" t="str">
            <v>сумма, руб.</v>
          </cell>
          <cell r="BE15" t="str">
            <v>размер коэффициента</v>
          </cell>
          <cell r="BF15" t="str">
            <v>сумма, руб.</v>
          </cell>
          <cell r="BG15" t="str">
            <v>размер коэффициента</v>
          </cell>
          <cell r="BH15" t="str">
            <v>сумма, руб.</v>
          </cell>
          <cell r="BJ15" t="str">
            <v>размер коэффициента</v>
          </cell>
          <cell r="BK15" t="str">
            <v>сумма, руб.</v>
          </cell>
          <cell r="BL15" t="str">
            <v>размер коэффициента</v>
          </cell>
          <cell r="BM15" t="str">
            <v>сумма, руб.</v>
          </cell>
          <cell r="BT15" t="str">
            <v>за работу с неблагоприятными условиями труда</v>
          </cell>
          <cell r="BV15" t="str">
            <v>доплата молодому специалисту</v>
          </cell>
        </row>
        <row r="17">
          <cell r="A17" t="str">
            <v>Педагогический персонал</v>
          </cell>
        </row>
        <row r="18">
          <cell r="A18">
            <v>1</v>
          </cell>
          <cell r="B18" t="str">
            <v>Андрианова Светлана Ивановна</v>
          </cell>
        </row>
        <row r="19">
          <cell r="A19">
            <v>2</v>
          </cell>
          <cell r="B19" t="str">
            <v>Ананьева Любовь Николаевна</v>
          </cell>
        </row>
        <row r="20">
          <cell r="A20">
            <v>3</v>
          </cell>
          <cell r="B20" t="str">
            <v>Бреусенко Гульнара Махмутовна</v>
          </cell>
        </row>
        <row r="21">
          <cell r="A21">
            <v>4</v>
          </cell>
          <cell r="B21" t="str">
            <v>Василенко Кулян Васильевна</v>
          </cell>
        </row>
        <row r="22">
          <cell r="A22">
            <v>5</v>
          </cell>
          <cell r="B22" t="str">
            <v>Гапонова Татьяна Ивановна</v>
          </cell>
        </row>
        <row r="23">
          <cell r="A23">
            <v>6</v>
          </cell>
          <cell r="B23" t="str">
            <v>Голышева Оксана Юрьевна</v>
          </cell>
        </row>
        <row r="24">
          <cell r="A24">
            <v>7</v>
          </cell>
          <cell r="B24" t="str">
            <v>Горина Елена Дмитриевна</v>
          </cell>
        </row>
        <row r="25">
          <cell r="A25">
            <v>8</v>
          </cell>
          <cell r="B25" t="str">
            <v>Данилина Татьяна Павловна</v>
          </cell>
        </row>
        <row r="26">
          <cell r="A26">
            <v>9</v>
          </cell>
          <cell r="B26" t="str">
            <v>Пелых Елена Григорьевна</v>
          </cell>
        </row>
        <row r="27">
          <cell r="A27">
            <v>10</v>
          </cell>
          <cell r="B27" t="str">
            <v>Домрачеева Людмила Николаевна</v>
          </cell>
        </row>
        <row r="28">
          <cell r="A28">
            <v>11</v>
          </cell>
          <cell r="B28" t="str">
            <v>Ерина Ольга Ивановна</v>
          </cell>
        </row>
        <row r="29">
          <cell r="A29">
            <v>12</v>
          </cell>
          <cell r="B29" t="str">
            <v>Калестру Ирина Марсовна</v>
          </cell>
        </row>
        <row r="30">
          <cell r="A30">
            <v>13</v>
          </cell>
          <cell r="B30" t="str">
            <v>Зарипова Филюза Магсумовна</v>
          </cell>
        </row>
        <row r="31">
          <cell r="A31">
            <v>14</v>
          </cell>
          <cell r="B31" t="str">
            <v>Иванова Елена Викторовна</v>
          </cell>
        </row>
        <row r="32">
          <cell r="A32">
            <v>15</v>
          </cell>
          <cell r="B32" t="str">
            <v>Иванова Елена Сергеевна</v>
          </cell>
        </row>
        <row r="33">
          <cell r="A33">
            <v>16</v>
          </cell>
          <cell r="B33" t="str">
            <v>Карайсенлы Аэлита Евгеньевна</v>
          </cell>
        </row>
        <row r="34">
          <cell r="A34">
            <v>17</v>
          </cell>
          <cell r="B34" t="str">
            <v>Кутовая Оксана Анатольевна</v>
          </cell>
        </row>
        <row r="35">
          <cell r="A35">
            <v>18</v>
          </cell>
          <cell r="B35" t="str">
            <v>Морозова Лилия Анатольевна</v>
          </cell>
        </row>
        <row r="36">
          <cell r="A36">
            <v>19</v>
          </cell>
          <cell r="B36" t="str">
            <v>Нигматуллина Венера Ахатовна</v>
          </cell>
        </row>
        <row r="37">
          <cell r="A37">
            <v>20</v>
          </cell>
          <cell r="B37" t="str">
            <v>Овчинникова Ольга Юрьевна</v>
          </cell>
        </row>
        <row r="38">
          <cell r="A38">
            <v>21</v>
          </cell>
          <cell r="B38" t="str">
            <v>Парыгина Елена Васильевна</v>
          </cell>
        </row>
        <row r="39">
          <cell r="A39">
            <v>22</v>
          </cell>
          <cell r="B39" t="str">
            <v>Пастухова Светлана Александровна</v>
          </cell>
        </row>
        <row r="40">
          <cell r="A40">
            <v>23</v>
          </cell>
          <cell r="B40" t="str">
            <v>Перевалова Наталья Николаевна</v>
          </cell>
        </row>
        <row r="41">
          <cell r="A41">
            <v>24</v>
          </cell>
          <cell r="B41" t="str">
            <v>Пермякова Елена Николаевна</v>
          </cell>
        </row>
        <row r="42">
          <cell r="A42">
            <v>25</v>
          </cell>
          <cell r="B42" t="str">
            <v>Пушкарева Екатерина Валерьевна</v>
          </cell>
        </row>
        <row r="43">
          <cell r="A43">
            <v>26</v>
          </cell>
          <cell r="B43" t="str">
            <v>Расторгуева Татьяна Николаевна</v>
          </cell>
        </row>
        <row r="44">
          <cell r="A44">
            <v>27</v>
          </cell>
          <cell r="B44" t="str">
            <v>Русакова Галина Николаевна</v>
          </cell>
        </row>
        <row r="45">
          <cell r="A45">
            <v>28</v>
          </cell>
          <cell r="B45" t="str">
            <v>Рысляева Евгения Юрьевна</v>
          </cell>
        </row>
        <row r="46">
          <cell r="A46">
            <v>29</v>
          </cell>
          <cell r="B46" t="str">
            <v>Санникова Галина Алексеевна</v>
          </cell>
        </row>
        <row r="47">
          <cell r="A47">
            <v>30</v>
          </cell>
          <cell r="B47" t="str">
            <v>Сахарова Ольга Леонидовна</v>
          </cell>
        </row>
        <row r="48">
          <cell r="A48">
            <v>31</v>
          </cell>
          <cell r="B48" t="str">
            <v>Бабан Юлия Владимировна</v>
          </cell>
        </row>
        <row r="49">
          <cell r="A49">
            <v>32</v>
          </cell>
          <cell r="B49" t="str">
            <v>Симоник Владимир Георгиевич</v>
          </cell>
        </row>
        <row r="50">
          <cell r="A50">
            <v>33</v>
          </cell>
          <cell r="B50" t="str">
            <v>Хасанова Алтын Сеильбековна</v>
          </cell>
        </row>
        <row r="51">
          <cell r="A51">
            <v>34</v>
          </cell>
          <cell r="B51" t="str">
            <v>Юрченко Галина Викторовна</v>
          </cell>
        </row>
        <row r="52">
          <cell r="A52">
            <v>35</v>
          </cell>
          <cell r="B52" t="str">
            <v>Муртазин Рустем Маратович</v>
          </cell>
        </row>
        <row r="53">
          <cell r="A53">
            <v>36</v>
          </cell>
          <cell r="B53" t="str">
            <v>Мартынюк Любовь Ивановна</v>
          </cell>
        </row>
        <row r="54">
          <cell r="A54">
            <v>37</v>
          </cell>
          <cell r="B54" t="str">
            <v>Тутаева Людмила Григорьевна</v>
          </cell>
        </row>
        <row r="55">
          <cell r="A55">
            <v>38</v>
          </cell>
          <cell r="B55" t="str">
            <v>Гумерова Айгуль Вадисовна</v>
          </cell>
        </row>
        <row r="56">
          <cell r="A56">
            <v>39</v>
          </cell>
          <cell r="B56" t="str">
            <v>Капш Марина Вячеславовна</v>
          </cell>
        </row>
        <row r="57">
          <cell r="A57">
            <v>40</v>
          </cell>
          <cell r="B57" t="str">
            <v>Кирилина Татьяна Юрьевна</v>
          </cell>
        </row>
        <row r="58">
          <cell r="A58">
            <v>41</v>
          </cell>
          <cell r="B58" t="str">
            <v>Крецу Светлана Агзамовна</v>
          </cell>
        </row>
        <row r="59">
          <cell r="A59">
            <v>42</v>
          </cell>
          <cell r="B59" t="str">
            <v>Петракова Вера Владимировна</v>
          </cell>
        </row>
        <row r="60">
          <cell r="A60">
            <v>43</v>
          </cell>
          <cell r="B60" t="str">
            <v>Аникина Ирина Алексеевна</v>
          </cell>
        </row>
        <row r="61">
          <cell r="A61">
            <v>44</v>
          </cell>
          <cell r="B61" t="str">
            <v>Осипова Елена Владимировна</v>
          </cell>
        </row>
        <row r="62">
          <cell r="A62" t="str">
            <v>ИТОГО: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ьготный"/>
      <sheetName val="Лист3"/>
      <sheetName val="Аналитика"/>
      <sheetName val="ЛИЦЕЙ 1"/>
      <sheetName val="раздел 2"/>
      <sheetName val="раз 2"/>
      <sheetName val="бюдж без ост"/>
      <sheetName val="бнебюдж"/>
      <sheetName val="свед"/>
      <sheetName val="Форма 1 "/>
      <sheetName val="Форма 2 приложение"/>
      <sheetName val="стр.3"/>
      <sheetName val="стр.5"/>
      <sheetName val="стр.6"/>
      <sheetName val="3 раздел"/>
      <sheetName val="остатки"/>
      <sheetName val="кассовы план"/>
      <sheetName val="4"/>
      <sheetName val="5"/>
      <sheetName val="2"/>
      <sheetName val="211,213"/>
      <sheetName val="Лист1"/>
      <sheetName val="№ 214 от 23.01.2017 (стр.3)"/>
      <sheetName val="СВЕДЕНИЯ"/>
      <sheetName val="№ 214 от 13.10.2017 (стр.3)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72">
          <cell r="I72">
            <v>0</v>
          </cell>
        </row>
        <row r="87">
          <cell r="I87">
            <v>0</v>
          </cell>
        </row>
        <row r="93">
          <cell r="I9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доходов"/>
      <sheetName val="Лист5"/>
      <sheetName val="титул"/>
      <sheetName val="2 разд"/>
      <sheetName val="Бюджет в ДО 2019"/>
      <sheetName val="остатки"/>
      <sheetName val="Внебюджет В ДО 2019"/>
      <sheetName val="  аналитика"/>
      <sheetName val="закупки"/>
      <sheetName val="расчет доходов 2 (2)"/>
      <sheetName val="Лист1"/>
      <sheetName val="Лист2"/>
      <sheetName val="питание лагерь"/>
      <sheetName val="питание"/>
      <sheetName val="№ 34 от 09.01.2018 (стр.2)"/>
      <sheetName val="№ 342 от 21.11.2017 (стр.4)"/>
      <sheetName val="№ 34 от 09.01.2018 (стр.3)"/>
      <sheetName val="report"/>
      <sheetName val="аналитика"/>
      <sheetName val="Лист4"/>
      <sheetName val="Лист6"/>
      <sheetName val="Лист7"/>
      <sheetName val="кассовы план"/>
    </sheetNames>
    <sheetDataSet>
      <sheetData sheetId="0"/>
      <sheetData sheetId="1"/>
      <sheetData sheetId="2"/>
      <sheetData sheetId="3"/>
      <sheetData sheetId="4">
        <row r="250">
          <cell r="A250" t="str">
            <v xml:space="preserve"> 2.03.2.01.84303 000000 </v>
          </cell>
        </row>
        <row r="1595">
          <cell r="H1595">
            <v>212686370.96000001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 Титул"/>
      <sheetName val="2 раздел"/>
      <sheetName val="Расш.бюджет "/>
      <sheetName val="Расш.бюд.ост.4"/>
      <sheetName val="Расш.бюд.ост.5"/>
      <sheetName val="Расш.внебюд."/>
      <sheetName val="3 Разд."/>
      <sheetName val="Аналитика льгот.отп."/>
      <sheetName val="ЛО"/>
      <sheetName val="АИ"/>
      <sheetName val="КП субвенция"/>
      <sheetName val="КП (все)"/>
      <sheetName val="ПЗ п.4,п.5"/>
      <sheetName val="Анализ на 31.05.2018"/>
      <sheetName val="3 Раздел "/>
    </sheetNames>
    <sheetDataSet>
      <sheetData sheetId="0" refreshError="1"/>
      <sheetData sheetId="1" refreshError="1"/>
      <sheetData sheetId="2">
        <row r="442">
          <cell r="J442">
            <v>799389</v>
          </cell>
        </row>
        <row r="444">
          <cell r="K444">
            <v>442550</v>
          </cell>
        </row>
        <row r="446">
          <cell r="J446">
            <v>52244.5</v>
          </cell>
        </row>
        <row r="447">
          <cell r="J447">
            <v>57912.5</v>
          </cell>
        </row>
        <row r="448">
          <cell r="J448">
            <v>106444.8</v>
          </cell>
        </row>
        <row r="449">
          <cell r="J449">
            <v>101545.4</v>
          </cell>
        </row>
        <row r="450">
          <cell r="J450">
            <v>179418.42</v>
          </cell>
        </row>
        <row r="464">
          <cell r="J464">
            <v>945055.44</v>
          </cell>
        </row>
        <row r="466">
          <cell r="K466">
            <v>645063</v>
          </cell>
        </row>
        <row r="468">
          <cell r="J468">
            <v>73596.600000000006</v>
          </cell>
        </row>
        <row r="469">
          <cell r="J469">
            <v>76907.8</v>
          </cell>
        </row>
        <row r="470">
          <cell r="J470">
            <v>120736</v>
          </cell>
        </row>
        <row r="471">
          <cell r="J471">
            <v>117330.18</v>
          </cell>
        </row>
        <row r="472">
          <cell r="J472">
            <v>168759.9</v>
          </cell>
        </row>
        <row r="887">
          <cell r="J887">
            <v>0</v>
          </cell>
        </row>
        <row r="898">
          <cell r="J898">
            <v>0</v>
          </cell>
        </row>
      </sheetData>
      <sheetData sheetId="3" refreshError="1"/>
      <sheetData sheetId="4" refreshError="1"/>
      <sheetData sheetId="5">
        <row r="641">
          <cell r="I641">
            <v>0</v>
          </cell>
        </row>
        <row r="657">
          <cell r="I65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 Титул"/>
      <sheetName val="2 раздел"/>
      <sheetName val="Расш.бюджет "/>
      <sheetName val="Расш.бюд.ост.4"/>
      <sheetName val="Расш.бюд.ост.5"/>
      <sheetName val="Расш.внебюд."/>
      <sheetName val="3 Разд."/>
      <sheetName val="Аналитика льгот.отп."/>
      <sheetName val="ЛО"/>
      <sheetName val="АИ"/>
      <sheetName val="КП"/>
    </sheetNames>
    <sheetDataSet>
      <sheetData sheetId="0"/>
      <sheetData sheetId="1"/>
      <sheetData sheetId="2">
        <row r="239">
          <cell r="I239">
            <v>16738636.1</v>
          </cell>
        </row>
        <row r="1275">
          <cell r="I1275">
            <v>1243558</v>
          </cell>
        </row>
      </sheetData>
      <sheetData sheetId="3"/>
      <sheetData sheetId="4"/>
      <sheetData sheetId="5">
        <row r="209">
          <cell r="I209">
            <v>11403616.869999999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2"/>
  <sheetViews>
    <sheetView view="pageBreakPreview" topLeftCell="A22" zoomScale="90" zoomScaleSheetLayoutView="90" workbookViewId="0">
      <selection activeCell="E35" sqref="E35"/>
    </sheetView>
  </sheetViews>
  <sheetFormatPr defaultRowHeight="15" x14ac:dyDescent="0.25"/>
  <cols>
    <col min="1" max="1" width="38.42578125" style="110" customWidth="1"/>
    <col min="2" max="2" width="9.42578125" style="110" customWidth="1"/>
    <col min="3" max="4" width="6.85546875" style="110" customWidth="1"/>
    <col min="5" max="6" width="10.42578125" style="110" customWidth="1"/>
    <col min="7" max="7" width="13.85546875" style="110" customWidth="1"/>
    <col min="8" max="8" width="11.7109375" style="110" customWidth="1"/>
    <col min="9" max="9" width="10" style="110" customWidth="1"/>
    <col min="10" max="10" width="11" style="110" customWidth="1"/>
    <col min="11" max="11" width="6" style="110" customWidth="1"/>
  </cols>
  <sheetData>
    <row r="1" spans="1:13" x14ac:dyDescent="0.25">
      <c r="J1" s="111"/>
      <c r="K1" s="111"/>
      <c r="L1" s="112"/>
      <c r="M1" s="112"/>
    </row>
    <row r="2" spans="1:13" ht="20.25" x14ac:dyDescent="0.25">
      <c r="A2" s="1842"/>
      <c r="B2" s="1842"/>
      <c r="C2" s="1842"/>
      <c r="D2" s="1842"/>
      <c r="E2" s="113"/>
      <c r="F2" s="113"/>
      <c r="G2" s="1843"/>
      <c r="H2" s="1843"/>
      <c r="I2" s="1843"/>
      <c r="J2" s="1843"/>
      <c r="K2" s="1843"/>
    </row>
    <row r="3" spans="1:13" ht="39" customHeight="1" x14ac:dyDescent="0.25">
      <c r="A3" s="1844"/>
      <c r="B3" s="1844"/>
      <c r="C3" s="114"/>
      <c r="D3" s="114"/>
      <c r="E3" s="115"/>
      <c r="F3" s="115"/>
      <c r="G3" s="1844"/>
      <c r="H3" s="1844"/>
      <c r="I3" s="1844"/>
      <c r="J3" s="1844"/>
      <c r="K3" s="1844"/>
    </row>
    <row r="4" spans="1:13" ht="15.75" customHeight="1" x14ac:dyDescent="0.25">
      <c r="A4" s="1837"/>
      <c r="B4" s="1837"/>
      <c r="C4" s="1837"/>
      <c r="D4" s="1837"/>
      <c r="E4" s="116"/>
      <c r="F4" s="116"/>
      <c r="G4" s="1845"/>
      <c r="H4" s="1845"/>
      <c r="I4" s="1845"/>
      <c r="J4" s="1845"/>
      <c r="K4" s="1845"/>
    </row>
    <row r="5" spans="1:13" ht="42.75" customHeight="1" x14ac:dyDescent="0.25">
      <c r="A5" s="367"/>
      <c r="B5" s="1837"/>
      <c r="C5" s="1837"/>
      <c r="D5" s="1837"/>
      <c r="E5" s="117"/>
      <c r="F5" s="117"/>
      <c r="G5" s="118"/>
      <c r="H5" s="119"/>
      <c r="I5" s="1838"/>
      <c r="J5" s="1838"/>
      <c r="K5" s="1838"/>
    </row>
    <row r="6" spans="1:13" ht="15.75" customHeight="1" x14ac:dyDescent="0.25">
      <c r="A6" s="368"/>
      <c r="B6" s="1839"/>
      <c r="C6" s="1839"/>
      <c r="D6" s="1839"/>
      <c r="E6" s="117"/>
      <c r="F6" s="117"/>
      <c r="G6" s="1840"/>
      <c r="H6" s="1841"/>
      <c r="I6" s="1840"/>
      <c r="J6" s="1840"/>
      <c r="K6" s="1840"/>
    </row>
    <row r="7" spans="1:13" ht="15.75" customHeight="1" x14ac:dyDescent="0.25">
      <c r="A7" s="1833"/>
      <c r="B7" s="1833"/>
      <c r="C7" s="1833"/>
      <c r="D7" s="1833"/>
      <c r="E7" s="113"/>
      <c r="F7" s="113"/>
      <c r="G7" s="1833"/>
      <c r="H7" s="1833"/>
      <c r="I7" s="1833"/>
      <c r="J7" s="1833"/>
      <c r="K7" s="1833"/>
    </row>
    <row r="8" spans="1:13" x14ac:dyDescent="0.25">
      <c r="A8" s="369"/>
      <c r="B8" s="369"/>
      <c r="C8" s="369"/>
      <c r="D8" s="369"/>
    </row>
    <row r="9" spans="1:13" x14ac:dyDescent="0.25">
      <c r="A9" s="369"/>
      <c r="B9" s="369"/>
      <c r="C9" s="369"/>
      <c r="D9" s="369"/>
    </row>
    <row r="11" spans="1:13" ht="117" customHeight="1" x14ac:dyDescent="0.25"/>
    <row r="12" spans="1:13" ht="30.75" customHeight="1" x14ac:dyDescent="0.25">
      <c r="A12" s="1834" t="s">
        <v>1828</v>
      </c>
      <c r="B12" s="1834"/>
      <c r="C12" s="1834"/>
      <c r="D12" s="1834"/>
      <c r="E12" s="1834"/>
      <c r="F12" s="1834"/>
      <c r="G12" s="1834"/>
      <c r="H12" s="1834"/>
      <c r="I12" s="1834"/>
      <c r="J12" s="1834"/>
      <c r="K12" s="1834"/>
    </row>
    <row r="13" spans="1:13" ht="20.25" x14ac:dyDescent="0.25">
      <c r="A13" s="1835" t="s">
        <v>1829</v>
      </c>
      <c r="B13" s="1835"/>
      <c r="C13" s="1835"/>
      <c r="D13" s="1835"/>
      <c r="E13" s="1835"/>
      <c r="F13" s="1835"/>
      <c r="G13" s="1835"/>
      <c r="H13" s="1835"/>
      <c r="I13" s="1835"/>
      <c r="J13" s="1835"/>
      <c r="K13" s="1835"/>
    </row>
    <row r="14" spans="1:13" ht="20.25" x14ac:dyDescent="0.25">
      <c r="A14" s="1836" t="s">
        <v>329</v>
      </c>
      <c r="B14" s="1836"/>
      <c r="C14" s="1836"/>
      <c r="D14" s="1836"/>
      <c r="E14" s="1836"/>
      <c r="F14" s="1836"/>
      <c r="G14" s="1836"/>
      <c r="H14" s="1836"/>
      <c r="I14" s="1836"/>
      <c r="J14" s="1836"/>
      <c r="K14" s="1836"/>
    </row>
    <row r="15" spans="1:13" ht="15.75" x14ac:dyDescent="0.25">
      <c r="A15" s="89"/>
      <c r="B15" s="89"/>
      <c r="C15" s="89"/>
      <c r="D15" s="89"/>
      <c r="E15" s="89"/>
      <c r="F15" s="89"/>
      <c r="G15" s="89"/>
    </row>
    <row r="16" spans="1:13" ht="15.75" x14ac:dyDescent="0.25">
      <c r="A16" s="89"/>
      <c r="B16" s="89"/>
      <c r="C16" s="89"/>
      <c r="D16" s="89"/>
      <c r="E16" s="89"/>
      <c r="F16" s="89"/>
      <c r="G16" s="89"/>
    </row>
    <row r="17" spans="1:11" ht="19.5" customHeight="1" x14ac:dyDescent="0.25">
      <c r="A17" s="89"/>
      <c r="B17" s="89"/>
      <c r="C17" s="89"/>
      <c r="D17" s="89"/>
      <c r="E17" s="89"/>
      <c r="F17" s="89"/>
      <c r="G17" s="89"/>
    </row>
    <row r="18" spans="1:11" ht="19.5" customHeight="1" x14ac:dyDescent="0.25">
      <c r="A18" s="89"/>
      <c r="B18" s="89"/>
      <c r="C18" s="89"/>
      <c r="D18" s="89"/>
      <c r="E18" s="89"/>
      <c r="F18" s="89"/>
      <c r="G18" s="89"/>
    </row>
    <row r="19" spans="1:11" ht="19.5" customHeight="1" x14ac:dyDescent="0.25">
      <c r="A19" s="89"/>
      <c r="B19" s="89"/>
      <c r="C19" s="89"/>
      <c r="D19" s="89"/>
      <c r="E19" s="89"/>
      <c r="F19" s="89"/>
      <c r="G19" s="89"/>
    </row>
    <row r="20" spans="1:11" ht="45" customHeight="1" x14ac:dyDescent="0.25">
      <c r="A20" s="1830" t="s">
        <v>330</v>
      </c>
      <c r="B20" s="1830"/>
      <c r="C20" s="1831" t="s">
        <v>331</v>
      </c>
      <c r="D20" s="1831"/>
      <c r="E20" s="1831"/>
      <c r="F20" s="1831"/>
      <c r="G20" s="1831"/>
      <c r="H20" s="1831"/>
      <c r="I20" s="1831"/>
      <c r="J20" s="1831"/>
      <c r="K20" s="1831"/>
    </row>
    <row r="21" spans="1:11" ht="19.5" customHeight="1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</row>
    <row r="22" spans="1:11" ht="44.25" customHeight="1" x14ac:dyDescent="0.25">
      <c r="A22" s="1830" t="s">
        <v>332</v>
      </c>
      <c r="B22" s="1832"/>
      <c r="C22" s="1831" t="s">
        <v>1740</v>
      </c>
      <c r="D22" s="1831"/>
      <c r="E22" s="1831"/>
      <c r="F22" s="1831"/>
      <c r="G22" s="1831"/>
      <c r="H22" s="1831"/>
      <c r="I22" s="1831"/>
      <c r="J22" s="1831"/>
      <c r="K22" s="1831"/>
    </row>
    <row r="23" spans="1:11" ht="19.5" customHeight="1" x14ac:dyDescent="0.25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</row>
    <row r="24" spans="1:11" ht="30.75" customHeight="1" x14ac:dyDescent="0.25">
      <c r="A24" s="1830" t="s">
        <v>333</v>
      </c>
      <c r="B24" s="1832"/>
      <c r="C24" s="1831" t="s">
        <v>334</v>
      </c>
      <c r="D24" s="1831"/>
      <c r="E24" s="1831"/>
      <c r="F24" s="1831"/>
      <c r="G24" s="1831"/>
      <c r="H24" s="1831"/>
      <c r="I24" s="1831"/>
      <c r="J24" s="1831"/>
      <c r="K24" s="1831"/>
    </row>
    <row r="25" spans="1:11" ht="19.5" customHeight="1" x14ac:dyDescent="0.25">
      <c r="A25" s="89"/>
      <c r="B25" s="89"/>
      <c r="C25" s="89"/>
      <c r="D25" s="89"/>
      <c r="E25" s="89"/>
      <c r="F25" s="89"/>
      <c r="G25" s="89"/>
    </row>
    <row r="26" spans="1:11" ht="19.5" customHeight="1" x14ac:dyDescent="0.25">
      <c r="A26" s="89"/>
      <c r="B26" s="89"/>
      <c r="C26" s="89"/>
      <c r="D26" s="89"/>
      <c r="E26" s="89"/>
      <c r="F26" s="89"/>
      <c r="G26" s="89"/>
    </row>
    <row r="27" spans="1:11" ht="19.5" customHeight="1" x14ac:dyDescent="0.25">
      <c r="A27" s="89"/>
      <c r="B27" s="89"/>
      <c r="C27" s="89"/>
      <c r="D27" s="89"/>
      <c r="E27" s="89"/>
      <c r="F27" s="89"/>
      <c r="G27" s="89"/>
    </row>
    <row r="28" spans="1:11" ht="19.5" customHeight="1" x14ac:dyDescent="0.25">
      <c r="A28" s="89"/>
      <c r="B28" s="89"/>
      <c r="C28" s="89"/>
      <c r="D28" s="89"/>
      <c r="E28" s="89"/>
      <c r="F28" s="89"/>
      <c r="G28" s="89"/>
    </row>
    <row r="29" spans="1:11" ht="24.75" customHeight="1" x14ac:dyDescent="0.25">
      <c r="A29" s="89"/>
      <c r="B29" s="89"/>
      <c r="C29" s="89"/>
      <c r="D29" s="89"/>
      <c r="E29" s="89"/>
      <c r="F29" s="89"/>
      <c r="G29" s="89"/>
    </row>
    <row r="30" spans="1:11" ht="19.5" customHeight="1" x14ac:dyDescent="0.25">
      <c r="A30" s="89"/>
      <c r="B30" s="89"/>
      <c r="C30" s="89"/>
      <c r="D30" s="89"/>
      <c r="E30" s="89"/>
      <c r="F30" s="89"/>
      <c r="G30" s="89"/>
    </row>
    <row r="31" spans="1:11" ht="37.5" customHeight="1" x14ac:dyDescent="0.25">
      <c r="A31" s="89"/>
      <c r="B31" s="89"/>
      <c r="C31" s="89"/>
      <c r="D31" s="89"/>
      <c r="E31" s="89"/>
      <c r="F31" s="89"/>
      <c r="G31" s="89"/>
    </row>
    <row r="32" spans="1:11" ht="25.5" customHeight="1" x14ac:dyDescent="0.25">
      <c r="A32" s="89"/>
      <c r="B32" s="89"/>
      <c r="C32" s="89"/>
      <c r="D32" s="89"/>
      <c r="E32" s="89"/>
      <c r="F32" s="89"/>
      <c r="G32" s="89"/>
    </row>
    <row r="33" spans="1:7" ht="19.5" customHeight="1" x14ac:dyDescent="0.25">
      <c r="A33" s="89"/>
      <c r="B33" s="89"/>
      <c r="C33" s="89"/>
      <c r="D33" s="89"/>
      <c r="E33" s="89"/>
      <c r="F33" s="89"/>
      <c r="G33" s="89"/>
    </row>
    <row r="34" spans="1:7" ht="51" customHeight="1" x14ac:dyDescent="0.25">
      <c r="A34" s="89"/>
      <c r="B34" s="89"/>
      <c r="C34" s="89"/>
      <c r="D34" s="89"/>
      <c r="E34" s="89"/>
      <c r="F34" s="89"/>
      <c r="G34" s="89"/>
    </row>
    <row r="35" spans="1:7" ht="19.5" customHeight="1" x14ac:dyDescent="0.25">
      <c r="A35" s="89"/>
      <c r="B35" s="89"/>
      <c r="C35" s="89"/>
      <c r="D35" s="89"/>
      <c r="E35" s="89"/>
      <c r="F35" s="89"/>
      <c r="G35" s="89"/>
    </row>
    <row r="36" spans="1:7" ht="18.75" customHeight="1" x14ac:dyDescent="0.25">
      <c r="A36" s="89"/>
      <c r="B36" s="89"/>
      <c r="C36" s="89"/>
      <c r="D36" s="89"/>
      <c r="E36" s="89"/>
      <c r="F36" s="89"/>
      <c r="G36" s="89"/>
    </row>
    <row r="37" spans="1:7" ht="19.5" customHeight="1" x14ac:dyDescent="0.25">
      <c r="A37" s="89"/>
      <c r="B37" s="89"/>
      <c r="C37" s="89"/>
      <c r="D37" s="89"/>
      <c r="E37" s="89"/>
      <c r="F37" s="89"/>
      <c r="G37" s="89"/>
    </row>
    <row r="38" spans="1:7" ht="19.5" customHeight="1" x14ac:dyDescent="0.25">
      <c r="A38" s="89"/>
      <c r="B38" s="89"/>
      <c r="C38" s="89"/>
      <c r="D38" s="89"/>
      <c r="E38" s="89"/>
      <c r="F38" s="89"/>
      <c r="G38" s="89"/>
    </row>
    <row r="39" spans="1:7" ht="19.5" customHeight="1" x14ac:dyDescent="0.25">
      <c r="A39" s="89"/>
      <c r="B39" s="89"/>
      <c r="C39" s="89"/>
      <c r="D39" s="89"/>
      <c r="E39" s="89"/>
      <c r="F39" s="89"/>
      <c r="G39" s="89"/>
    </row>
    <row r="40" spans="1:7" ht="19.5" customHeight="1" x14ac:dyDescent="0.25">
      <c r="A40" s="89"/>
      <c r="B40" s="89"/>
      <c r="C40" s="89"/>
      <c r="D40" s="89"/>
      <c r="E40" s="89"/>
      <c r="F40" s="89"/>
      <c r="G40" s="89"/>
    </row>
    <row r="41" spans="1:7" ht="15.75" x14ac:dyDescent="0.25">
      <c r="A41" s="89"/>
      <c r="B41" s="89"/>
      <c r="C41" s="89"/>
      <c r="D41" s="89"/>
      <c r="E41" s="89"/>
      <c r="F41" s="89"/>
      <c r="G41" s="89"/>
    </row>
    <row r="42" spans="1:7" ht="15.75" x14ac:dyDescent="0.25">
      <c r="A42" s="89"/>
      <c r="B42" s="89"/>
      <c r="C42" s="89"/>
      <c r="D42" s="89"/>
      <c r="E42" s="89"/>
      <c r="F42" s="89"/>
      <c r="G42" s="89"/>
    </row>
    <row r="52" spans="1:11" x14ac:dyDescent="0.25">
      <c r="A52" s="1829"/>
      <c r="B52" s="1829"/>
      <c r="C52" s="1829"/>
      <c r="D52" s="1829"/>
      <c r="E52" s="1829"/>
      <c r="F52" s="1829"/>
      <c r="G52" s="1829"/>
      <c r="H52" s="1829"/>
      <c r="I52" s="1829"/>
      <c r="J52" s="1829"/>
      <c r="K52" s="1829"/>
    </row>
  </sheetData>
  <mergeCells count="23">
    <mergeCell ref="A2:D2"/>
    <mergeCell ref="G2:K2"/>
    <mergeCell ref="A3:B3"/>
    <mergeCell ref="G3:K3"/>
    <mergeCell ref="A4:D4"/>
    <mergeCell ref="G4:K4"/>
    <mergeCell ref="B5:D5"/>
    <mergeCell ref="I5:K5"/>
    <mergeCell ref="B6:D6"/>
    <mergeCell ref="G6:H6"/>
    <mergeCell ref="I6:K6"/>
    <mergeCell ref="A7:D7"/>
    <mergeCell ref="G7:K7"/>
    <mergeCell ref="A12:K12"/>
    <mergeCell ref="A13:K13"/>
    <mergeCell ref="A14:K14"/>
    <mergeCell ref="A52:K52"/>
    <mergeCell ref="A20:B20"/>
    <mergeCell ref="C20:K20"/>
    <mergeCell ref="A22:B22"/>
    <mergeCell ref="C22:K22"/>
    <mergeCell ref="A24:B24"/>
    <mergeCell ref="C24:K24"/>
  </mergeCells>
  <printOptions horizontalCentered="1"/>
  <pageMargins left="0.57999999999999996" right="0.19685039370078741" top="0.39370078740157483" bottom="0.39370078740157483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66"/>
  <sheetViews>
    <sheetView view="pageBreakPreview" zoomScaleNormal="100" zoomScaleSheetLayoutView="100" workbookViewId="0">
      <selection activeCell="A152" sqref="A152"/>
    </sheetView>
  </sheetViews>
  <sheetFormatPr defaultRowHeight="10.15" customHeight="1" x14ac:dyDescent="0.25"/>
  <cols>
    <col min="1" max="1" width="64.28515625" style="665" customWidth="1"/>
    <col min="2" max="2" width="5.85546875" style="666" customWidth="1"/>
    <col min="3" max="4" width="11.7109375" style="666" customWidth="1"/>
    <col min="5" max="5" width="12.7109375" style="666" customWidth="1"/>
    <col min="6" max="6" width="12.28515625" style="666" customWidth="1"/>
    <col min="7" max="7" width="12.42578125" style="666" customWidth="1"/>
    <col min="8" max="8" width="8.140625" style="666" customWidth="1"/>
    <col min="9" max="14" width="8" style="666" customWidth="1"/>
    <col min="15" max="16384" width="9.140625" style="666"/>
  </cols>
  <sheetData>
    <row r="1" spans="1:10" ht="15" x14ac:dyDescent="0.25"/>
    <row r="2" spans="1:10" customFormat="1" ht="15" x14ac:dyDescent="0.25">
      <c r="A2" s="1846" t="s">
        <v>0</v>
      </c>
      <c r="B2" s="1846"/>
      <c r="C2" s="1846"/>
      <c r="D2" s="1846"/>
      <c r="E2" s="1846"/>
      <c r="F2" s="1846"/>
      <c r="G2" s="1846"/>
      <c r="H2" s="1846"/>
    </row>
    <row r="3" spans="1:10" customFormat="1" ht="15" x14ac:dyDescent="0.25">
      <c r="I3" s="667"/>
      <c r="J3" s="667"/>
    </row>
    <row r="4" spans="1:10" customFormat="1" ht="13.15" customHeight="1" x14ac:dyDescent="0.25">
      <c r="A4" s="1847" t="s">
        <v>1</v>
      </c>
      <c r="B4" s="1850" t="s">
        <v>2</v>
      </c>
      <c r="C4" s="1850" t="s">
        <v>10</v>
      </c>
      <c r="D4" s="1850" t="s">
        <v>11</v>
      </c>
      <c r="E4" s="1853" t="s">
        <v>3</v>
      </c>
      <c r="F4" s="1854"/>
      <c r="G4" s="1854"/>
      <c r="H4" s="1855"/>
      <c r="I4" s="667"/>
      <c r="J4" s="667"/>
    </row>
    <row r="5" spans="1:10" customFormat="1" ht="21.6" customHeight="1" x14ac:dyDescent="0.25">
      <c r="A5" s="1848"/>
      <c r="B5" s="1851"/>
      <c r="C5" s="1851"/>
      <c r="D5" s="1851"/>
      <c r="E5" s="1049" t="s">
        <v>1065</v>
      </c>
      <c r="F5" s="1049" t="s">
        <v>1534</v>
      </c>
      <c r="G5" s="1049" t="s">
        <v>2070</v>
      </c>
      <c r="H5" s="1856" t="s">
        <v>4</v>
      </c>
      <c r="I5" s="667"/>
      <c r="J5" s="667"/>
    </row>
    <row r="6" spans="1:10" customFormat="1" ht="22.5" customHeight="1" x14ac:dyDescent="0.25">
      <c r="A6" s="1849"/>
      <c r="B6" s="1852"/>
      <c r="C6" s="1852"/>
      <c r="D6" s="1852"/>
      <c r="E6" s="668" t="s">
        <v>528</v>
      </c>
      <c r="F6" s="668" t="s">
        <v>529</v>
      </c>
      <c r="G6" s="668" t="s">
        <v>530</v>
      </c>
      <c r="H6" s="1857"/>
      <c r="I6" s="667"/>
      <c r="J6" s="667"/>
    </row>
    <row r="7" spans="1:10" customFormat="1" ht="11.25" customHeight="1" thickBot="1" x14ac:dyDescent="0.3">
      <c r="A7" s="669" t="s">
        <v>244</v>
      </c>
      <c r="B7" s="670" t="s">
        <v>281</v>
      </c>
      <c r="C7" s="670" t="s">
        <v>531</v>
      </c>
      <c r="D7" s="670" t="s">
        <v>219</v>
      </c>
      <c r="E7" s="670" t="s">
        <v>362</v>
      </c>
      <c r="F7" s="670" t="s">
        <v>532</v>
      </c>
      <c r="G7" s="670" t="s">
        <v>533</v>
      </c>
      <c r="H7" s="671" t="s">
        <v>534</v>
      </c>
      <c r="I7" s="672"/>
      <c r="J7" s="667"/>
    </row>
    <row r="8" spans="1:10" customFormat="1" ht="15" x14ac:dyDescent="0.25">
      <c r="A8" s="1553" t="s">
        <v>12</v>
      </c>
      <c r="B8" s="876" t="s">
        <v>13</v>
      </c>
      <c r="C8" s="877" t="s">
        <v>5</v>
      </c>
      <c r="D8" s="877" t="s">
        <v>5</v>
      </c>
      <c r="E8" s="878">
        <v>15439300.439999999</v>
      </c>
      <c r="F8" s="878">
        <v>0</v>
      </c>
      <c r="G8" s="878">
        <v>0</v>
      </c>
      <c r="H8" s="879"/>
    </row>
    <row r="9" spans="1:10" customFormat="1" ht="15" x14ac:dyDescent="0.25">
      <c r="A9" s="1553" t="s">
        <v>15</v>
      </c>
      <c r="B9" s="1824" t="s">
        <v>14</v>
      </c>
      <c r="C9" s="1554" t="s">
        <v>5</v>
      </c>
      <c r="D9" s="1554" t="s">
        <v>5</v>
      </c>
      <c r="E9" s="1555">
        <v>0</v>
      </c>
      <c r="F9" s="1555">
        <v>0</v>
      </c>
      <c r="G9" s="1555">
        <v>0</v>
      </c>
      <c r="H9" s="880"/>
    </row>
    <row r="10" spans="1:10" customFormat="1" ht="15" x14ac:dyDescent="0.25">
      <c r="A10" s="1825" t="s">
        <v>6</v>
      </c>
      <c r="B10" s="881" t="s">
        <v>535</v>
      </c>
      <c r="C10" s="1556" t="s">
        <v>495</v>
      </c>
      <c r="D10" s="1557" t="s">
        <v>495</v>
      </c>
      <c r="E10" s="1555">
        <v>424539701.73000002</v>
      </c>
      <c r="F10" s="1555">
        <v>434656785.29000002</v>
      </c>
      <c r="G10" s="1555">
        <v>449928824.36000001</v>
      </c>
      <c r="H10" s="880">
        <v>0</v>
      </c>
    </row>
    <row r="11" spans="1:10" customFormat="1" ht="15" x14ac:dyDescent="0.25">
      <c r="A11" s="1558" t="s">
        <v>952</v>
      </c>
      <c r="B11" s="882" t="s">
        <v>953</v>
      </c>
      <c r="C11" s="1557" t="s">
        <v>954</v>
      </c>
      <c r="D11" s="1557" t="s">
        <v>495</v>
      </c>
      <c r="E11" s="1559">
        <v>0</v>
      </c>
      <c r="F11" s="1559">
        <v>0</v>
      </c>
      <c r="G11" s="1559">
        <v>0</v>
      </c>
      <c r="H11" s="880">
        <v>0</v>
      </c>
    </row>
    <row r="12" spans="1:10" customFormat="1" ht="15" x14ac:dyDescent="0.25">
      <c r="A12" s="1558" t="s">
        <v>1346</v>
      </c>
      <c r="B12" s="882" t="s">
        <v>956</v>
      </c>
      <c r="C12" s="1557" t="s">
        <v>495</v>
      </c>
      <c r="D12" s="1557" t="s">
        <v>495</v>
      </c>
      <c r="E12" s="1559">
        <v>0</v>
      </c>
      <c r="F12" s="1559">
        <v>0</v>
      </c>
      <c r="G12" s="1559">
        <v>0</v>
      </c>
      <c r="H12" s="880">
        <v>0</v>
      </c>
    </row>
    <row r="13" spans="1:10" customFormat="1" ht="15" x14ac:dyDescent="0.25">
      <c r="A13" s="1558" t="s">
        <v>955</v>
      </c>
      <c r="B13" s="882" t="s">
        <v>2071</v>
      </c>
      <c r="C13" s="1557" t="s">
        <v>954</v>
      </c>
      <c r="D13" s="1557" t="s">
        <v>495</v>
      </c>
      <c r="E13" s="1559">
        <v>0</v>
      </c>
      <c r="F13" s="1559">
        <v>0</v>
      </c>
      <c r="G13" s="1559">
        <v>0</v>
      </c>
      <c r="H13" s="880">
        <v>0</v>
      </c>
    </row>
    <row r="14" spans="1:10" customFormat="1" ht="15" x14ac:dyDescent="0.25">
      <c r="A14" s="1558" t="s">
        <v>957</v>
      </c>
      <c r="B14" s="882" t="s">
        <v>536</v>
      </c>
      <c r="C14" s="1557" t="s">
        <v>537</v>
      </c>
      <c r="D14" s="1557" t="s">
        <v>495</v>
      </c>
      <c r="E14" s="1559">
        <v>407478040.63</v>
      </c>
      <c r="F14" s="1559">
        <v>420054274.43000001</v>
      </c>
      <c r="G14" s="1559">
        <v>435082978.01999998</v>
      </c>
      <c r="H14" s="880">
        <v>0</v>
      </c>
    </row>
    <row r="15" spans="1:10" customFormat="1" ht="34.5" x14ac:dyDescent="0.25">
      <c r="A15" s="1558" t="s">
        <v>958</v>
      </c>
      <c r="B15" s="882" t="s">
        <v>538</v>
      </c>
      <c r="C15" s="1557" t="s">
        <v>537</v>
      </c>
      <c r="D15" s="1557" t="s">
        <v>495</v>
      </c>
      <c r="E15" s="1559">
        <v>391884218.75999999</v>
      </c>
      <c r="F15" s="1559">
        <v>420054274.43000001</v>
      </c>
      <c r="G15" s="1559">
        <v>435082978.01999998</v>
      </c>
      <c r="H15" s="880">
        <v>0</v>
      </c>
    </row>
    <row r="16" spans="1:10" customFormat="1" ht="15" x14ac:dyDescent="0.25">
      <c r="A16" s="1558" t="s">
        <v>959</v>
      </c>
      <c r="B16" s="882" t="s">
        <v>539</v>
      </c>
      <c r="C16" s="1557" t="s">
        <v>537</v>
      </c>
      <c r="D16" s="1557" t="s">
        <v>495</v>
      </c>
      <c r="E16" s="1559">
        <v>15593821.869999999</v>
      </c>
      <c r="F16" s="1559">
        <v>0</v>
      </c>
      <c r="G16" s="1559">
        <v>0</v>
      </c>
      <c r="H16" s="880">
        <v>0</v>
      </c>
    </row>
    <row r="17" spans="1:8" customFormat="1" ht="15" x14ac:dyDescent="0.25">
      <c r="A17" s="1558" t="s">
        <v>960</v>
      </c>
      <c r="B17" s="882" t="s">
        <v>961</v>
      </c>
      <c r="C17" s="1557" t="s">
        <v>617</v>
      </c>
      <c r="D17" s="1557" t="s">
        <v>495</v>
      </c>
      <c r="E17" s="1559">
        <v>0</v>
      </c>
      <c r="F17" s="1559">
        <v>0</v>
      </c>
      <c r="G17" s="1559">
        <v>0</v>
      </c>
      <c r="H17" s="880">
        <v>0</v>
      </c>
    </row>
    <row r="18" spans="1:8" customFormat="1" ht="15" x14ac:dyDescent="0.25">
      <c r="A18" s="1558" t="s">
        <v>1346</v>
      </c>
      <c r="B18" s="882" t="s">
        <v>963</v>
      </c>
      <c r="C18" s="1557" t="s">
        <v>617</v>
      </c>
      <c r="D18" s="1557" t="s">
        <v>495</v>
      </c>
      <c r="E18" s="1559">
        <v>0</v>
      </c>
      <c r="F18" s="1559">
        <v>0</v>
      </c>
      <c r="G18" s="1559">
        <v>0</v>
      </c>
      <c r="H18" s="880">
        <v>0</v>
      </c>
    </row>
    <row r="19" spans="1:8" customFormat="1" ht="15" x14ac:dyDescent="0.25">
      <c r="A19" s="1558" t="s">
        <v>962</v>
      </c>
      <c r="B19" s="882" t="s">
        <v>2072</v>
      </c>
      <c r="C19" s="1557" t="s">
        <v>617</v>
      </c>
      <c r="D19" s="1557" t="s">
        <v>495</v>
      </c>
      <c r="E19" s="1559">
        <v>0</v>
      </c>
      <c r="F19" s="1559">
        <v>0</v>
      </c>
      <c r="G19" s="1559">
        <v>0</v>
      </c>
      <c r="H19" s="880">
        <v>0</v>
      </c>
    </row>
    <row r="20" spans="1:8" customFormat="1" ht="15" x14ac:dyDescent="0.25">
      <c r="A20" s="1558" t="s">
        <v>540</v>
      </c>
      <c r="B20" s="882" t="s">
        <v>541</v>
      </c>
      <c r="C20" s="1557" t="s">
        <v>542</v>
      </c>
      <c r="D20" s="1557" t="s">
        <v>495</v>
      </c>
      <c r="E20" s="1559">
        <v>17058755.780000001</v>
      </c>
      <c r="F20" s="1559">
        <v>14602510.859999999</v>
      </c>
      <c r="G20" s="1559">
        <v>14845846.34</v>
      </c>
      <c r="H20" s="880">
        <v>0</v>
      </c>
    </row>
    <row r="21" spans="1:8" customFormat="1" ht="15" x14ac:dyDescent="0.25">
      <c r="A21" s="1558" t="s">
        <v>544</v>
      </c>
      <c r="B21" s="882" t="s">
        <v>543</v>
      </c>
      <c r="C21" s="1557" t="s">
        <v>542</v>
      </c>
      <c r="D21" s="1557" t="s">
        <v>495</v>
      </c>
      <c r="E21" s="1559">
        <v>17058755.780000001</v>
      </c>
      <c r="F21" s="1559">
        <v>14602510.859999999</v>
      </c>
      <c r="G21" s="1559">
        <v>14845846.34</v>
      </c>
      <c r="H21" s="880">
        <v>0</v>
      </c>
    </row>
    <row r="22" spans="1:8" customFormat="1" ht="15" x14ac:dyDescent="0.25">
      <c r="A22" s="1558" t="s">
        <v>964</v>
      </c>
      <c r="B22" s="882" t="s">
        <v>965</v>
      </c>
      <c r="C22" s="1557" t="s">
        <v>542</v>
      </c>
      <c r="D22" s="1557" t="s">
        <v>495</v>
      </c>
      <c r="E22" s="1559">
        <v>0</v>
      </c>
      <c r="F22" s="1559">
        <v>0</v>
      </c>
      <c r="G22" s="1559">
        <v>0</v>
      </c>
      <c r="H22" s="880">
        <v>0</v>
      </c>
    </row>
    <row r="23" spans="1:8" customFormat="1" ht="15" x14ac:dyDescent="0.25">
      <c r="A23" s="1558" t="s">
        <v>1342</v>
      </c>
      <c r="B23" s="882" t="s">
        <v>1343</v>
      </c>
      <c r="C23" s="1557" t="s">
        <v>542</v>
      </c>
      <c r="D23" s="1557" t="s">
        <v>495</v>
      </c>
      <c r="E23" s="1559">
        <v>0</v>
      </c>
      <c r="F23" s="1559">
        <v>0</v>
      </c>
      <c r="G23" s="1559">
        <v>0</v>
      </c>
      <c r="H23" s="880">
        <v>0</v>
      </c>
    </row>
    <row r="24" spans="1:8" customFormat="1" ht="15" x14ac:dyDescent="0.25">
      <c r="A24" s="1558" t="s">
        <v>967</v>
      </c>
      <c r="B24" s="882" t="s">
        <v>968</v>
      </c>
      <c r="C24" s="1557" t="s">
        <v>600</v>
      </c>
      <c r="D24" s="1557" t="s">
        <v>495</v>
      </c>
      <c r="E24" s="1559">
        <v>0</v>
      </c>
      <c r="F24" s="1559">
        <v>0</v>
      </c>
      <c r="G24" s="1559">
        <v>0</v>
      </c>
      <c r="H24" s="880">
        <v>0</v>
      </c>
    </row>
    <row r="25" spans="1:8" customFormat="1" ht="15" x14ac:dyDescent="0.25">
      <c r="A25" s="1558" t="s">
        <v>959</v>
      </c>
      <c r="B25" s="882" t="s">
        <v>2073</v>
      </c>
      <c r="C25" s="1557" t="s">
        <v>600</v>
      </c>
      <c r="D25" s="1557" t="s">
        <v>495</v>
      </c>
      <c r="E25" s="1559">
        <v>0</v>
      </c>
      <c r="F25" s="1559">
        <v>0</v>
      </c>
      <c r="G25" s="1559">
        <v>0</v>
      </c>
      <c r="H25" s="880">
        <v>0</v>
      </c>
    </row>
    <row r="26" spans="1:8" customFormat="1" ht="15" x14ac:dyDescent="0.25">
      <c r="A26" s="1558" t="s">
        <v>545</v>
      </c>
      <c r="B26" s="882" t="s">
        <v>546</v>
      </c>
      <c r="C26" s="1557" t="s">
        <v>495</v>
      </c>
      <c r="D26" s="1557" t="s">
        <v>495</v>
      </c>
      <c r="E26" s="1559">
        <v>2905.32</v>
      </c>
      <c r="F26" s="1559">
        <v>0</v>
      </c>
      <c r="G26" s="1559">
        <v>0</v>
      </c>
      <c r="H26" s="880">
        <v>0</v>
      </c>
    </row>
    <row r="27" spans="1:8" customFormat="1" ht="15" x14ac:dyDescent="0.25">
      <c r="A27" s="1558" t="s">
        <v>2074</v>
      </c>
      <c r="B27" s="882" t="s">
        <v>969</v>
      </c>
      <c r="C27" s="1557" t="s">
        <v>1347</v>
      </c>
      <c r="D27" s="1557" t="s">
        <v>495</v>
      </c>
      <c r="E27" s="1559">
        <v>0</v>
      </c>
      <c r="F27" s="1559">
        <v>0</v>
      </c>
      <c r="G27" s="1559">
        <v>0</v>
      </c>
      <c r="H27" s="880">
        <v>0</v>
      </c>
    </row>
    <row r="28" spans="1:8" customFormat="1" ht="15" x14ac:dyDescent="0.25">
      <c r="A28" s="1558" t="s">
        <v>2074</v>
      </c>
      <c r="B28" s="882" t="s">
        <v>1348</v>
      </c>
      <c r="C28" s="1557" t="s">
        <v>970</v>
      </c>
      <c r="D28" s="1557" t="s">
        <v>495</v>
      </c>
      <c r="E28" s="1559">
        <v>0</v>
      </c>
      <c r="F28" s="1559">
        <v>0</v>
      </c>
      <c r="G28" s="1559">
        <v>0</v>
      </c>
      <c r="H28" s="880">
        <v>0</v>
      </c>
    </row>
    <row r="29" spans="1:8" customFormat="1" ht="15" x14ac:dyDescent="0.25">
      <c r="A29" s="1558" t="s">
        <v>547</v>
      </c>
      <c r="B29" s="882" t="s">
        <v>548</v>
      </c>
      <c r="C29" s="1557" t="s">
        <v>495</v>
      </c>
      <c r="D29" s="1557" t="s">
        <v>495</v>
      </c>
      <c r="E29" s="1559">
        <v>2905.32</v>
      </c>
      <c r="F29" s="1559">
        <v>0</v>
      </c>
      <c r="G29" s="1559">
        <v>0</v>
      </c>
      <c r="H29" s="880">
        <v>0</v>
      </c>
    </row>
    <row r="30" spans="1:8" customFormat="1" ht="23.25" x14ac:dyDescent="0.25">
      <c r="A30" s="1558" t="s">
        <v>549</v>
      </c>
      <c r="B30" s="882" t="s">
        <v>550</v>
      </c>
      <c r="C30" s="1557" t="s">
        <v>551</v>
      </c>
      <c r="D30" s="1557" t="s">
        <v>495</v>
      </c>
      <c r="E30" s="1559">
        <v>2905.32</v>
      </c>
      <c r="F30" s="1559">
        <v>0</v>
      </c>
      <c r="G30" s="1559">
        <v>0</v>
      </c>
      <c r="H30" s="880">
        <v>0</v>
      </c>
    </row>
    <row r="31" spans="1:8" customFormat="1" ht="34.5" x14ac:dyDescent="0.25">
      <c r="A31" s="1558" t="s">
        <v>2075</v>
      </c>
      <c r="B31" s="882" t="s">
        <v>971</v>
      </c>
      <c r="C31" s="1557" t="s">
        <v>551</v>
      </c>
      <c r="D31" s="1557" t="s">
        <v>495</v>
      </c>
      <c r="E31" s="1559">
        <v>0</v>
      </c>
      <c r="F31" s="1559">
        <v>0</v>
      </c>
      <c r="G31" s="1559">
        <v>0</v>
      </c>
      <c r="H31" s="880">
        <v>0</v>
      </c>
    </row>
    <row r="32" spans="1:8" customFormat="1" ht="15" x14ac:dyDescent="0.25">
      <c r="A32" s="1825" t="s">
        <v>7</v>
      </c>
      <c r="B32" s="881" t="s">
        <v>552</v>
      </c>
      <c r="C32" s="1556" t="s">
        <v>495</v>
      </c>
      <c r="D32" s="1557" t="s">
        <v>495</v>
      </c>
      <c r="E32" s="1555">
        <v>439976096.85000002</v>
      </c>
      <c r="F32" s="1555">
        <v>434656785.29000002</v>
      </c>
      <c r="G32" s="1555">
        <v>449928824.36000001</v>
      </c>
      <c r="H32" s="880">
        <v>0</v>
      </c>
    </row>
    <row r="33" spans="1:8" customFormat="1" ht="15" x14ac:dyDescent="0.25">
      <c r="A33" s="1558" t="s">
        <v>2076</v>
      </c>
      <c r="B33" s="882" t="s">
        <v>553</v>
      </c>
      <c r="C33" s="1557" t="s">
        <v>495</v>
      </c>
      <c r="D33" s="1557" t="s">
        <v>495</v>
      </c>
      <c r="E33" s="1559">
        <v>258699601.56999999</v>
      </c>
      <c r="F33" s="1559">
        <v>296187972.29000002</v>
      </c>
      <c r="G33" s="1559">
        <v>307719893.31</v>
      </c>
      <c r="H33" s="880">
        <v>0</v>
      </c>
    </row>
    <row r="34" spans="1:8" customFormat="1" ht="15" x14ac:dyDescent="0.25">
      <c r="A34" s="1558" t="s">
        <v>2077</v>
      </c>
      <c r="B34" s="882" t="s">
        <v>554</v>
      </c>
      <c r="C34" s="1557" t="s">
        <v>146</v>
      </c>
      <c r="D34" s="1557" t="s">
        <v>555</v>
      </c>
      <c r="E34" s="1559">
        <v>252419544.38999999</v>
      </c>
      <c r="F34" s="1559">
        <v>291795527.68000001</v>
      </c>
      <c r="G34" s="1559">
        <v>303524280.41000003</v>
      </c>
      <c r="H34" s="880">
        <v>0</v>
      </c>
    </row>
    <row r="35" spans="1:8" customFormat="1" ht="15" x14ac:dyDescent="0.25">
      <c r="A35" s="1558" t="s">
        <v>2077</v>
      </c>
      <c r="B35" s="882" t="s">
        <v>554</v>
      </c>
      <c r="C35" s="1557" t="s">
        <v>146</v>
      </c>
      <c r="D35" s="1557" t="s">
        <v>434</v>
      </c>
      <c r="E35" s="1559">
        <v>1078607.9099999999</v>
      </c>
      <c r="F35" s="1559">
        <v>1078607.9099999999</v>
      </c>
      <c r="G35" s="1559">
        <v>1078607.9099999999</v>
      </c>
      <c r="H35" s="880">
        <v>0</v>
      </c>
    </row>
    <row r="36" spans="1:8" customFormat="1" ht="15" x14ac:dyDescent="0.25">
      <c r="A36" s="1558" t="s">
        <v>557</v>
      </c>
      <c r="B36" s="882" t="s">
        <v>556</v>
      </c>
      <c r="C36" s="1557" t="s">
        <v>149</v>
      </c>
      <c r="D36" s="1557" t="s">
        <v>558</v>
      </c>
      <c r="E36" s="1559">
        <v>47500</v>
      </c>
      <c r="F36" s="1559">
        <v>0</v>
      </c>
      <c r="G36" s="1559">
        <v>0</v>
      </c>
      <c r="H36" s="880">
        <v>0</v>
      </c>
    </row>
    <row r="37" spans="1:8" customFormat="1" ht="15" x14ac:dyDescent="0.25">
      <c r="A37" s="1558" t="s">
        <v>557</v>
      </c>
      <c r="B37" s="882" t="s">
        <v>556</v>
      </c>
      <c r="C37" s="1557" t="s">
        <v>149</v>
      </c>
      <c r="D37" s="1557" t="s">
        <v>559</v>
      </c>
      <c r="E37" s="1559">
        <v>4821508.17</v>
      </c>
      <c r="F37" s="1559">
        <v>3233395.6</v>
      </c>
      <c r="G37" s="1559">
        <v>3036563.89</v>
      </c>
      <c r="H37" s="880">
        <v>0</v>
      </c>
    </row>
    <row r="38" spans="1:8" customFormat="1" ht="15" x14ac:dyDescent="0.25">
      <c r="A38" s="1558" t="s">
        <v>557</v>
      </c>
      <c r="B38" s="882" t="s">
        <v>556</v>
      </c>
      <c r="C38" s="1557" t="s">
        <v>149</v>
      </c>
      <c r="D38" s="1557" t="s">
        <v>1005</v>
      </c>
      <c r="E38" s="1559">
        <v>0</v>
      </c>
      <c r="F38" s="1559">
        <v>0</v>
      </c>
      <c r="G38" s="1559">
        <v>0</v>
      </c>
      <c r="H38" s="880">
        <v>0</v>
      </c>
    </row>
    <row r="39" spans="1:8" customFormat="1" ht="15" x14ac:dyDescent="0.25">
      <c r="A39" s="1558" t="s">
        <v>557</v>
      </c>
      <c r="B39" s="882" t="s">
        <v>556</v>
      </c>
      <c r="C39" s="1557" t="s">
        <v>149</v>
      </c>
      <c r="D39" s="1557" t="s">
        <v>435</v>
      </c>
      <c r="E39" s="1559">
        <v>252000</v>
      </c>
      <c r="F39" s="1559">
        <v>0</v>
      </c>
      <c r="G39" s="1559">
        <v>0</v>
      </c>
      <c r="H39" s="880">
        <v>0</v>
      </c>
    </row>
    <row r="40" spans="1:8" customFormat="1" ht="15" x14ac:dyDescent="0.25">
      <c r="A40" s="1558" t="s">
        <v>557</v>
      </c>
      <c r="B40" s="882" t="s">
        <v>556</v>
      </c>
      <c r="C40" s="1557" t="s">
        <v>149</v>
      </c>
      <c r="D40" s="1557" t="s">
        <v>434</v>
      </c>
      <c r="E40" s="1559">
        <v>0</v>
      </c>
      <c r="F40" s="1559">
        <v>0</v>
      </c>
      <c r="G40" s="1559">
        <v>0</v>
      </c>
      <c r="H40" s="880">
        <v>0</v>
      </c>
    </row>
    <row r="41" spans="1:8" customFormat="1" ht="15" x14ac:dyDescent="0.25">
      <c r="A41" s="1558" t="s">
        <v>557</v>
      </c>
      <c r="B41" s="882" t="s">
        <v>556</v>
      </c>
      <c r="C41" s="1557" t="s">
        <v>149</v>
      </c>
      <c r="D41" s="1557" t="s">
        <v>462</v>
      </c>
      <c r="E41" s="1559">
        <v>80441.100000000006</v>
      </c>
      <c r="F41" s="1559">
        <v>80441.100000000006</v>
      </c>
      <c r="G41" s="1559">
        <v>80441.100000000006</v>
      </c>
      <c r="H41" s="880">
        <v>0</v>
      </c>
    </row>
    <row r="42" spans="1:8" customFormat="1" ht="23.25" x14ac:dyDescent="0.25">
      <c r="A42" s="1558" t="s">
        <v>972</v>
      </c>
      <c r="B42" s="882" t="s">
        <v>973</v>
      </c>
      <c r="C42" s="1557" t="s">
        <v>974</v>
      </c>
      <c r="D42" s="1557" t="s">
        <v>435</v>
      </c>
      <c r="E42" s="1559">
        <v>0</v>
      </c>
      <c r="F42" s="1559">
        <v>0</v>
      </c>
      <c r="G42" s="1559">
        <v>0</v>
      </c>
      <c r="H42" s="880">
        <v>0</v>
      </c>
    </row>
    <row r="43" spans="1:8" customFormat="1" ht="23.25" x14ac:dyDescent="0.25">
      <c r="A43" s="1558" t="s">
        <v>2078</v>
      </c>
      <c r="B43" s="882" t="s">
        <v>560</v>
      </c>
      <c r="C43" s="1557" t="s">
        <v>150</v>
      </c>
      <c r="D43" s="1557" t="s">
        <v>495</v>
      </c>
      <c r="E43" s="1559">
        <v>72306220.400000006</v>
      </c>
      <c r="F43" s="1559">
        <v>88287317.870000005</v>
      </c>
      <c r="G43" s="1559">
        <v>91823755.849999994</v>
      </c>
      <c r="H43" s="880">
        <v>0</v>
      </c>
    </row>
    <row r="44" spans="1:8" customFormat="1" ht="15" x14ac:dyDescent="0.25">
      <c r="A44" s="1558" t="s">
        <v>2079</v>
      </c>
      <c r="B44" s="882" t="s">
        <v>561</v>
      </c>
      <c r="C44" s="1557" t="s">
        <v>150</v>
      </c>
      <c r="D44" s="1557" t="s">
        <v>562</v>
      </c>
      <c r="E44" s="1559">
        <v>72066709.510000005</v>
      </c>
      <c r="F44" s="1559">
        <v>88122249.370000005</v>
      </c>
      <c r="G44" s="1559">
        <v>91664332.680000007</v>
      </c>
      <c r="H44" s="880">
        <v>0</v>
      </c>
    </row>
    <row r="45" spans="1:8" customFormat="1" ht="15" x14ac:dyDescent="0.25">
      <c r="A45" s="1558" t="s">
        <v>2079</v>
      </c>
      <c r="B45" s="882" t="s">
        <v>561</v>
      </c>
      <c r="C45" s="1557" t="s">
        <v>150</v>
      </c>
      <c r="D45" s="1557" t="s">
        <v>430</v>
      </c>
      <c r="E45" s="1559">
        <v>0</v>
      </c>
      <c r="F45" s="1559">
        <v>0</v>
      </c>
      <c r="G45" s="1559">
        <v>0</v>
      </c>
      <c r="H45" s="880">
        <v>0</v>
      </c>
    </row>
    <row r="46" spans="1:8" customFormat="1" ht="15" x14ac:dyDescent="0.25">
      <c r="A46" s="1558" t="s">
        <v>2079</v>
      </c>
      <c r="B46" s="882" t="s">
        <v>561</v>
      </c>
      <c r="C46" s="1557" t="s">
        <v>150</v>
      </c>
      <c r="D46" s="1557" t="s">
        <v>434</v>
      </c>
      <c r="E46" s="1559">
        <v>0</v>
      </c>
      <c r="F46" s="1559">
        <v>0</v>
      </c>
      <c r="G46" s="1559">
        <v>0</v>
      </c>
      <c r="H46" s="880">
        <v>0</v>
      </c>
    </row>
    <row r="47" spans="1:8" customFormat="1" ht="15" x14ac:dyDescent="0.25">
      <c r="A47" s="1558" t="s">
        <v>2080</v>
      </c>
      <c r="B47" s="882" t="s">
        <v>563</v>
      </c>
      <c r="C47" s="1557" t="s">
        <v>150</v>
      </c>
      <c r="D47" s="1557" t="s">
        <v>562</v>
      </c>
      <c r="E47" s="1559">
        <v>209781.68</v>
      </c>
      <c r="F47" s="1559">
        <v>140775.29</v>
      </c>
      <c r="G47" s="1559">
        <v>135129.96</v>
      </c>
      <c r="H47" s="880">
        <v>0</v>
      </c>
    </row>
    <row r="48" spans="1:8" customFormat="1" ht="15" x14ac:dyDescent="0.25">
      <c r="A48" s="1558" t="s">
        <v>2080</v>
      </c>
      <c r="B48" s="882" t="s">
        <v>563</v>
      </c>
      <c r="C48" s="1557" t="s">
        <v>150</v>
      </c>
      <c r="D48" s="1557" t="s">
        <v>435</v>
      </c>
      <c r="E48" s="1559">
        <v>5436</v>
      </c>
      <c r="F48" s="1559">
        <v>0</v>
      </c>
      <c r="G48" s="1559">
        <v>0</v>
      </c>
      <c r="H48" s="880">
        <v>0</v>
      </c>
    </row>
    <row r="49" spans="1:8" customFormat="1" ht="15" x14ac:dyDescent="0.25">
      <c r="A49" s="1558" t="s">
        <v>2080</v>
      </c>
      <c r="B49" s="882" t="s">
        <v>563</v>
      </c>
      <c r="C49" s="1557" t="s">
        <v>150</v>
      </c>
      <c r="D49" s="1557" t="s">
        <v>434</v>
      </c>
      <c r="E49" s="1559">
        <v>0</v>
      </c>
      <c r="F49" s="1559">
        <v>0</v>
      </c>
      <c r="G49" s="1559">
        <v>0</v>
      </c>
      <c r="H49" s="880">
        <v>0</v>
      </c>
    </row>
    <row r="50" spans="1:8" customFormat="1" ht="15" x14ac:dyDescent="0.25">
      <c r="A50" s="1558" t="s">
        <v>2080</v>
      </c>
      <c r="B50" s="882" t="s">
        <v>563</v>
      </c>
      <c r="C50" s="1557" t="s">
        <v>150</v>
      </c>
      <c r="D50" s="1557" t="s">
        <v>462</v>
      </c>
      <c r="E50" s="1559">
        <v>24293.21</v>
      </c>
      <c r="F50" s="1559">
        <v>24293.21</v>
      </c>
      <c r="G50" s="1559">
        <v>24293.21</v>
      </c>
      <c r="H50" s="880">
        <v>0</v>
      </c>
    </row>
    <row r="51" spans="1:8" customFormat="1" ht="15" x14ac:dyDescent="0.25">
      <c r="A51" s="1558" t="s">
        <v>564</v>
      </c>
      <c r="B51" s="882" t="s">
        <v>565</v>
      </c>
      <c r="C51" s="1557" t="s">
        <v>566</v>
      </c>
      <c r="D51" s="1557" t="s">
        <v>495</v>
      </c>
      <c r="E51" s="1559">
        <v>245948.76</v>
      </c>
      <c r="F51" s="1559">
        <v>48476.76</v>
      </c>
      <c r="G51" s="1559">
        <v>48476.76</v>
      </c>
      <c r="H51" s="880">
        <v>0</v>
      </c>
    </row>
    <row r="52" spans="1:8" customFormat="1" ht="23.25" x14ac:dyDescent="0.25">
      <c r="A52" s="1558" t="s">
        <v>567</v>
      </c>
      <c r="B52" s="882" t="s">
        <v>568</v>
      </c>
      <c r="C52" s="1557" t="s">
        <v>569</v>
      </c>
      <c r="D52" s="1557" t="s">
        <v>495</v>
      </c>
      <c r="E52" s="1559">
        <v>245948.76</v>
      </c>
      <c r="F52" s="1559">
        <v>48476.76</v>
      </c>
      <c r="G52" s="1559">
        <v>48476.76</v>
      </c>
      <c r="H52" s="880">
        <v>0</v>
      </c>
    </row>
    <row r="53" spans="1:8" customFormat="1" ht="23.25" x14ac:dyDescent="0.25">
      <c r="A53" s="1558" t="s">
        <v>570</v>
      </c>
      <c r="B53" s="882" t="s">
        <v>571</v>
      </c>
      <c r="C53" s="1557" t="s">
        <v>148</v>
      </c>
      <c r="D53" s="1557" t="s">
        <v>426</v>
      </c>
      <c r="E53" s="1559">
        <v>0</v>
      </c>
      <c r="F53" s="1559">
        <v>0</v>
      </c>
      <c r="G53" s="1559">
        <v>0</v>
      </c>
      <c r="H53" s="880">
        <v>0</v>
      </c>
    </row>
    <row r="54" spans="1:8" customFormat="1" ht="23.25" x14ac:dyDescent="0.25">
      <c r="A54" s="1558" t="s">
        <v>570</v>
      </c>
      <c r="B54" s="882" t="s">
        <v>571</v>
      </c>
      <c r="C54" s="1557" t="s">
        <v>148</v>
      </c>
      <c r="D54" s="1557" t="s">
        <v>572</v>
      </c>
      <c r="E54" s="1559">
        <v>245948.76</v>
      </c>
      <c r="F54" s="1559">
        <v>48476.76</v>
      </c>
      <c r="G54" s="1559">
        <v>48476.76</v>
      </c>
      <c r="H54" s="880">
        <v>0</v>
      </c>
    </row>
    <row r="55" spans="1:8" customFormat="1" ht="23.25" x14ac:dyDescent="0.25">
      <c r="A55" s="1558" t="s">
        <v>570</v>
      </c>
      <c r="B55" s="882" t="s">
        <v>571</v>
      </c>
      <c r="C55" s="1557" t="s">
        <v>148</v>
      </c>
      <c r="D55" s="1557" t="s">
        <v>430</v>
      </c>
      <c r="E55" s="1559">
        <v>0</v>
      </c>
      <c r="F55" s="1559">
        <v>0</v>
      </c>
      <c r="G55" s="1559">
        <v>0</v>
      </c>
      <c r="H55" s="880">
        <v>0</v>
      </c>
    </row>
    <row r="56" spans="1:8" customFormat="1" ht="23.25" x14ac:dyDescent="0.25">
      <c r="A56" s="1558" t="s">
        <v>570</v>
      </c>
      <c r="B56" s="882" t="s">
        <v>573</v>
      </c>
      <c r="C56" s="1557" t="s">
        <v>574</v>
      </c>
      <c r="D56" s="1557" t="s">
        <v>426</v>
      </c>
      <c r="E56" s="1559">
        <v>0</v>
      </c>
      <c r="F56" s="1559">
        <v>0</v>
      </c>
      <c r="G56" s="1559">
        <v>0</v>
      </c>
      <c r="H56" s="880">
        <v>0</v>
      </c>
    </row>
    <row r="57" spans="1:8" customFormat="1" ht="23.25" x14ac:dyDescent="0.25">
      <c r="A57" s="1558" t="s">
        <v>975</v>
      </c>
      <c r="B57" s="882" t="s">
        <v>976</v>
      </c>
      <c r="C57" s="1557" t="s">
        <v>448</v>
      </c>
      <c r="D57" s="1557" t="s">
        <v>495</v>
      </c>
      <c r="E57" s="1559">
        <v>0</v>
      </c>
      <c r="F57" s="1559">
        <v>0</v>
      </c>
      <c r="G57" s="1559">
        <v>0</v>
      </c>
      <c r="H57" s="880">
        <v>0</v>
      </c>
    </row>
    <row r="58" spans="1:8" customFormat="1" ht="34.5" x14ac:dyDescent="0.25">
      <c r="A58" s="1558" t="s">
        <v>977</v>
      </c>
      <c r="B58" s="882" t="s">
        <v>978</v>
      </c>
      <c r="C58" s="1557" t="s">
        <v>979</v>
      </c>
      <c r="D58" s="1557" t="s">
        <v>495</v>
      </c>
      <c r="E58" s="1559">
        <v>0</v>
      </c>
      <c r="F58" s="1559">
        <v>0</v>
      </c>
      <c r="G58" s="1559">
        <v>0</v>
      </c>
      <c r="H58" s="880">
        <v>0</v>
      </c>
    </row>
    <row r="59" spans="1:8" customFormat="1" ht="15" x14ac:dyDescent="0.25">
      <c r="A59" s="1558" t="s">
        <v>980</v>
      </c>
      <c r="B59" s="882" t="s">
        <v>981</v>
      </c>
      <c r="C59" s="1557" t="s">
        <v>982</v>
      </c>
      <c r="D59" s="1557" t="s">
        <v>495</v>
      </c>
      <c r="E59" s="1559">
        <v>0</v>
      </c>
      <c r="F59" s="1559">
        <v>0</v>
      </c>
      <c r="G59" s="1559">
        <v>0</v>
      </c>
      <c r="H59" s="880">
        <v>0</v>
      </c>
    </row>
    <row r="60" spans="1:8" customFormat="1" ht="15" x14ac:dyDescent="0.25">
      <c r="A60" s="1558" t="s">
        <v>575</v>
      </c>
      <c r="B60" s="882" t="s">
        <v>576</v>
      </c>
      <c r="C60" s="1557" t="s">
        <v>577</v>
      </c>
      <c r="D60" s="1557" t="s">
        <v>495</v>
      </c>
      <c r="E60" s="1559">
        <v>19978284</v>
      </c>
      <c r="F60" s="1559">
        <v>19972284</v>
      </c>
      <c r="G60" s="1559">
        <v>19972284</v>
      </c>
      <c r="H60" s="880">
        <v>0</v>
      </c>
    </row>
    <row r="61" spans="1:8" customFormat="1" ht="15" x14ac:dyDescent="0.25">
      <c r="A61" s="1558" t="s">
        <v>578</v>
      </c>
      <c r="B61" s="882" t="s">
        <v>579</v>
      </c>
      <c r="C61" s="1557" t="s">
        <v>151</v>
      </c>
      <c r="D61" s="1557" t="s">
        <v>580</v>
      </c>
      <c r="E61" s="1559">
        <v>19972284</v>
      </c>
      <c r="F61" s="1559">
        <v>19972284</v>
      </c>
      <c r="G61" s="1559">
        <v>19972284</v>
      </c>
      <c r="H61" s="880">
        <v>0</v>
      </c>
    </row>
    <row r="62" spans="1:8" customFormat="1" ht="23.25" x14ac:dyDescent="0.25">
      <c r="A62" s="1558" t="s">
        <v>581</v>
      </c>
      <c r="B62" s="882" t="s">
        <v>582</v>
      </c>
      <c r="C62" s="1557" t="s">
        <v>292</v>
      </c>
      <c r="D62" s="1557" t="s">
        <v>580</v>
      </c>
      <c r="E62" s="1559">
        <v>0</v>
      </c>
      <c r="F62" s="1559">
        <v>0</v>
      </c>
      <c r="G62" s="1559">
        <v>0</v>
      </c>
      <c r="H62" s="880">
        <v>0</v>
      </c>
    </row>
    <row r="63" spans="1:8" customFormat="1" ht="15" x14ac:dyDescent="0.25">
      <c r="A63" s="1558" t="s">
        <v>583</v>
      </c>
      <c r="B63" s="882" t="s">
        <v>584</v>
      </c>
      <c r="C63" s="1557" t="s">
        <v>585</v>
      </c>
      <c r="D63" s="1557" t="s">
        <v>589</v>
      </c>
      <c r="E63" s="1559">
        <v>500</v>
      </c>
      <c r="F63" s="1559">
        <v>0</v>
      </c>
      <c r="G63" s="1559">
        <v>0</v>
      </c>
      <c r="H63" s="880">
        <v>0</v>
      </c>
    </row>
    <row r="64" spans="1:8" customFormat="1" ht="15" x14ac:dyDescent="0.25">
      <c r="A64" s="1558" t="s">
        <v>583</v>
      </c>
      <c r="B64" s="882" t="s">
        <v>584</v>
      </c>
      <c r="C64" s="1557" t="s">
        <v>585</v>
      </c>
      <c r="D64" s="1557" t="s">
        <v>586</v>
      </c>
      <c r="E64" s="1559">
        <v>500</v>
      </c>
      <c r="F64" s="1559">
        <v>0</v>
      </c>
      <c r="G64" s="1559">
        <v>0</v>
      </c>
      <c r="H64" s="880">
        <v>0</v>
      </c>
    </row>
    <row r="65" spans="1:8" customFormat="1" ht="15" x14ac:dyDescent="0.25">
      <c r="A65" s="1558" t="s">
        <v>583</v>
      </c>
      <c r="B65" s="882" t="s">
        <v>584</v>
      </c>
      <c r="C65" s="1557" t="s">
        <v>585</v>
      </c>
      <c r="D65" s="1557" t="s">
        <v>587</v>
      </c>
      <c r="E65" s="1559">
        <v>0</v>
      </c>
      <c r="F65" s="1559">
        <v>0</v>
      </c>
      <c r="G65" s="1559">
        <v>0</v>
      </c>
      <c r="H65" s="880">
        <v>0</v>
      </c>
    </row>
    <row r="66" spans="1:8" customFormat="1" ht="15" x14ac:dyDescent="0.25">
      <c r="A66" s="1558" t="s">
        <v>583</v>
      </c>
      <c r="B66" s="882" t="s">
        <v>584</v>
      </c>
      <c r="C66" s="1557" t="s">
        <v>585</v>
      </c>
      <c r="D66" s="1557" t="s">
        <v>588</v>
      </c>
      <c r="E66" s="1559">
        <v>5000</v>
      </c>
      <c r="F66" s="1559">
        <v>0</v>
      </c>
      <c r="G66" s="1559">
        <v>0</v>
      </c>
      <c r="H66" s="880">
        <v>0</v>
      </c>
    </row>
    <row r="67" spans="1:8" customFormat="1" ht="15" x14ac:dyDescent="0.25">
      <c r="A67" s="1558" t="s">
        <v>583</v>
      </c>
      <c r="B67" s="882" t="s">
        <v>584</v>
      </c>
      <c r="C67" s="1557" t="s">
        <v>585</v>
      </c>
      <c r="D67" s="1557" t="s">
        <v>984</v>
      </c>
      <c r="E67" s="1559">
        <v>0</v>
      </c>
      <c r="F67" s="1559">
        <v>0</v>
      </c>
      <c r="G67" s="1559">
        <v>0</v>
      </c>
      <c r="H67" s="880">
        <v>0</v>
      </c>
    </row>
    <row r="68" spans="1:8" customFormat="1" ht="15" x14ac:dyDescent="0.25">
      <c r="A68" s="1558" t="s">
        <v>2081</v>
      </c>
      <c r="B68" s="882" t="s">
        <v>590</v>
      </c>
      <c r="C68" s="1557" t="s">
        <v>495</v>
      </c>
      <c r="D68" s="1557" t="s">
        <v>495</v>
      </c>
      <c r="E68" s="1559">
        <v>0</v>
      </c>
      <c r="F68" s="1559">
        <v>0</v>
      </c>
      <c r="G68" s="1559">
        <v>0</v>
      </c>
      <c r="H68" s="880">
        <v>0</v>
      </c>
    </row>
    <row r="69" spans="1:8" customFormat="1" ht="15" x14ac:dyDescent="0.25">
      <c r="A69" s="1558" t="s">
        <v>985</v>
      </c>
      <c r="B69" s="882" t="s">
        <v>986</v>
      </c>
      <c r="C69" s="1557" t="s">
        <v>987</v>
      </c>
      <c r="D69" s="1557" t="s">
        <v>495</v>
      </c>
      <c r="E69" s="1559">
        <v>0</v>
      </c>
      <c r="F69" s="1559">
        <v>0</v>
      </c>
      <c r="G69" s="1559">
        <v>0</v>
      </c>
      <c r="H69" s="880">
        <v>0</v>
      </c>
    </row>
    <row r="70" spans="1:8" customFormat="1" ht="15" x14ac:dyDescent="0.25">
      <c r="A70" s="1558" t="s">
        <v>988</v>
      </c>
      <c r="B70" s="882" t="s">
        <v>592</v>
      </c>
      <c r="C70" s="1557" t="s">
        <v>989</v>
      </c>
      <c r="D70" s="1557" t="s">
        <v>495</v>
      </c>
      <c r="E70" s="1559">
        <v>0</v>
      </c>
      <c r="F70" s="1559">
        <v>0</v>
      </c>
      <c r="G70" s="1559">
        <v>0</v>
      </c>
      <c r="H70" s="880">
        <v>0</v>
      </c>
    </row>
    <row r="71" spans="1:8" customFormat="1" ht="23.25" x14ac:dyDescent="0.25">
      <c r="A71" s="1558" t="s">
        <v>1066</v>
      </c>
      <c r="B71" s="882" t="s">
        <v>990</v>
      </c>
      <c r="C71" s="1557" t="s">
        <v>991</v>
      </c>
      <c r="D71" s="1557" t="s">
        <v>495</v>
      </c>
      <c r="E71" s="1559">
        <v>0</v>
      </c>
      <c r="F71" s="1559">
        <v>0</v>
      </c>
      <c r="G71" s="1559">
        <v>0</v>
      </c>
      <c r="H71" s="880">
        <v>0</v>
      </c>
    </row>
    <row r="72" spans="1:8" customFormat="1" ht="15" x14ac:dyDescent="0.25">
      <c r="A72" s="1558" t="s">
        <v>966</v>
      </c>
      <c r="B72" s="882" t="s">
        <v>992</v>
      </c>
      <c r="C72" s="1557" t="s">
        <v>993</v>
      </c>
      <c r="D72" s="1557" t="s">
        <v>495</v>
      </c>
      <c r="E72" s="1559">
        <v>0</v>
      </c>
      <c r="F72" s="1559">
        <v>0</v>
      </c>
      <c r="G72" s="1559">
        <v>0</v>
      </c>
      <c r="H72" s="880">
        <v>0</v>
      </c>
    </row>
    <row r="73" spans="1:8" customFormat="1" ht="15" x14ac:dyDescent="0.25">
      <c r="A73" s="1558" t="s">
        <v>591</v>
      </c>
      <c r="B73" s="882" t="s">
        <v>994</v>
      </c>
      <c r="C73" s="1557" t="s">
        <v>593</v>
      </c>
      <c r="D73" s="1557" t="s">
        <v>495</v>
      </c>
      <c r="E73" s="1559">
        <v>0</v>
      </c>
      <c r="F73" s="1559">
        <v>0</v>
      </c>
      <c r="G73" s="1559">
        <v>0</v>
      </c>
      <c r="H73" s="880">
        <v>0</v>
      </c>
    </row>
    <row r="74" spans="1:8" customFormat="1" ht="23.25" x14ac:dyDescent="0.25">
      <c r="A74" s="1558" t="s">
        <v>995</v>
      </c>
      <c r="B74" s="882" t="s">
        <v>996</v>
      </c>
      <c r="C74" s="1557" t="s">
        <v>997</v>
      </c>
      <c r="D74" s="1557" t="s">
        <v>495</v>
      </c>
      <c r="E74" s="1559">
        <v>0</v>
      </c>
      <c r="F74" s="1559">
        <v>0</v>
      </c>
      <c r="G74" s="1559">
        <v>0</v>
      </c>
      <c r="H74" s="880">
        <v>0</v>
      </c>
    </row>
    <row r="75" spans="1:8" customFormat="1" ht="15" x14ac:dyDescent="0.25">
      <c r="A75" s="1558" t="s">
        <v>2082</v>
      </c>
      <c r="B75" s="882" t="s">
        <v>998</v>
      </c>
      <c r="C75" s="1557" t="s">
        <v>495</v>
      </c>
      <c r="D75" s="1557" t="s">
        <v>495</v>
      </c>
      <c r="E75" s="1559">
        <v>0</v>
      </c>
      <c r="F75" s="1559">
        <v>0</v>
      </c>
      <c r="G75" s="1559">
        <v>0</v>
      </c>
      <c r="H75" s="880">
        <v>0</v>
      </c>
    </row>
    <row r="76" spans="1:8" customFormat="1" ht="23.25" x14ac:dyDescent="0.25">
      <c r="A76" s="1558" t="s">
        <v>999</v>
      </c>
      <c r="B76" s="882" t="s">
        <v>1000</v>
      </c>
      <c r="C76" s="1557" t="s">
        <v>1001</v>
      </c>
      <c r="D76" s="1557" t="s">
        <v>586</v>
      </c>
      <c r="E76" s="1559">
        <v>0</v>
      </c>
      <c r="F76" s="1559">
        <v>0</v>
      </c>
      <c r="G76" s="1559">
        <v>0</v>
      </c>
      <c r="H76" s="880">
        <v>0</v>
      </c>
    </row>
    <row r="77" spans="1:8" customFormat="1" ht="23.25" x14ac:dyDescent="0.25">
      <c r="A77" s="1558" t="s">
        <v>999</v>
      </c>
      <c r="B77" s="882" t="s">
        <v>1000</v>
      </c>
      <c r="C77" s="1557" t="s">
        <v>1001</v>
      </c>
      <c r="D77" s="1557" t="s">
        <v>587</v>
      </c>
      <c r="E77" s="1559">
        <v>0</v>
      </c>
      <c r="F77" s="1559">
        <v>0</v>
      </c>
      <c r="G77" s="1559">
        <v>0</v>
      </c>
      <c r="H77" s="880">
        <v>0</v>
      </c>
    </row>
    <row r="78" spans="1:8" customFormat="1" ht="23.25" x14ac:dyDescent="0.25">
      <c r="A78" s="1558" t="s">
        <v>999</v>
      </c>
      <c r="B78" s="882" t="s">
        <v>1000</v>
      </c>
      <c r="C78" s="1557" t="s">
        <v>1001</v>
      </c>
      <c r="D78" s="1557" t="s">
        <v>588</v>
      </c>
      <c r="E78" s="1559">
        <v>0</v>
      </c>
      <c r="F78" s="1559">
        <v>0</v>
      </c>
      <c r="G78" s="1559">
        <v>0</v>
      </c>
      <c r="H78" s="880">
        <v>0</v>
      </c>
    </row>
    <row r="79" spans="1:8" customFormat="1" ht="23.25" x14ac:dyDescent="0.25">
      <c r="A79" s="1558" t="s">
        <v>999</v>
      </c>
      <c r="B79" s="882" t="s">
        <v>1000</v>
      </c>
      <c r="C79" s="1557" t="s">
        <v>1001</v>
      </c>
      <c r="D79" s="1557" t="s">
        <v>984</v>
      </c>
      <c r="E79" s="1559">
        <v>0</v>
      </c>
      <c r="F79" s="1559">
        <v>0</v>
      </c>
      <c r="G79" s="1559">
        <v>0</v>
      </c>
      <c r="H79" s="880">
        <v>0</v>
      </c>
    </row>
    <row r="80" spans="1:8" customFormat="1" ht="15" x14ac:dyDescent="0.25">
      <c r="A80" s="1558" t="s">
        <v>594</v>
      </c>
      <c r="B80" s="882" t="s">
        <v>595</v>
      </c>
      <c r="C80" s="1557" t="s">
        <v>495</v>
      </c>
      <c r="D80" s="1557" t="s">
        <v>495</v>
      </c>
      <c r="E80" s="1559">
        <v>88746042.120000005</v>
      </c>
      <c r="F80" s="1559">
        <v>30160734.370000001</v>
      </c>
      <c r="G80" s="1559">
        <v>30364414.440000001</v>
      </c>
      <c r="H80" s="880">
        <v>0</v>
      </c>
    </row>
    <row r="81" spans="1:8" customFormat="1" ht="23.25" x14ac:dyDescent="0.25">
      <c r="A81" s="1558" t="s">
        <v>2083</v>
      </c>
      <c r="B81" s="882" t="s">
        <v>1002</v>
      </c>
      <c r="C81" s="1557" t="s">
        <v>983</v>
      </c>
      <c r="D81" s="1557" t="s">
        <v>495</v>
      </c>
      <c r="E81" s="1559">
        <v>0</v>
      </c>
      <c r="F81" s="1559">
        <v>0</v>
      </c>
      <c r="G81" s="1559">
        <v>0</v>
      </c>
      <c r="H81" s="880">
        <v>0</v>
      </c>
    </row>
    <row r="82" spans="1:8" customFormat="1" ht="23.25" x14ac:dyDescent="0.25">
      <c r="A82" s="1558" t="s">
        <v>2084</v>
      </c>
      <c r="B82" s="882" t="s">
        <v>1003</v>
      </c>
      <c r="C82" s="1557" t="s">
        <v>1004</v>
      </c>
      <c r="D82" s="1557" t="s">
        <v>495</v>
      </c>
      <c r="E82" s="1559">
        <v>0</v>
      </c>
      <c r="F82" s="1559">
        <v>0</v>
      </c>
      <c r="G82" s="1559">
        <v>0</v>
      </c>
      <c r="H82" s="880">
        <v>0</v>
      </c>
    </row>
    <row r="83" spans="1:8" customFormat="1" ht="15" x14ac:dyDescent="0.25">
      <c r="A83" s="1558" t="s">
        <v>2085</v>
      </c>
      <c r="B83" s="882" t="s">
        <v>596</v>
      </c>
      <c r="C83" s="1557" t="s">
        <v>152</v>
      </c>
      <c r="D83" s="1557" t="s">
        <v>421</v>
      </c>
      <c r="E83" s="1559">
        <v>102504</v>
      </c>
      <c r="F83" s="1559">
        <v>102504</v>
      </c>
      <c r="G83" s="1559">
        <v>102504</v>
      </c>
      <c r="H83" s="880">
        <v>0</v>
      </c>
    </row>
    <row r="84" spans="1:8" customFormat="1" ht="15" x14ac:dyDescent="0.25">
      <c r="A84" s="1558" t="s">
        <v>2085</v>
      </c>
      <c r="B84" s="882" t="s">
        <v>596</v>
      </c>
      <c r="C84" s="1557" t="s">
        <v>152</v>
      </c>
      <c r="D84" s="1557" t="s">
        <v>1005</v>
      </c>
      <c r="E84" s="1559">
        <v>155400</v>
      </c>
      <c r="F84" s="1559">
        <v>155400</v>
      </c>
      <c r="G84" s="1559">
        <v>155400</v>
      </c>
      <c r="H84" s="880">
        <v>0</v>
      </c>
    </row>
    <row r="85" spans="1:8" customFormat="1" ht="15" x14ac:dyDescent="0.25">
      <c r="A85" s="1558" t="s">
        <v>2085</v>
      </c>
      <c r="B85" s="882" t="s">
        <v>596</v>
      </c>
      <c r="C85" s="1557" t="s">
        <v>152</v>
      </c>
      <c r="D85" s="1557" t="s">
        <v>427</v>
      </c>
      <c r="E85" s="1559">
        <v>751857.39</v>
      </c>
      <c r="F85" s="1559">
        <v>513759.73</v>
      </c>
      <c r="G85" s="1559">
        <v>513759.73</v>
      </c>
      <c r="H85" s="880">
        <v>0</v>
      </c>
    </row>
    <row r="86" spans="1:8" customFormat="1" ht="15" x14ac:dyDescent="0.25">
      <c r="A86" s="1558" t="s">
        <v>2085</v>
      </c>
      <c r="B86" s="882" t="s">
        <v>596</v>
      </c>
      <c r="C86" s="1557" t="s">
        <v>152</v>
      </c>
      <c r="D86" s="1557" t="s">
        <v>1006</v>
      </c>
      <c r="E86" s="1559">
        <v>0</v>
      </c>
      <c r="F86" s="1559">
        <v>0</v>
      </c>
      <c r="G86" s="1559">
        <v>0</v>
      </c>
      <c r="H86" s="880">
        <v>0</v>
      </c>
    </row>
    <row r="87" spans="1:8" customFormat="1" ht="15" x14ac:dyDescent="0.25">
      <c r="A87" s="1558" t="s">
        <v>2085</v>
      </c>
      <c r="B87" s="882" t="s">
        <v>596</v>
      </c>
      <c r="C87" s="1557" t="s">
        <v>152</v>
      </c>
      <c r="D87" s="1557" t="s">
        <v>431</v>
      </c>
      <c r="E87" s="1559">
        <v>2719605.42</v>
      </c>
      <c r="F87" s="1559">
        <v>1778005.41</v>
      </c>
      <c r="G87" s="1559">
        <v>1778005.41</v>
      </c>
      <c r="H87" s="880">
        <v>0</v>
      </c>
    </row>
    <row r="88" spans="1:8" customFormat="1" ht="15" x14ac:dyDescent="0.25">
      <c r="A88" s="1558" t="s">
        <v>2085</v>
      </c>
      <c r="B88" s="882" t="s">
        <v>596</v>
      </c>
      <c r="C88" s="1557" t="s">
        <v>152</v>
      </c>
      <c r="D88" s="1557" t="s">
        <v>435</v>
      </c>
      <c r="E88" s="1559">
        <v>9972673.8699999992</v>
      </c>
      <c r="F88" s="1559">
        <v>7157673.8700000001</v>
      </c>
      <c r="G88" s="1559">
        <v>7157673.8700000001</v>
      </c>
      <c r="H88" s="880">
        <v>0</v>
      </c>
    </row>
    <row r="89" spans="1:8" customFormat="1" ht="15" x14ac:dyDescent="0.25">
      <c r="A89" s="1558" t="s">
        <v>2085</v>
      </c>
      <c r="B89" s="882" t="s">
        <v>596</v>
      </c>
      <c r="C89" s="1557" t="s">
        <v>152</v>
      </c>
      <c r="D89" s="1557" t="s">
        <v>442</v>
      </c>
      <c r="E89" s="1559">
        <v>14300</v>
      </c>
      <c r="F89" s="1559">
        <v>14300</v>
      </c>
      <c r="G89" s="1559">
        <v>14300</v>
      </c>
      <c r="H89" s="880">
        <v>0</v>
      </c>
    </row>
    <row r="90" spans="1:8" customFormat="1" ht="15" x14ac:dyDescent="0.25">
      <c r="A90" s="1558" t="s">
        <v>2085</v>
      </c>
      <c r="B90" s="882" t="s">
        <v>596</v>
      </c>
      <c r="C90" s="1557" t="s">
        <v>152</v>
      </c>
      <c r="D90" s="1557" t="s">
        <v>612</v>
      </c>
      <c r="E90" s="1559">
        <v>0</v>
      </c>
      <c r="F90" s="1559">
        <v>0</v>
      </c>
      <c r="G90" s="1559">
        <v>0</v>
      </c>
      <c r="H90" s="880">
        <v>0</v>
      </c>
    </row>
    <row r="91" spans="1:8" customFormat="1" ht="15" x14ac:dyDescent="0.25">
      <c r="A91" s="1558" t="s">
        <v>2085</v>
      </c>
      <c r="B91" s="882" t="s">
        <v>596</v>
      </c>
      <c r="C91" s="1557" t="s">
        <v>152</v>
      </c>
      <c r="D91" s="1557" t="s">
        <v>445</v>
      </c>
      <c r="E91" s="1559">
        <v>40218572.299999997</v>
      </c>
      <c r="F91" s="1559">
        <v>7363900</v>
      </c>
      <c r="G91" s="1559">
        <v>7663900</v>
      </c>
      <c r="H91" s="880">
        <v>0</v>
      </c>
    </row>
    <row r="92" spans="1:8" customFormat="1" ht="15" x14ac:dyDescent="0.25">
      <c r="A92" s="1558" t="s">
        <v>2085</v>
      </c>
      <c r="B92" s="882" t="s">
        <v>596</v>
      </c>
      <c r="C92" s="1557" t="s">
        <v>152</v>
      </c>
      <c r="D92" s="1557" t="s">
        <v>505</v>
      </c>
      <c r="E92" s="1559">
        <v>16380</v>
      </c>
      <c r="F92" s="1559">
        <v>0</v>
      </c>
      <c r="G92" s="1559">
        <v>0</v>
      </c>
      <c r="H92" s="880">
        <v>0</v>
      </c>
    </row>
    <row r="93" spans="1:8" customFormat="1" ht="15" x14ac:dyDescent="0.25">
      <c r="A93" s="1558" t="s">
        <v>2085</v>
      </c>
      <c r="B93" s="882" t="s">
        <v>596</v>
      </c>
      <c r="C93" s="1557" t="s">
        <v>152</v>
      </c>
      <c r="D93" s="1557" t="s">
        <v>466</v>
      </c>
      <c r="E93" s="1559">
        <v>0</v>
      </c>
      <c r="F93" s="1559">
        <v>0</v>
      </c>
      <c r="G93" s="1559">
        <v>0</v>
      </c>
      <c r="H93" s="880">
        <v>0</v>
      </c>
    </row>
    <row r="94" spans="1:8" customFormat="1" ht="15" x14ac:dyDescent="0.25">
      <c r="A94" s="1558" t="s">
        <v>2085</v>
      </c>
      <c r="B94" s="882" t="s">
        <v>596</v>
      </c>
      <c r="C94" s="1557" t="s">
        <v>152</v>
      </c>
      <c r="D94" s="1557" t="s">
        <v>450</v>
      </c>
      <c r="E94" s="1559">
        <v>0</v>
      </c>
      <c r="F94" s="1559">
        <v>0</v>
      </c>
      <c r="G94" s="1559">
        <v>0</v>
      </c>
      <c r="H94" s="880">
        <v>0</v>
      </c>
    </row>
    <row r="95" spans="1:8" customFormat="1" ht="15" x14ac:dyDescent="0.25">
      <c r="A95" s="1558" t="s">
        <v>2085</v>
      </c>
      <c r="B95" s="882" t="s">
        <v>596</v>
      </c>
      <c r="C95" s="1557" t="s">
        <v>152</v>
      </c>
      <c r="D95" s="1557" t="s">
        <v>1007</v>
      </c>
      <c r="E95" s="1559">
        <v>0</v>
      </c>
      <c r="F95" s="1559">
        <v>0</v>
      </c>
      <c r="G95" s="1559">
        <v>0</v>
      </c>
      <c r="H95" s="880">
        <v>0</v>
      </c>
    </row>
    <row r="96" spans="1:8" customFormat="1" ht="15" x14ac:dyDescent="0.25">
      <c r="A96" s="1558" t="s">
        <v>2085</v>
      </c>
      <c r="B96" s="882" t="s">
        <v>596</v>
      </c>
      <c r="C96" s="1557" t="s">
        <v>152</v>
      </c>
      <c r="D96" s="1557" t="s">
        <v>468</v>
      </c>
      <c r="E96" s="1559">
        <v>150560</v>
      </c>
      <c r="F96" s="1559">
        <v>150560</v>
      </c>
      <c r="G96" s="1559">
        <v>150560</v>
      </c>
      <c r="H96" s="880">
        <v>0</v>
      </c>
    </row>
    <row r="97" spans="1:8" customFormat="1" ht="15" x14ac:dyDescent="0.25">
      <c r="A97" s="1558" t="s">
        <v>2085</v>
      </c>
      <c r="B97" s="882" t="s">
        <v>596</v>
      </c>
      <c r="C97" s="1557" t="s">
        <v>152</v>
      </c>
      <c r="D97" s="1557" t="s">
        <v>452</v>
      </c>
      <c r="E97" s="1559">
        <v>9334280.4000000004</v>
      </c>
      <c r="F97" s="1559">
        <v>700003.7</v>
      </c>
      <c r="G97" s="1559">
        <v>705054.74</v>
      </c>
      <c r="H97" s="880">
        <v>0</v>
      </c>
    </row>
    <row r="98" spans="1:8" customFormat="1" ht="15" x14ac:dyDescent="0.25">
      <c r="A98" s="1558" t="s">
        <v>2085</v>
      </c>
      <c r="B98" s="882" t="s">
        <v>596</v>
      </c>
      <c r="C98" s="1557" t="s">
        <v>152</v>
      </c>
      <c r="D98" s="1557" t="s">
        <v>2086</v>
      </c>
      <c r="E98" s="1559">
        <v>0</v>
      </c>
      <c r="F98" s="1559">
        <v>0</v>
      </c>
      <c r="G98" s="1559">
        <v>0</v>
      </c>
      <c r="H98" s="880">
        <v>0</v>
      </c>
    </row>
    <row r="99" spans="1:8" customFormat="1" ht="15" x14ac:dyDescent="0.25">
      <c r="A99" s="1558" t="s">
        <v>2085</v>
      </c>
      <c r="B99" s="882" t="s">
        <v>596</v>
      </c>
      <c r="C99" s="1557" t="s">
        <v>152</v>
      </c>
      <c r="D99" s="1557" t="s">
        <v>479</v>
      </c>
      <c r="E99" s="1559">
        <v>1713080</v>
      </c>
      <c r="F99" s="1559">
        <v>25080</v>
      </c>
      <c r="G99" s="1559">
        <v>25080</v>
      </c>
      <c r="H99" s="880">
        <v>0</v>
      </c>
    </row>
    <row r="100" spans="1:8" customFormat="1" ht="15" x14ac:dyDescent="0.25">
      <c r="A100" s="1558" t="s">
        <v>1078</v>
      </c>
      <c r="B100" s="882" t="s">
        <v>1008</v>
      </c>
      <c r="C100" s="1557" t="s">
        <v>607</v>
      </c>
      <c r="D100" s="1557" t="s">
        <v>427</v>
      </c>
      <c r="E100" s="1559">
        <v>23596828.739999998</v>
      </c>
      <c r="F100" s="1559">
        <v>12199547.66</v>
      </c>
      <c r="G100" s="1559">
        <v>12098176.689999999</v>
      </c>
      <c r="H100" s="880">
        <v>0</v>
      </c>
    </row>
    <row r="101" spans="1:8" customFormat="1" ht="15" x14ac:dyDescent="0.25">
      <c r="A101" s="1558" t="s">
        <v>2087</v>
      </c>
      <c r="B101" s="882" t="s">
        <v>1009</v>
      </c>
      <c r="C101" s="1557" t="s">
        <v>1010</v>
      </c>
      <c r="D101" s="1557" t="s">
        <v>495</v>
      </c>
      <c r="E101" s="1559">
        <v>0</v>
      </c>
      <c r="F101" s="1559">
        <v>0</v>
      </c>
      <c r="G101" s="1559">
        <v>0</v>
      </c>
      <c r="H101" s="880">
        <v>0</v>
      </c>
    </row>
    <row r="102" spans="1:8" customFormat="1" ht="23.25" x14ac:dyDescent="0.25">
      <c r="A102" s="1558" t="s">
        <v>2088</v>
      </c>
      <c r="B102" s="882" t="s">
        <v>1011</v>
      </c>
      <c r="C102" s="1557" t="s">
        <v>1012</v>
      </c>
      <c r="D102" s="1557" t="s">
        <v>495</v>
      </c>
      <c r="E102" s="1559">
        <v>0</v>
      </c>
      <c r="F102" s="1559">
        <v>0</v>
      </c>
      <c r="G102" s="1559">
        <v>0</v>
      </c>
      <c r="H102" s="880">
        <v>0</v>
      </c>
    </row>
    <row r="103" spans="1:8" customFormat="1" ht="23.25" x14ac:dyDescent="0.25">
      <c r="A103" s="1558" t="s">
        <v>2089</v>
      </c>
      <c r="B103" s="882" t="s">
        <v>1013</v>
      </c>
      <c r="C103" s="1557" t="s">
        <v>1014</v>
      </c>
      <c r="D103" s="1557" t="s">
        <v>495</v>
      </c>
      <c r="E103" s="1559">
        <v>0</v>
      </c>
      <c r="F103" s="1559">
        <v>0</v>
      </c>
      <c r="G103" s="1559">
        <v>0</v>
      </c>
      <c r="H103" s="880">
        <v>0</v>
      </c>
    </row>
    <row r="104" spans="1:8" customFormat="1" ht="15" x14ac:dyDescent="0.25">
      <c r="A104" s="1558" t="s">
        <v>2090</v>
      </c>
      <c r="B104" s="882" t="s">
        <v>1015</v>
      </c>
      <c r="C104" s="1557" t="s">
        <v>1016</v>
      </c>
      <c r="D104" s="1557" t="s">
        <v>495</v>
      </c>
      <c r="E104" s="1559">
        <v>0</v>
      </c>
      <c r="F104" s="1559">
        <v>0</v>
      </c>
      <c r="G104" s="1559">
        <v>0</v>
      </c>
      <c r="H104" s="880">
        <v>0</v>
      </c>
    </row>
    <row r="105" spans="1:8" customFormat="1" ht="15" x14ac:dyDescent="0.25">
      <c r="A105" s="1825" t="s">
        <v>16</v>
      </c>
      <c r="B105" s="881" t="s">
        <v>597</v>
      </c>
      <c r="C105" s="1556" t="s">
        <v>598</v>
      </c>
      <c r="D105" s="1557" t="s">
        <v>495</v>
      </c>
      <c r="E105" s="1555">
        <v>0</v>
      </c>
      <c r="F105" s="1555">
        <v>0</v>
      </c>
      <c r="G105" s="1555">
        <v>0</v>
      </c>
      <c r="H105" s="880">
        <v>0</v>
      </c>
    </row>
    <row r="106" spans="1:8" customFormat="1" ht="15" x14ac:dyDescent="0.25">
      <c r="A106" s="1560" t="s">
        <v>280</v>
      </c>
      <c r="B106" s="1824" t="s">
        <v>599</v>
      </c>
      <c r="C106" s="1554" t="s">
        <v>600</v>
      </c>
      <c r="D106" s="1557" t="s">
        <v>495</v>
      </c>
      <c r="E106" s="1555">
        <v>0</v>
      </c>
      <c r="F106" s="1555">
        <v>0</v>
      </c>
      <c r="G106" s="1555">
        <v>0</v>
      </c>
      <c r="H106" s="880">
        <v>0</v>
      </c>
    </row>
    <row r="107" spans="1:8" customFormat="1" ht="15" x14ac:dyDescent="0.25">
      <c r="A107" s="1560" t="s">
        <v>601</v>
      </c>
      <c r="B107" s="1824" t="s">
        <v>602</v>
      </c>
      <c r="C107" s="1554" t="s">
        <v>600</v>
      </c>
      <c r="D107" s="1557" t="s">
        <v>495</v>
      </c>
      <c r="E107" s="1555">
        <v>0</v>
      </c>
      <c r="F107" s="1555">
        <v>0</v>
      </c>
      <c r="G107" s="1555">
        <v>0</v>
      </c>
      <c r="H107" s="880">
        <v>0</v>
      </c>
    </row>
    <row r="108" spans="1:8" customFormat="1" ht="15" x14ac:dyDescent="0.25">
      <c r="A108" s="1560" t="s">
        <v>603</v>
      </c>
      <c r="B108" s="1824" t="s">
        <v>604</v>
      </c>
      <c r="C108" s="1554" t="s">
        <v>600</v>
      </c>
      <c r="D108" s="1557" t="s">
        <v>495</v>
      </c>
      <c r="E108" s="1555">
        <v>0</v>
      </c>
      <c r="F108" s="1555">
        <v>0</v>
      </c>
      <c r="G108" s="1555">
        <v>0</v>
      </c>
      <c r="H108" s="880">
        <v>0</v>
      </c>
    </row>
    <row r="109" spans="1:8" customFormat="1" ht="15" x14ac:dyDescent="0.25">
      <c r="A109" s="1825" t="s">
        <v>1017</v>
      </c>
      <c r="B109" s="881" t="s">
        <v>1018</v>
      </c>
      <c r="C109" s="1556" t="s">
        <v>495</v>
      </c>
      <c r="D109" s="1557" t="s">
        <v>495</v>
      </c>
      <c r="E109" s="1555">
        <v>2905.32</v>
      </c>
      <c r="F109" s="1555">
        <v>0</v>
      </c>
      <c r="G109" s="1555">
        <v>0</v>
      </c>
      <c r="H109" s="880">
        <v>0</v>
      </c>
    </row>
    <row r="110" spans="1:8" customFormat="1" ht="15" x14ac:dyDescent="0.25">
      <c r="A110" s="1558" t="s">
        <v>1019</v>
      </c>
      <c r="B110" s="882" t="s">
        <v>1020</v>
      </c>
      <c r="C110" s="1557" t="s">
        <v>1021</v>
      </c>
      <c r="D110" s="1557" t="s">
        <v>495</v>
      </c>
      <c r="E110" s="1559">
        <v>2905.32</v>
      </c>
      <c r="F110" s="1559">
        <v>0</v>
      </c>
      <c r="G110" s="1559">
        <v>0</v>
      </c>
      <c r="H110" s="880">
        <v>0</v>
      </c>
    </row>
    <row r="111" spans="1:8" customFormat="1" ht="23.25" x14ac:dyDescent="0.25">
      <c r="A111" s="1558" t="s">
        <v>2091</v>
      </c>
      <c r="B111" s="882" t="s">
        <v>1022</v>
      </c>
      <c r="C111" s="1557" t="s">
        <v>1021</v>
      </c>
      <c r="D111" s="1557" t="s">
        <v>495</v>
      </c>
      <c r="E111" s="1559">
        <v>0</v>
      </c>
      <c r="F111" s="1559">
        <v>0</v>
      </c>
      <c r="G111" s="1559">
        <v>0</v>
      </c>
      <c r="H111" s="880">
        <v>0</v>
      </c>
    </row>
    <row r="112" spans="1:8" customFormat="1" ht="15" x14ac:dyDescent="0.25"/>
    <row r="113" spans="1:2" customFormat="1" ht="15" x14ac:dyDescent="0.25"/>
    <row r="114" spans="1:2" customFormat="1" ht="15" x14ac:dyDescent="0.25">
      <c r="A114" s="1826"/>
      <c r="B114" s="1826" t="s">
        <v>2268</v>
      </c>
    </row>
    <row r="115" spans="1:2" customFormat="1" ht="15" x14ac:dyDescent="0.25">
      <c r="A115" s="1827"/>
      <c r="B115" s="1827" t="s">
        <v>2269</v>
      </c>
    </row>
    <row r="116" spans="1:2" customFormat="1" ht="15" x14ac:dyDescent="0.25">
      <c r="A116" s="1827"/>
      <c r="B116" s="1827" t="s">
        <v>2270</v>
      </c>
    </row>
    <row r="117" spans="1:2" customFormat="1" ht="15" x14ac:dyDescent="0.25">
      <c r="A117" s="1827"/>
      <c r="B117" s="1827" t="s">
        <v>2271</v>
      </c>
    </row>
    <row r="118" spans="1:2" customFormat="1" ht="15" x14ac:dyDescent="0.25">
      <c r="A118" s="1827"/>
      <c r="B118" s="1827" t="s">
        <v>2272</v>
      </c>
    </row>
    <row r="119" spans="1:2" customFormat="1" ht="15" x14ac:dyDescent="0.25">
      <c r="A119" s="1827"/>
      <c r="B119" s="1827" t="s">
        <v>2273</v>
      </c>
    </row>
    <row r="120" spans="1:2" customFormat="1" ht="15" x14ac:dyDescent="0.25">
      <c r="A120" s="1827"/>
      <c r="B120" s="1827" t="s">
        <v>2274</v>
      </c>
    </row>
    <row r="121" spans="1:2" customFormat="1" ht="15" x14ac:dyDescent="0.25">
      <c r="A121" s="1827"/>
      <c r="B121" s="1827" t="s">
        <v>2275</v>
      </c>
    </row>
    <row r="122" spans="1:2" customFormat="1" ht="15" x14ac:dyDescent="0.25">
      <c r="A122" s="1827"/>
      <c r="B122" s="1827" t="s">
        <v>2276</v>
      </c>
    </row>
    <row r="123" spans="1:2" customFormat="1" ht="15" x14ac:dyDescent="0.25">
      <c r="A123" s="1826"/>
      <c r="B123" s="1826" t="s">
        <v>2277</v>
      </c>
    </row>
    <row r="124" spans="1:2" customFormat="1" ht="15" x14ac:dyDescent="0.25">
      <c r="A124" s="1826"/>
      <c r="B124" s="1826" t="s">
        <v>2278</v>
      </c>
    </row>
    <row r="125" spans="1:2" customFormat="1" ht="15" x14ac:dyDescent="0.25">
      <c r="A125" s="1827"/>
      <c r="B125" s="1827" t="s">
        <v>2279</v>
      </c>
    </row>
    <row r="126" spans="1:2" customFormat="1" ht="15" x14ac:dyDescent="0.25">
      <c r="A126" s="1827"/>
      <c r="B126" s="1827" t="s">
        <v>2280</v>
      </c>
    </row>
    <row r="127" spans="1:2" customFormat="1" ht="15" x14ac:dyDescent="0.25">
      <c r="A127" s="1827"/>
      <c r="B127" s="1827" t="s">
        <v>2281</v>
      </c>
    </row>
    <row r="128" spans="1:2" customFormat="1" ht="15" x14ac:dyDescent="0.25">
      <c r="A128" s="1827"/>
      <c r="B128" s="1827" t="s">
        <v>2282</v>
      </c>
    </row>
    <row r="129" spans="1:2" customFormat="1" ht="15" x14ac:dyDescent="0.25">
      <c r="A129" s="1827"/>
      <c r="B129" s="1827" t="s">
        <v>2283</v>
      </c>
    </row>
    <row r="130" spans="1:2" customFormat="1" ht="15" x14ac:dyDescent="0.25">
      <c r="A130" s="1827"/>
      <c r="B130" s="1827" t="s">
        <v>2284</v>
      </c>
    </row>
    <row r="131" spans="1:2" customFormat="1" ht="15" x14ac:dyDescent="0.25">
      <c r="A131" s="1828"/>
      <c r="B131" s="1828"/>
    </row>
    <row r="132" spans="1:2" customFormat="1" ht="15" x14ac:dyDescent="0.25">
      <c r="A132" s="1826"/>
      <c r="B132" s="1826" t="s">
        <v>2285</v>
      </c>
    </row>
    <row r="133" spans="1:2" customFormat="1" ht="15" x14ac:dyDescent="0.25">
      <c r="A133" s="1827"/>
      <c r="B133" s="1827" t="s">
        <v>2269</v>
      </c>
    </row>
    <row r="134" spans="1:2" customFormat="1" ht="15" x14ac:dyDescent="0.25">
      <c r="A134" s="1827"/>
      <c r="B134" s="1827" t="s">
        <v>2286</v>
      </c>
    </row>
    <row r="135" spans="1:2" customFormat="1" ht="15" x14ac:dyDescent="0.25">
      <c r="A135" s="1827"/>
      <c r="B135" s="1827" t="s">
        <v>2287</v>
      </c>
    </row>
    <row r="136" spans="1:2" customFormat="1" ht="15" x14ac:dyDescent="0.25">
      <c r="A136" s="1827"/>
      <c r="B136" s="1827" t="s">
        <v>2288</v>
      </c>
    </row>
    <row r="137" spans="1:2" customFormat="1" ht="15" x14ac:dyDescent="0.25">
      <c r="A137" s="1827"/>
      <c r="B137" s="1827" t="s">
        <v>2289</v>
      </c>
    </row>
    <row r="138" spans="1:2" customFormat="1" ht="15" x14ac:dyDescent="0.25">
      <c r="A138" s="1827"/>
      <c r="B138" s="1827" t="s">
        <v>2290</v>
      </c>
    </row>
    <row r="139" spans="1:2" customFormat="1" ht="15" x14ac:dyDescent="0.25">
      <c r="A139" s="1827"/>
      <c r="B139" s="1827" t="s">
        <v>2275</v>
      </c>
    </row>
    <row r="140" spans="1:2" customFormat="1" ht="15" x14ac:dyDescent="0.25">
      <c r="A140" s="1827"/>
      <c r="B140" s="1827" t="s">
        <v>2276</v>
      </c>
    </row>
    <row r="141" spans="1:2" customFormat="1" ht="15" x14ac:dyDescent="0.25">
      <c r="A141" s="1826"/>
      <c r="B141" s="1826" t="s">
        <v>2277</v>
      </c>
    </row>
    <row r="142" spans="1:2" customFormat="1" ht="15" x14ac:dyDescent="0.25">
      <c r="A142" s="1826"/>
      <c r="B142" s="1826" t="s">
        <v>2278</v>
      </c>
    </row>
    <row r="143" spans="1:2" customFormat="1" ht="15" x14ac:dyDescent="0.25">
      <c r="A143" s="1827"/>
      <c r="B143" s="1827" t="s">
        <v>2291</v>
      </c>
    </row>
    <row r="144" spans="1:2" customFormat="1" ht="15" x14ac:dyDescent="0.25">
      <c r="A144" s="1827"/>
      <c r="B144" s="1827" t="s">
        <v>2280</v>
      </c>
    </row>
    <row r="145" spans="1:2" customFormat="1" ht="15" x14ac:dyDescent="0.25">
      <c r="A145" s="1827"/>
      <c r="B145" s="1827" t="s">
        <v>2292</v>
      </c>
    </row>
    <row r="146" spans="1:2" customFormat="1" ht="15" x14ac:dyDescent="0.25">
      <c r="A146" s="1827"/>
      <c r="B146" s="1827" t="s">
        <v>2293</v>
      </c>
    </row>
    <row r="147" spans="1:2" customFormat="1" ht="15" x14ac:dyDescent="0.25">
      <c r="A147" s="1827"/>
      <c r="B147" s="1827" t="s">
        <v>2294</v>
      </c>
    </row>
    <row r="148" spans="1:2" customFormat="1" ht="15" x14ac:dyDescent="0.25">
      <c r="A148" s="1827"/>
      <c r="B148" s="1827" t="s">
        <v>2295</v>
      </c>
    </row>
    <row r="149" spans="1:2" customFormat="1" ht="15" x14ac:dyDescent="0.25">
      <c r="A149" s="1828"/>
      <c r="B149" s="1828"/>
    </row>
    <row r="150" spans="1:2" customFormat="1" ht="15" x14ac:dyDescent="0.25">
      <c r="A150" s="1826"/>
      <c r="B150" s="1826" t="s">
        <v>2296</v>
      </c>
    </row>
    <row r="151" spans="1:2" customFormat="1" ht="15" x14ac:dyDescent="0.25">
      <c r="A151" s="1827"/>
      <c r="B151" s="1827" t="s">
        <v>2269</v>
      </c>
    </row>
    <row r="152" spans="1:2" customFormat="1" ht="15" x14ac:dyDescent="0.25">
      <c r="A152" s="1827"/>
      <c r="B152" s="1827" t="s">
        <v>2297</v>
      </c>
    </row>
    <row r="153" spans="1:2" customFormat="1" ht="15" x14ac:dyDescent="0.25">
      <c r="A153" s="1827"/>
      <c r="B153" s="1827" t="s">
        <v>2298</v>
      </c>
    </row>
    <row r="154" spans="1:2" customFormat="1" ht="15" x14ac:dyDescent="0.25">
      <c r="A154" s="1827"/>
      <c r="B154" s="1827" t="s">
        <v>2299</v>
      </c>
    </row>
    <row r="155" spans="1:2" customFormat="1" ht="15" x14ac:dyDescent="0.25">
      <c r="A155" s="1827"/>
      <c r="B155" s="1827" t="s">
        <v>2300</v>
      </c>
    </row>
    <row r="156" spans="1:2" customFormat="1" ht="15" x14ac:dyDescent="0.25">
      <c r="A156" s="1827"/>
      <c r="B156" s="1827" t="s">
        <v>2301</v>
      </c>
    </row>
    <row r="157" spans="1:2" customFormat="1" ht="15" x14ac:dyDescent="0.25">
      <c r="A157" s="1827"/>
      <c r="B157" s="1827" t="s">
        <v>2275</v>
      </c>
    </row>
    <row r="158" spans="1:2" customFormat="1" ht="15" x14ac:dyDescent="0.25">
      <c r="A158" s="1827"/>
      <c r="B158" s="1827" t="s">
        <v>2276</v>
      </c>
    </row>
    <row r="159" spans="1:2" customFormat="1" ht="15" x14ac:dyDescent="0.25">
      <c r="A159" s="1826"/>
      <c r="B159" s="1826" t="s">
        <v>2277</v>
      </c>
    </row>
    <row r="160" spans="1:2" customFormat="1" ht="15" x14ac:dyDescent="0.25">
      <c r="A160" s="1826"/>
      <c r="B160" s="1826" t="s">
        <v>2278</v>
      </c>
    </row>
    <row r="161" spans="1:2" customFormat="1" ht="15" x14ac:dyDescent="0.25">
      <c r="A161" s="1827"/>
      <c r="B161" s="1827" t="s">
        <v>2302</v>
      </c>
    </row>
    <row r="162" spans="1:2" customFormat="1" ht="15" x14ac:dyDescent="0.25">
      <c r="A162" s="1827"/>
      <c r="B162" s="1827" t="s">
        <v>2303</v>
      </c>
    </row>
    <row r="163" spans="1:2" customFormat="1" ht="15" x14ac:dyDescent="0.25">
      <c r="A163" s="1827"/>
      <c r="B163" s="1827" t="s">
        <v>2304</v>
      </c>
    </row>
    <row r="164" spans="1:2" customFormat="1" ht="15" x14ac:dyDescent="0.25">
      <c r="A164" s="1827"/>
      <c r="B164" s="1827" t="s">
        <v>2305</v>
      </c>
    </row>
    <row r="165" spans="1:2" customFormat="1" ht="15" x14ac:dyDescent="0.25">
      <c r="A165" s="1827"/>
      <c r="B165" s="1827" t="s">
        <v>2306</v>
      </c>
    </row>
    <row r="166" spans="1:2" customFormat="1" ht="15" x14ac:dyDescent="0.25">
      <c r="A166" s="1827"/>
      <c r="B166" s="1827" t="s">
        <v>2307</v>
      </c>
    </row>
  </sheetData>
  <mergeCells count="7">
    <mergeCell ref="A2:H2"/>
    <mergeCell ref="A4:A6"/>
    <mergeCell ref="B4:B6"/>
    <mergeCell ref="C4:C6"/>
    <mergeCell ref="D4:D6"/>
    <mergeCell ref="E4:H4"/>
    <mergeCell ref="H5:H6"/>
  </mergeCells>
  <printOptions horizontalCentered="1"/>
  <pageMargins left="0.59055118110236227" right="0.19685039370078741" top="0.19685039370078741" bottom="0.19685039370078741" header="0.31496062992125984" footer="0.31496062992125984"/>
  <pageSetup paperSize="9" scale="68" fitToHeight="0" orientation="portrait" r:id="rId1"/>
  <rowBreaks count="1" manualBreakCount="1">
    <brk id="14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A95"/>
  <sheetViews>
    <sheetView tabSelected="1" view="pageBreakPreview" topLeftCell="A64" zoomScaleNormal="100" zoomScaleSheetLayoutView="100" workbookViewId="0">
      <selection activeCell="CX8" sqref="CX8"/>
    </sheetView>
  </sheetViews>
  <sheetFormatPr defaultRowHeight="10.15" customHeight="1" x14ac:dyDescent="0.25"/>
  <cols>
    <col min="1" max="99" width="0.85546875" style="666" customWidth="1"/>
    <col min="100" max="100" width="6.42578125" style="666" customWidth="1"/>
    <col min="101" max="101" width="11.28515625" style="666" customWidth="1"/>
    <col min="102" max="102" width="11.7109375" style="666" customWidth="1"/>
    <col min="103" max="103" width="11.42578125" style="666" customWidth="1"/>
    <col min="104" max="104" width="11.140625" style="666" customWidth="1"/>
    <col min="105" max="105" width="8.42578125" style="666" customWidth="1"/>
    <col min="106" max="16384" width="9.140625" style="666"/>
  </cols>
  <sheetData>
    <row r="1" spans="1:105" ht="13.5" customHeight="1" x14ac:dyDescent="0.25">
      <c r="B1" s="1878" t="s">
        <v>17</v>
      </c>
      <c r="C1" s="1878"/>
      <c r="D1" s="1878"/>
      <c r="E1" s="1878"/>
      <c r="F1" s="1878"/>
      <c r="G1" s="1878"/>
      <c r="H1" s="1878"/>
      <c r="I1" s="1878"/>
      <c r="J1" s="1878"/>
      <c r="K1" s="1878"/>
      <c r="L1" s="1878"/>
      <c r="M1" s="1878"/>
      <c r="N1" s="1878"/>
      <c r="O1" s="1878"/>
      <c r="P1" s="1878"/>
      <c r="Q1" s="1878"/>
      <c r="R1" s="1878"/>
      <c r="S1" s="1878"/>
      <c r="T1" s="1878"/>
      <c r="U1" s="1878"/>
      <c r="V1" s="1878"/>
      <c r="W1" s="1878"/>
      <c r="X1" s="1878"/>
      <c r="Y1" s="1878"/>
      <c r="Z1" s="1878"/>
      <c r="AA1" s="1878"/>
      <c r="AB1" s="1878"/>
      <c r="AC1" s="1878"/>
      <c r="AD1" s="1878"/>
      <c r="AE1" s="1878"/>
      <c r="AF1" s="1878"/>
      <c r="AG1" s="1878"/>
      <c r="AH1" s="1878"/>
      <c r="AI1" s="1878"/>
      <c r="AJ1" s="1878"/>
      <c r="AK1" s="1878"/>
      <c r="AL1" s="1878"/>
      <c r="AM1" s="1878"/>
      <c r="AN1" s="1878"/>
      <c r="AO1" s="1878"/>
      <c r="AP1" s="1878"/>
      <c r="AQ1" s="1878"/>
      <c r="AR1" s="1878"/>
      <c r="AS1" s="1878"/>
      <c r="AT1" s="1878"/>
      <c r="AU1" s="1878"/>
      <c r="AV1" s="1878"/>
      <c r="AW1" s="1878"/>
      <c r="AX1" s="1878"/>
      <c r="AY1" s="1878"/>
      <c r="AZ1" s="1878"/>
      <c r="BA1" s="1878"/>
      <c r="BB1" s="1878"/>
      <c r="BC1" s="1878"/>
      <c r="BD1" s="1878"/>
      <c r="BE1" s="1878"/>
      <c r="BF1" s="1878"/>
      <c r="BG1" s="1878"/>
      <c r="BH1" s="1878"/>
      <c r="BI1" s="1878"/>
      <c r="BJ1" s="1878"/>
      <c r="BK1" s="1878"/>
      <c r="BL1" s="1878"/>
      <c r="BM1" s="1878"/>
      <c r="BN1" s="1878"/>
      <c r="BO1" s="1878"/>
      <c r="BP1" s="1878"/>
      <c r="BQ1" s="1878"/>
      <c r="BR1" s="1878"/>
      <c r="BS1" s="1878"/>
      <c r="BT1" s="1878"/>
      <c r="BU1" s="1878"/>
      <c r="BV1" s="1878"/>
      <c r="BW1" s="1878"/>
      <c r="BX1" s="1878"/>
      <c r="BY1" s="1878"/>
      <c r="BZ1" s="1878"/>
      <c r="CA1" s="1878"/>
      <c r="CB1" s="1878"/>
      <c r="CC1" s="1878"/>
      <c r="CD1" s="1878"/>
      <c r="CE1" s="1878"/>
      <c r="CF1" s="1878"/>
      <c r="CG1" s="1878"/>
      <c r="CH1" s="1878"/>
      <c r="CI1" s="1878"/>
      <c r="CJ1" s="1878"/>
      <c r="CK1" s="1878"/>
      <c r="CL1" s="1878"/>
      <c r="CM1" s="1878"/>
      <c r="CN1" s="1878"/>
      <c r="CO1" s="1878"/>
      <c r="CP1" s="1878"/>
      <c r="CQ1" s="1878"/>
      <c r="CR1" s="1878"/>
      <c r="CS1" s="1878"/>
      <c r="CT1" s="1878"/>
      <c r="CU1" s="1878"/>
      <c r="CV1" s="1878"/>
      <c r="CW1" s="1878"/>
      <c r="CX1" s="1878"/>
      <c r="CY1" s="1878"/>
      <c r="CZ1" s="1878"/>
      <c r="DA1" s="1878"/>
    </row>
    <row r="2" spans="1:105" ht="15" x14ac:dyDescent="0.25"/>
    <row r="3" spans="1:105" ht="11.25" customHeight="1" x14ac:dyDescent="0.25">
      <c r="A3" s="1879" t="s">
        <v>1023</v>
      </c>
      <c r="B3" s="1879"/>
      <c r="C3" s="1879"/>
      <c r="D3" s="1879"/>
      <c r="E3" s="1879"/>
      <c r="F3" s="1879"/>
      <c r="G3" s="1879"/>
      <c r="H3" s="1880"/>
      <c r="I3" s="1847" t="s">
        <v>1</v>
      </c>
      <c r="J3" s="1847"/>
      <c r="K3" s="1847"/>
      <c r="L3" s="1847"/>
      <c r="M3" s="1847"/>
      <c r="N3" s="1847"/>
      <c r="O3" s="1847"/>
      <c r="P3" s="1847"/>
      <c r="Q3" s="1847"/>
      <c r="R3" s="1847"/>
      <c r="S3" s="1847"/>
      <c r="T3" s="1847"/>
      <c r="U3" s="1847"/>
      <c r="V3" s="1847"/>
      <c r="W3" s="1847"/>
      <c r="X3" s="1847"/>
      <c r="Y3" s="1847"/>
      <c r="Z3" s="1847"/>
      <c r="AA3" s="1847"/>
      <c r="AB3" s="1847"/>
      <c r="AC3" s="1847"/>
      <c r="AD3" s="1847"/>
      <c r="AE3" s="1847"/>
      <c r="AF3" s="1847"/>
      <c r="AG3" s="1847"/>
      <c r="AH3" s="1847"/>
      <c r="AI3" s="1847"/>
      <c r="AJ3" s="1847"/>
      <c r="AK3" s="1847"/>
      <c r="AL3" s="1847"/>
      <c r="AM3" s="1847"/>
      <c r="AN3" s="1847"/>
      <c r="AO3" s="1847"/>
      <c r="AP3" s="1847"/>
      <c r="AQ3" s="1847"/>
      <c r="AR3" s="1847"/>
      <c r="AS3" s="1847"/>
      <c r="AT3" s="1847"/>
      <c r="AU3" s="1847"/>
      <c r="AV3" s="1847"/>
      <c r="AW3" s="1847"/>
      <c r="AX3" s="1847"/>
      <c r="AY3" s="1847"/>
      <c r="AZ3" s="1847"/>
      <c r="BA3" s="1847"/>
      <c r="BB3" s="1847"/>
      <c r="BC3" s="1847"/>
      <c r="BD3" s="1847"/>
      <c r="BE3" s="1847"/>
      <c r="BF3" s="1847"/>
      <c r="BG3" s="1847"/>
      <c r="BH3" s="1847"/>
      <c r="BI3" s="1847"/>
      <c r="BJ3" s="1847"/>
      <c r="BK3" s="1847"/>
      <c r="BL3" s="1847"/>
      <c r="BM3" s="1847"/>
      <c r="BN3" s="1847"/>
      <c r="BO3" s="1847"/>
      <c r="BP3" s="1847"/>
      <c r="BQ3" s="1847"/>
      <c r="BR3" s="1847"/>
      <c r="BS3" s="1847"/>
      <c r="BT3" s="1847"/>
      <c r="BU3" s="1847"/>
      <c r="BV3" s="1847"/>
      <c r="BW3" s="1847"/>
      <c r="BX3" s="1847"/>
      <c r="BY3" s="1847"/>
      <c r="BZ3" s="1847"/>
      <c r="CA3" s="1847"/>
      <c r="CB3" s="1847"/>
      <c r="CC3" s="1847"/>
      <c r="CD3" s="1847"/>
      <c r="CE3" s="1847"/>
      <c r="CF3" s="1847"/>
      <c r="CG3" s="1847"/>
      <c r="CH3" s="1847"/>
      <c r="CI3" s="1847"/>
      <c r="CJ3" s="1847"/>
      <c r="CK3" s="1847"/>
      <c r="CL3" s="1847"/>
      <c r="CM3" s="1885"/>
      <c r="CN3" s="1850" t="s">
        <v>1024</v>
      </c>
      <c r="CO3" s="1879"/>
      <c r="CP3" s="1879"/>
      <c r="CQ3" s="1879"/>
      <c r="CR3" s="1879"/>
      <c r="CS3" s="1879"/>
      <c r="CT3" s="1879"/>
      <c r="CU3" s="1880"/>
      <c r="CV3" s="1850" t="s">
        <v>1025</v>
      </c>
      <c r="CW3" s="1850" t="s">
        <v>1026</v>
      </c>
      <c r="CX3" s="1853" t="s">
        <v>3</v>
      </c>
      <c r="CY3" s="1854"/>
      <c r="CZ3" s="1854"/>
      <c r="DA3" s="1855"/>
    </row>
    <row r="4" spans="1:105" ht="11.25" customHeight="1" x14ac:dyDescent="0.25">
      <c r="A4" s="1881"/>
      <c r="B4" s="1881"/>
      <c r="C4" s="1881"/>
      <c r="D4" s="1881"/>
      <c r="E4" s="1881"/>
      <c r="F4" s="1881"/>
      <c r="G4" s="1881"/>
      <c r="H4" s="1882"/>
      <c r="I4" s="1848"/>
      <c r="J4" s="1848"/>
      <c r="K4" s="1848"/>
      <c r="L4" s="1848"/>
      <c r="M4" s="1848"/>
      <c r="N4" s="1848"/>
      <c r="O4" s="1848"/>
      <c r="P4" s="1848"/>
      <c r="Q4" s="1848"/>
      <c r="R4" s="1848"/>
      <c r="S4" s="1848"/>
      <c r="T4" s="1848"/>
      <c r="U4" s="1848"/>
      <c r="V4" s="1848"/>
      <c r="W4" s="1848"/>
      <c r="X4" s="1848"/>
      <c r="Y4" s="1848"/>
      <c r="Z4" s="1848"/>
      <c r="AA4" s="1848"/>
      <c r="AB4" s="1848"/>
      <c r="AC4" s="1848"/>
      <c r="AD4" s="1848"/>
      <c r="AE4" s="1848"/>
      <c r="AF4" s="1848"/>
      <c r="AG4" s="1848"/>
      <c r="AH4" s="1848"/>
      <c r="AI4" s="1848"/>
      <c r="AJ4" s="1848"/>
      <c r="AK4" s="1848"/>
      <c r="AL4" s="1848"/>
      <c r="AM4" s="1848"/>
      <c r="AN4" s="1848"/>
      <c r="AO4" s="1848"/>
      <c r="AP4" s="1848"/>
      <c r="AQ4" s="1848"/>
      <c r="AR4" s="1848"/>
      <c r="AS4" s="1848"/>
      <c r="AT4" s="1848"/>
      <c r="AU4" s="1848"/>
      <c r="AV4" s="1848"/>
      <c r="AW4" s="1848"/>
      <c r="AX4" s="1848"/>
      <c r="AY4" s="1848"/>
      <c r="AZ4" s="1848"/>
      <c r="BA4" s="1848"/>
      <c r="BB4" s="1848"/>
      <c r="BC4" s="1848"/>
      <c r="BD4" s="1848"/>
      <c r="BE4" s="1848"/>
      <c r="BF4" s="1848"/>
      <c r="BG4" s="1848"/>
      <c r="BH4" s="1848"/>
      <c r="BI4" s="1848"/>
      <c r="BJ4" s="1848"/>
      <c r="BK4" s="1848"/>
      <c r="BL4" s="1848"/>
      <c r="BM4" s="1848"/>
      <c r="BN4" s="1848"/>
      <c r="BO4" s="1848"/>
      <c r="BP4" s="1848"/>
      <c r="BQ4" s="1848"/>
      <c r="BR4" s="1848"/>
      <c r="BS4" s="1848"/>
      <c r="BT4" s="1848"/>
      <c r="BU4" s="1848"/>
      <c r="BV4" s="1848"/>
      <c r="BW4" s="1848"/>
      <c r="BX4" s="1848"/>
      <c r="BY4" s="1848"/>
      <c r="BZ4" s="1848"/>
      <c r="CA4" s="1848"/>
      <c r="CB4" s="1848"/>
      <c r="CC4" s="1848"/>
      <c r="CD4" s="1848"/>
      <c r="CE4" s="1848"/>
      <c r="CF4" s="1848"/>
      <c r="CG4" s="1848"/>
      <c r="CH4" s="1848"/>
      <c r="CI4" s="1848"/>
      <c r="CJ4" s="1848"/>
      <c r="CK4" s="1848"/>
      <c r="CL4" s="1848"/>
      <c r="CM4" s="1886"/>
      <c r="CN4" s="1851"/>
      <c r="CO4" s="1881"/>
      <c r="CP4" s="1881"/>
      <c r="CQ4" s="1881"/>
      <c r="CR4" s="1881"/>
      <c r="CS4" s="1881"/>
      <c r="CT4" s="1881"/>
      <c r="CU4" s="1882"/>
      <c r="CV4" s="1851"/>
      <c r="CW4" s="1851"/>
      <c r="CX4" s="1050" t="s">
        <v>1065</v>
      </c>
      <c r="CY4" s="1050" t="s">
        <v>1534</v>
      </c>
      <c r="CZ4" s="1050" t="s">
        <v>2070</v>
      </c>
      <c r="DA4" s="1856" t="s">
        <v>4</v>
      </c>
    </row>
    <row r="5" spans="1:105" ht="39" customHeight="1" x14ac:dyDescent="0.25">
      <c r="A5" s="1883"/>
      <c r="B5" s="1883"/>
      <c r="C5" s="1883"/>
      <c r="D5" s="1883"/>
      <c r="E5" s="1883"/>
      <c r="F5" s="1883"/>
      <c r="G5" s="1883"/>
      <c r="H5" s="1884"/>
      <c r="I5" s="1849"/>
      <c r="J5" s="1849"/>
      <c r="K5" s="1849"/>
      <c r="L5" s="1849"/>
      <c r="M5" s="1849"/>
      <c r="N5" s="1849"/>
      <c r="O5" s="1849"/>
      <c r="P5" s="1849"/>
      <c r="Q5" s="1849"/>
      <c r="R5" s="1849"/>
      <c r="S5" s="1849"/>
      <c r="T5" s="1849"/>
      <c r="U5" s="1849"/>
      <c r="V5" s="1849"/>
      <c r="W5" s="1849"/>
      <c r="X5" s="1849"/>
      <c r="Y5" s="1849"/>
      <c r="Z5" s="1849"/>
      <c r="AA5" s="1849"/>
      <c r="AB5" s="1849"/>
      <c r="AC5" s="1849"/>
      <c r="AD5" s="1849"/>
      <c r="AE5" s="1849"/>
      <c r="AF5" s="1849"/>
      <c r="AG5" s="1849"/>
      <c r="AH5" s="1849"/>
      <c r="AI5" s="1849"/>
      <c r="AJ5" s="1849"/>
      <c r="AK5" s="1849"/>
      <c r="AL5" s="1849"/>
      <c r="AM5" s="1849"/>
      <c r="AN5" s="1849"/>
      <c r="AO5" s="1849"/>
      <c r="AP5" s="1849"/>
      <c r="AQ5" s="1849"/>
      <c r="AR5" s="1849"/>
      <c r="AS5" s="1849"/>
      <c r="AT5" s="1849"/>
      <c r="AU5" s="1849"/>
      <c r="AV5" s="1849"/>
      <c r="AW5" s="1849"/>
      <c r="AX5" s="1849"/>
      <c r="AY5" s="1849"/>
      <c r="AZ5" s="1849"/>
      <c r="BA5" s="1849"/>
      <c r="BB5" s="1849"/>
      <c r="BC5" s="1849"/>
      <c r="BD5" s="1849"/>
      <c r="BE5" s="1849"/>
      <c r="BF5" s="1849"/>
      <c r="BG5" s="1849"/>
      <c r="BH5" s="1849"/>
      <c r="BI5" s="1849"/>
      <c r="BJ5" s="1849"/>
      <c r="BK5" s="1849"/>
      <c r="BL5" s="1849"/>
      <c r="BM5" s="1849"/>
      <c r="BN5" s="1849"/>
      <c r="BO5" s="1849"/>
      <c r="BP5" s="1849"/>
      <c r="BQ5" s="1849"/>
      <c r="BR5" s="1849"/>
      <c r="BS5" s="1849"/>
      <c r="BT5" s="1849"/>
      <c r="BU5" s="1849"/>
      <c r="BV5" s="1849"/>
      <c r="BW5" s="1849"/>
      <c r="BX5" s="1849"/>
      <c r="BY5" s="1849"/>
      <c r="BZ5" s="1849"/>
      <c r="CA5" s="1849"/>
      <c r="CB5" s="1849"/>
      <c r="CC5" s="1849"/>
      <c r="CD5" s="1849"/>
      <c r="CE5" s="1849"/>
      <c r="CF5" s="1849"/>
      <c r="CG5" s="1849"/>
      <c r="CH5" s="1849"/>
      <c r="CI5" s="1849"/>
      <c r="CJ5" s="1849"/>
      <c r="CK5" s="1849"/>
      <c r="CL5" s="1849"/>
      <c r="CM5" s="1887"/>
      <c r="CN5" s="1852"/>
      <c r="CO5" s="1883"/>
      <c r="CP5" s="1883"/>
      <c r="CQ5" s="1883"/>
      <c r="CR5" s="1883"/>
      <c r="CS5" s="1883"/>
      <c r="CT5" s="1883"/>
      <c r="CU5" s="1884"/>
      <c r="CV5" s="1852"/>
      <c r="CW5" s="1852"/>
      <c r="CX5" s="668" t="s">
        <v>1027</v>
      </c>
      <c r="CY5" s="673" t="s">
        <v>1028</v>
      </c>
      <c r="CZ5" s="673" t="s">
        <v>1029</v>
      </c>
      <c r="DA5" s="1857"/>
    </row>
    <row r="6" spans="1:105" ht="10.9" customHeight="1" thickBot="1" x14ac:dyDescent="0.3">
      <c r="A6" s="1871" t="s">
        <v>244</v>
      </c>
      <c r="B6" s="1871"/>
      <c r="C6" s="1871"/>
      <c r="D6" s="1871"/>
      <c r="E6" s="1871"/>
      <c r="F6" s="1871"/>
      <c r="G6" s="1871"/>
      <c r="H6" s="1872"/>
      <c r="I6" s="1871" t="s">
        <v>281</v>
      </c>
      <c r="J6" s="1871"/>
      <c r="K6" s="1871"/>
      <c r="L6" s="1871"/>
      <c r="M6" s="1871"/>
      <c r="N6" s="1871"/>
      <c r="O6" s="1871"/>
      <c r="P6" s="1871"/>
      <c r="Q6" s="1871"/>
      <c r="R6" s="1871"/>
      <c r="S6" s="1871"/>
      <c r="T6" s="1871"/>
      <c r="U6" s="1871"/>
      <c r="V6" s="1871"/>
      <c r="W6" s="1871"/>
      <c r="X6" s="1871"/>
      <c r="Y6" s="1871"/>
      <c r="Z6" s="1871"/>
      <c r="AA6" s="1871"/>
      <c r="AB6" s="1871"/>
      <c r="AC6" s="1871"/>
      <c r="AD6" s="1871"/>
      <c r="AE6" s="1871"/>
      <c r="AF6" s="1871"/>
      <c r="AG6" s="1871"/>
      <c r="AH6" s="1871"/>
      <c r="AI6" s="1871"/>
      <c r="AJ6" s="1871"/>
      <c r="AK6" s="1871"/>
      <c r="AL6" s="1871"/>
      <c r="AM6" s="1871"/>
      <c r="AN6" s="1871"/>
      <c r="AO6" s="1871"/>
      <c r="AP6" s="1871"/>
      <c r="AQ6" s="1871"/>
      <c r="AR6" s="1871"/>
      <c r="AS6" s="1871"/>
      <c r="AT6" s="1871"/>
      <c r="AU6" s="1871"/>
      <c r="AV6" s="1871"/>
      <c r="AW6" s="1871"/>
      <c r="AX6" s="1871"/>
      <c r="AY6" s="1871"/>
      <c r="AZ6" s="1871"/>
      <c r="BA6" s="1871"/>
      <c r="BB6" s="1871"/>
      <c r="BC6" s="1871"/>
      <c r="BD6" s="1871"/>
      <c r="BE6" s="1871"/>
      <c r="BF6" s="1871"/>
      <c r="BG6" s="1871"/>
      <c r="BH6" s="1871"/>
      <c r="BI6" s="1871"/>
      <c r="BJ6" s="1871"/>
      <c r="BK6" s="1871"/>
      <c r="BL6" s="1871"/>
      <c r="BM6" s="1871"/>
      <c r="BN6" s="1871"/>
      <c r="BO6" s="1871"/>
      <c r="BP6" s="1871"/>
      <c r="BQ6" s="1871"/>
      <c r="BR6" s="1871"/>
      <c r="BS6" s="1871"/>
      <c r="BT6" s="1871"/>
      <c r="BU6" s="1871"/>
      <c r="BV6" s="1871"/>
      <c r="BW6" s="1871"/>
      <c r="BX6" s="1871"/>
      <c r="BY6" s="1871"/>
      <c r="BZ6" s="1871"/>
      <c r="CA6" s="1871"/>
      <c r="CB6" s="1871"/>
      <c r="CC6" s="1871"/>
      <c r="CD6" s="1871"/>
      <c r="CE6" s="1871"/>
      <c r="CF6" s="1871"/>
      <c r="CG6" s="1871"/>
      <c r="CH6" s="1871"/>
      <c r="CI6" s="1871"/>
      <c r="CJ6" s="1871"/>
      <c r="CK6" s="1871"/>
      <c r="CL6" s="1871"/>
      <c r="CM6" s="1872"/>
      <c r="CN6" s="1873" t="s">
        <v>531</v>
      </c>
      <c r="CO6" s="1874"/>
      <c r="CP6" s="1874"/>
      <c r="CQ6" s="1874"/>
      <c r="CR6" s="1874"/>
      <c r="CS6" s="1874"/>
      <c r="CT6" s="1874"/>
      <c r="CU6" s="1875"/>
      <c r="CV6" s="674" t="s">
        <v>219</v>
      </c>
      <c r="CW6" s="674" t="s">
        <v>1030</v>
      </c>
      <c r="CX6" s="674" t="s">
        <v>362</v>
      </c>
      <c r="CY6" s="674" t="s">
        <v>532</v>
      </c>
      <c r="CZ6" s="674" t="s">
        <v>533</v>
      </c>
      <c r="DA6" s="675" t="s">
        <v>534</v>
      </c>
    </row>
    <row r="7" spans="1:105" customFormat="1" ht="12.75" customHeight="1" x14ac:dyDescent="0.25">
      <c r="A7" s="1863">
        <v>1</v>
      </c>
      <c r="B7" s="1863"/>
      <c r="C7" s="1863"/>
      <c r="D7" s="1863"/>
      <c r="E7" s="1863"/>
      <c r="F7" s="1863"/>
      <c r="G7" s="1863"/>
      <c r="H7" s="1864"/>
      <c r="I7" s="1876" t="s">
        <v>18</v>
      </c>
      <c r="J7" s="1877"/>
      <c r="K7" s="1877"/>
      <c r="L7" s="1877"/>
      <c r="M7" s="1877"/>
      <c r="N7" s="1877"/>
      <c r="O7" s="1877"/>
      <c r="P7" s="1877"/>
      <c r="Q7" s="1877"/>
      <c r="R7" s="1877"/>
      <c r="S7" s="1877"/>
      <c r="T7" s="1877"/>
      <c r="U7" s="1877"/>
      <c r="V7" s="1877"/>
      <c r="W7" s="1877"/>
      <c r="X7" s="1877"/>
      <c r="Y7" s="1877"/>
      <c r="Z7" s="1877"/>
      <c r="AA7" s="1877"/>
      <c r="AB7" s="1877"/>
      <c r="AC7" s="1877"/>
      <c r="AD7" s="1877"/>
      <c r="AE7" s="1877"/>
      <c r="AF7" s="1877"/>
      <c r="AG7" s="1877"/>
      <c r="AH7" s="1877"/>
      <c r="AI7" s="1877"/>
      <c r="AJ7" s="1877"/>
      <c r="AK7" s="1877"/>
      <c r="AL7" s="1877"/>
      <c r="AM7" s="1877"/>
      <c r="AN7" s="1877"/>
      <c r="AO7" s="1877"/>
      <c r="AP7" s="1877"/>
      <c r="AQ7" s="1877"/>
      <c r="AR7" s="1877"/>
      <c r="AS7" s="1877"/>
      <c r="AT7" s="1877"/>
      <c r="AU7" s="1877"/>
      <c r="AV7" s="1877"/>
      <c r="AW7" s="1877"/>
      <c r="AX7" s="1877"/>
      <c r="AY7" s="1877"/>
      <c r="AZ7" s="1877"/>
      <c r="BA7" s="1877"/>
      <c r="BB7" s="1877"/>
      <c r="BC7" s="1877"/>
      <c r="BD7" s="1877"/>
      <c r="BE7" s="1877"/>
      <c r="BF7" s="1877"/>
      <c r="BG7" s="1877"/>
      <c r="BH7" s="1877"/>
      <c r="BI7" s="1877"/>
      <c r="BJ7" s="1877"/>
      <c r="BK7" s="1877"/>
      <c r="BL7" s="1877"/>
      <c r="BM7" s="1877"/>
      <c r="BN7" s="1877"/>
      <c r="BO7" s="1877"/>
      <c r="BP7" s="1877"/>
      <c r="BQ7" s="1877"/>
      <c r="BR7" s="1877"/>
      <c r="BS7" s="1877"/>
      <c r="BT7" s="1877"/>
      <c r="BU7" s="1877"/>
      <c r="BV7" s="1877"/>
      <c r="BW7" s="1877"/>
      <c r="BX7" s="1877"/>
      <c r="BY7" s="1877"/>
      <c r="BZ7" s="1877"/>
      <c r="CA7" s="1877"/>
      <c r="CB7" s="1877"/>
      <c r="CC7" s="1877"/>
      <c r="CD7" s="1877"/>
      <c r="CE7" s="1877"/>
      <c r="CF7" s="1877"/>
      <c r="CG7" s="1877"/>
      <c r="CH7" s="1877"/>
      <c r="CI7" s="1877"/>
      <c r="CJ7" s="1877"/>
      <c r="CK7" s="1877"/>
      <c r="CL7" s="1877"/>
      <c r="CM7" s="1877"/>
      <c r="CN7" s="1867" t="s">
        <v>1031</v>
      </c>
      <c r="CO7" s="1868"/>
      <c r="CP7" s="1868"/>
      <c r="CQ7" s="1868"/>
      <c r="CR7" s="1868"/>
      <c r="CS7" s="1868"/>
      <c r="CT7" s="1868"/>
      <c r="CU7" s="1869"/>
      <c r="CV7" s="877" t="s">
        <v>1055</v>
      </c>
      <c r="CW7" s="877" t="s">
        <v>5</v>
      </c>
      <c r="CX7" s="878">
        <v>88746042.120000005</v>
      </c>
      <c r="CY7" s="878">
        <v>30160734.370000001</v>
      </c>
      <c r="CZ7" s="878">
        <v>30364414.440000001</v>
      </c>
      <c r="DA7" s="879">
        <v>0</v>
      </c>
    </row>
    <row r="8" spans="1:105" customFormat="1" ht="57.75" customHeight="1" x14ac:dyDescent="0.25">
      <c r="A8" s="1858" t="s">
        <v>47</v>
      </c>
      <c r="B8" s="1858"/>
      <c r="C8" s="1858"/>
      <c r="D8" s="1858"/>
      <c r="E8" s="1858"/>
      <c r="F8" s="1858"/>
      <c r="G8" s="1858"/>
      <c r="H8" s="1859"/>
      <c r="I8" s="1870" t="s">
        <v>2092</v>
      </c>
      <c r="J8" s="1861"/>
      <c r="K8" s="1861"/>
      <c r="L8" s="1861"/>
      <c r="M8" s="1861"/>
      <c r="N8" s="1861"/>
      <c r="O8" s="1861"/>
      <c r="P8" s="1861"/>
      <c r="Q8" s="1861"/>
      <c r="R8" s="1861"/>
      <c r="S8" s="1861"/>
      <c r="T8" s="1861"/>
      <c r="U8" s="1861"/>
      <c r="V8" s="1861"/>
      <c r="W8" s="1861"/>
      <c r="X8" s="1861"/>
      <c r="Y8" s="1861"/>
      <c r="Z8" s="1861"/>
      <c r="AA8" s="1861"/>
      <c r="AB8" s="1861"/>
      <c r="AC8" s="1861"/>
      <c r="AD8" s="1861"/>
      <c r="AE8" s="1861"/>
      <c r="AF8" s="1861"/>
      <c r="AG8" s="1861"/>
      <c r="AH8" s="1861"/>
      <c r="AI8" s="1861"/>
      <c r="AJ8" s="1861"/>
      <c r="AK8" s="1861"/>
      <c r="AL8" s="1861"/>
      <c r="AM8" s="1861"/>
      <c r="AN8" s="1861"/>
      <c r="AO8" s="1861"/>
      <c r="AP8" s="1861"/>
      <c r="AQ8" s="1861"/>
      <c r="AR8" s="1861"/>
      <c r="AS8" s="1861"/>
      <c r="AT8" s="1861"/>
      <c r="AU8" s="1861"/>
      <c r="AV8" s="1861"/>
      <c r="AW8" s="1861"/>
      <c r="AX8" s="1861"/>
      <c r="AY8" s="1861"/>
      <c r="AZ8" s="1861"/>
      <c r="BA8" s="1861"/>
      <c r="BB8" s="1861"/>
      <c r="BC8" s="1861"/>
      <c r="BD8" s="1861"/>
      <c r="BE8" s="1861"/>
      <c r="BF8" s="1861"/>
      <c r="BG8" s="1861"/>
      <c r="BH8" s="1861"/>
      <c r="BI8" s="1861"/>
      <c r="BJ8" s="1861"/>
      <c r="BK8" s="1861"/>
      <c r="BL8" s="1861"/>
      <c r="BM8" s="1861"/>
      <c r="BN8" s="1861"/>
      <c r="BO8" s="1861"/>
      <c r="BP8" s="1861"/>
      <c r="BQ8" s="1861"/>
      <c r="BR8" s="1861"/>
      <c r="BS8" s="1861"/>
      <c r="BT8" s="1861"/>
      <c r="BU8" s="1861"/>
      <c r="BV8" s="1861"/>
      <c r="BW8" s="1861"/>
      <c r="BX8" s="1861"/>
      <c r="BY8" s="1861"/>
      <c r="BZ8" s="1861"/>
      <c r="CA8" s="1861"/>
      <c r="CB8" s="1861"/>
      <c r="CC8" s="1861"/>
      <c r="CD8" s="1861"/>
      <c r="CE8" s="1861"/>
      <c r="CF8" s="1861"/>
      <c r="CG8" s="1861"/>
      <c r="CH8" s="1861"/>
      <c r="CI8" s="1861"/>
      <c r="CJ8" s="1861"/>
      <c r="CK8" s="1861"/>
      <c r="CL8" s="1861"/>
      <c r="CM8" s="1861"/>
      <c r="CN8" s="1862" t="s">
        <v>1032</v>
      </c>
      <c r="CO8" s="1858"/>
      <c r="CP8" s="1858"/>
      <c r="CQ8" s="1858"/>
      <c r="CR8" s="1858"/>
      <c r="CS8" s="1858"/>
      <c r="CT8" s="1858"/>
      <c r="CU8" s="1859"/>
      <c r="CV8" s="1554" t="s">
        <v>1055</v>
      </c>
      <c r="CW8" s="1554" t="s">
        <v>5</v>
      </c>
      <c r="CX8" s="1555">
        <v>0</v>
      </c>
      <c r="CY8" s="1555">
        <v>0</v>
      </c>
      <c r="CZ8" s="1555">
        <v>0</v>
      </c>
      <c r="DA8" s="880">
        <v>0</v>
      </c>
    </row>
    <row r="9" spans="1:105" customFormat="1" ht="25.5" customHeight="1" x14ac:dyDescent="0.25">
      <c r="A9" s="1858" t="s">
        <v>628</v>
      </c>
      <c r="B9" s="1858"/>
      <c r="C9" s="1858"/>
      <c r="D9" s="1858"/>
      <c r="E9" s="1858"/>
      <c r="F9" s="1858"/>
      <c r="G9" s="1858"/>
      <c r="H9" s="1859"/>
      <c r="I9" s="1860" t="s">
        <v>1033</v>
      </c>
      <c r="J9" s="1861"/>
      <c r="K9" s="1861"/>
      <c r="L9" s="1861"/>
      <c r="M9" s="1861"/>
      <c r="N9" s="1861"/>
      <c r="O9" s="1861"/>
      <c r="P9" s="1861"/>
      <c r="Q9" s="1861"/>
      <c r="R9" s="1861"/>
      <c r="S9" s="1861"/>
      <c r="T9" s="1861"/>
      <c r="U9" s="1861"/>
      <c r="V9" s="1861"/>
      <c r="W9" s="1861"/>
      <c r="X9" s="1861"/>
      <c r="Y9" s="1861"/>
      <c r="Z9" s="1861"/>
      <c r="AA9" s="1861"/>
      <c r="AB9" s="1861"/>
      <c r="AC9" s="1861"/>
      <c r="AD9" s="1861"/>
      <c r="AE9" s="1861"/>
      <c r="AF9" s="1861"/>
      <c r="AG9" s="1861"/>
      <c r="AH9" s="1861"/>
      <c r="AI9" s="1861"/>
      <c r="AJ9" s="1861"/>
      <c r="AK9" s="1861"/>
      <c r="AL9" s="1861"/>
      <c r="AM9" s="1861"/>
      <c r="AN9" s="1861"/>
      <c r="AO9" s="1861"/>
      <c r="AP9" s="1861"/>
      <c r="AQ9" s="1861"/>
      <c r="AR9" s="1861"/>
      <c r="AS9" s="1861"/>
      <c r="AT9" s="1861"/>
      <c r="AU9" s="1861"/>
      <c r="AV9" s="1861"/>
      <c r="AW9" s="1861"/>
      <c r="AX9" s="1861"/>
      <c r="AY9" s="1861"/>
      <c r="AZ9" s="1861"/>
      <c r="BA9" s="1861"/>
      <c r="BB9" s="1861"/>
      <c r="BC9" s="1861"/>
      <c r="BD9" s="1861"/>
      <c r="BE9" s="1861"/>
      <c r="BF9" s="1861"/>
      <c r="BG9" s="1861"/>
      <c r="BH9" s="1861"/>
      <c r="BI9" s="1861"/>
      <c r="BJ9" s="1861"/>
      <c r="BK9" s="1861"/>
      <c r="BL9" s="1861"/>
      <c r="BM9" s="1861"/>
      <c r="BN9" s="1861"/>
      <c r="BO9" s="1861"/>
      <c r="BP9" s="1861"/>
      <c r="BQ9" s="1861"/>
      <c r="BR9" s="1861"/>
      <c r="BS9" s="1861"/>
      <c r="BT9" s="1861"/>
      <c r="BU9" s="1861"/>
      <c r="BV9" s="1861"/>
      <c r="BW9" s="1861"/>
      <c r="BX9" s="1861"/>
      <c r="BY9" s="1861"/>
      <c r="BZ9" s="1861"/>
      <c r="CA9" s="1861"/>
      <c r="CB9" s="1861"/>
      <c r="CC9" s="1861"/>
      <c r="CD9" s="1861"/>
      <c r="CE9" s="1861"/>
      <c r="CF9" s="1861"/>
      <c r="CG9" s="1861"/>
      <c r="CH9" s="1861"/>
      <c r="CI9" s="1861"/>
      <c r="CJ9" s="1861"/>
      <c r="CK9" s="1861"/>
      <c r="CL9" s="1861"/>
      <c r="CM9" s="1861"/>
      <c r="CN9" s="1862" t="s">
        <v>1034</v>
      </c>
      <c r="CO9" s="1858"/>
      <c r="CP9" s="1858"/>
      <c r="CQ9" s="1858"/>
      <c r="CR9" s="1858"/>
      <c r="CS9" s="1858"/>
      <c r="CT9" s="1858"/>
      <c r="CU9" s="1859"/>
      <c r="CV9" s="1554" t="s">
        <v>1055</v>
      </c>
      <c r="CW9" s="1554" t="s">
        <v>5</v>
      </c>
      <c r="CX9" s="1555">
        <v>0</v>
      </c>
      <c r="CY9" s="1555">
        <v>0</v>
      </c>
      <c r="CZ9" s="1555">
        <v>0</v>
      </c>
      <c r="DA9" s="880">
        <v>0</v>
      </c>
    </row>
    <row r="10" spans="1:105" customFormat="1" ht="25.5" customHeight="1" x14ac:dyDescent="0.25">
      <c r="A10" s="1858" t="s">
        <v>629</v>
      </c>
      <c r="B10" s="1858"/>
      <c r="C10" s="1858"/>
      <c r="D10" s="1858"/>
      <c r="E10" s="1858"/>
      <c r="F10" s="1858"/>
      <c r="G10" s="1858"/>
      <c r="H10" s="1859"/>
      <c r="I10" s="1860" t="s">
        <v>1035</v>
      </c>
      <c r="J10" s="1861"/>
      <c r="K10" s="1861"/>
      <c r="L10" s="1861"/>
      <c r="M10" s="1861"/>
      <c r="N10" s="1861"/>
      <c r="O10" s="1861"/>
      <c r="P10" s="1861"/>
      <c r="Q10" s="1861"/>
      <c r="R10" s="1861"/>
      <c r="S10" s="1861"/>
      <c r="T10" s="1861"/>
      <c r="U10" s="1861"/>
      <c r="V10" s="1861"/>
      <c r="W10" s="1861"/>
      <c r="X10" s="1861"/>
      <c r="Y10" s="1861"/>
      <c r="Z10" s="1861"/>
      <c r="AA10" s="1861"/>
      <c r="AB10" s="1861"/>
      <c r="AC10" s="1861"/>
      <c r="AD10" s="1861"/>
      <c r="AE10" s="1861"/>
      <c r="AF10" s="1861"/>
      <c r="AG10" s="1861"/>
      <c r="AH10" s="1861"/>
      <c r="AI10" s="1861"/>
      <c r="AJ10" s="1861"/>
      <c r="AK10" s="1861"/>
      <c r="AL10" s="1861"/>
      <c r="AM10" s="1861"/>
      <c r="AN10" s="1861"/>
      <c r="AO10" s="1861"/>
      <c r="AP10" s="1861"/>
      <c r="AQ10" s="1861"/>
      <c r="AR10" s="1861"/>
      <c r="AS10" s="1861"/>
      <c r="AT10" s="1861"/>
      <c r="AU10" s="1861"/>
      <c r="AV10" s="1861"/>
      <c r="AW10" s="1861"/>
      <c r="AX10" s="1861"/>
      <c r="AY10" s="1861"/>
      <c r="AZ10" s="1861"/>
      <c r="BA10" s="1861"/>
      <c r="BB10" s="1861"/>
      <c r="BC10" s="1861"/>
      <c r="BD10" s="1861"/>
      <c r="BE10" s="1861"/>
      <c r="BF10" s="1861"/>
      <c r="BG10" s="1861"/>
      <c r="BH10" s="1861"/>
      <c r="BI10" s="1861"/>
      <c r="BJ10" s="1861"/>
      <c r="BK10" s="1861"/>
      <c r="BL10" s="1861"/>
      <c r="BM10" s="1861"/>
      <c r="BN10" s="1861"/>
      <c r="BO10" s="1861"/>
      <c r="BP10" s="1861"/>
      <c r="BQ10" s="1861"/>
      <c r="BR10" s="1861"/>
      <c r="BS10" s="1861"/>
      <c r="BT10" s="1861"/>
      <c r="BU10" s="1861"/>
      <c r="BV10" s="1861"/>
      <c r="BW10" s="1861"/>
      <c r="BX10" s="1861"/>
      <c r="BY10" s="1861"/>
      <c r="BZ10" s="1861"/>
      <c r="CA10" s="1861"/>
      <c r="CB10" s="1861"/>
      <c r="CC10" s="1861"/>
      <c r="CD10" s="1861"/>
      <c r="CE10" s="1861"/>
      <c r="CF10" s="1861"/>
      <c r="CG10" s="1861"/>
      <c r="CH10" s="1861"/>
      <c r="CI10" s="1861"/>
      <c r="CJ10" s="1861"/>
      <c r="CK10" s="1861"/>
      <c r="CL10" s="1861"/>
      <c r="CM10" s="1861"/>
      <c r="CN10" s="1862" t="s">
        <v>1036</v>
      </c>
      <c r="CO10" s="1858"/>
      <c r="CP10" s="1858"/>
      <c r="CQ10" s="1858"/>
      <c r="CR10" s="1858"/>
      <c r="CS10" s="1858"/>
      <c r="CT10" s="1858"/>
      <c r="CU10" s="1859"/>
      <c r="CV10" s="1554" t="s">
        <v>1055</v>
      </c>
      <c r="CW10" s="1554" t="s">
        <v>5</v>
      </c>
      <c r="CX10" s="1555">
        <v>30942438.129999999</v>
      </c>
      <c r="CY10" s="1555">
        <v>21000000</v>
      </c>
      <c r="CZ10" s="1555">
        <v>21000000</v>
      </c>
      <c r="DA10" s="880">
        <v>0</v>
      </c>
    </row>
    <row r="11" spans="1:105" customFormat="1" ht="15" x14ac:dyDescent="0.25">
      <c r="A11" s="1858" t="s">
        <v>2093</v>
      </c>
      <c r="B11" s="1858"/>
      <c r="C11" s="1858"/>
      <c r="D11" s="1858"/>
      <c r="E11" s="1858"/>
      <c r="F11" s="1858"/>
      <c r="G11" s="1858"/>
      <c r="H11" s="1859"/>
      <c r="I11" s="1860" t="s">
        <v>2094</v>
      </c>
      <c r="J11" s="1861"/>
      <c r="K11" s="1861"/>
      <c r="L11" s="1861"/>
      <c r="M11" s="1861"/>
      <c r="N11" s="1861"/>
      <c r="O11" s="1861"/>
      <c r="P11" s="1861"/>
      <c r="Q11" s="1861"/>
      <c r="R11" s="1861"/>
      <c r="S11" s="1861"/>
      <c r="T11" s="1861"/>
      <c r="U11" s="1861"/>
      <c r="V11" s="1861"/>
      <c r="W11" s="1861"/>
      <c r="X11" s="1861"/>
      <c r="Y11" s="1861"/>
      <c r="Z11" s="1861"/>
      <c r="AA11" s="1861"/>
      <c r="AB11" s="1861"/>
      <c r="AC11" s="1861"/>
      <c r="AD11" s="1861"/>
      <c r="AE11" s="1861"/>
      <c r="AF11" s="1861"/>
      <c r="AG11" s="1861"/>
      <c r="AH11" s="1861"/>
      <c r="AI11" s="1861"/>
      <c r="AJ11" s="1861"/>
      <c r="AK11" s="1861"/>
      <c r="AL11" s="1861"/>
      <c r="AM11" s="1861"/>
      <c r="AN11" s="1861"/>
      <c r="AO11" s="1861"/>
      <c r="AP11" s="1861"/>
      <c r="AQ11" s="1861"/>
      <c r="AR11" s="1861"/>
      <c r="AS11" s="1861"/>
      <c r="AT11" s="1861"/>
      <c r="AU11" s="1861"/>
      <c r="AV11" s="1861"/>
      <c r="AW11" s="1861"/>
      <c r="AX11" s="1861"/>
      <c r="AY11" s="1861"/>
      <c r="AZ11" s="1861"/>
      <c r="BA11" s="1861"/>
      <c r="BB11" s="1861"/>
      <c r="BC11" s="1861"/>
      <c r="BD11" s="1861"/>
      <c r="BE11" s="1861"/>
      <c r="BF11" s="1861"/>
      <c r="BG11" s="1861"/>
      <c r="BH11" s="1861"/>
      <c r="BI11" s="1861"/>
      <c r="BJ11" s="1861"/>
      <c r="BK11" s="1861"/>
      <c r="BL11" s="1861"/>
      <c r="BM11" s="1861"/>
      <c r="BN11" s="1861"/>
      <c r="BO11" s="1861"/>
      <c r="BP11" s="1861"/>
      <c r="BQ11" s="1861"/>
      <c r="BR11" s="1861"/>
      <c r="BS11" s="1861"/>
      <c r="BT11" s="1861"/>
      <c r="BU11" s="1861"/>
      <c r="BV11" s="1861"/>
      <c r="BW11" s="1861"/>
      <c r="BX11" s="1861"/>
      <c r="BY11" s="1861"/>
      <c r="BZ11" s="1861"/>
      <c r="CA11" s="1861"/>
      <c r="CB11" s="1861"/>
      <c r="CC11" s="1861"/>
      <c r="CD11" s="1861"/>
      <c r="CE11" s="1861"/>
      <c r="CF11" s="1861"/>
      <c r="CG11" s="1861"/>
      <c r="CH11" s="1861"/>
      <c r="CI11" s="1861"/>
      <c r="CJ11" s="1861"/>
      <c r="CK11" s="1861"/>
      <c r="CL11" s="1861"/>
      <c r="CM11" s="1861"/>
      <c r="CN11" s="1862" t="s">
        <v>2095</v>
      </c>
      <c r="CO11" s="1858"/>
      <c r="CP11" s="1858"/>
      <c r="CQ11" s="1858"/>
      <c r="CR11" s="1858"/>
      <c r="CS11" s="1858"/>
      <c r="CT11" s="1858"/>
      <c r="CU11" s="1859"/>
      <c r="CV11" s="1554" t="s">
        <v>1055</v>
      </c>
      <c r="CW11" s="1554" t="s">
        <v>5</v>
      </c>
      <c r="CX11" s="1555">
        <v>30942438.129999999</v>
      </c>
      <c r="CY11" s="1555">
        <v>21000000</v>
      </c>
      <c r="CZ11" s="1555">
        <v>21000000</v>
      </c>
      <c r="DA11" s="880">
        <v>0</v>
      </c>
    </row>
    <row r="12" spans="1:105" customFormat="1" ht="15" x14ac:dyDescent="0.25">
      <c r="A12" s="1858" t="s">
        <v>2096</v>
      </c>
      <c r="B12" s="1858"/>
      <c r="C12" s="1858"/>
      <c r="D12" s="1858"/>
      <c r="E12" s="1858"/>
      <c r="F12" s="1858"/>
      <c r="G12" s="1858"/>
      <c r="H12" s="1859"/>
      <c r="I12" s="1860" t="s">
        <v>2097</v>
      </c>
      <c r="J12" s="1861"/>
      <c r="K12" s="1861"/>
      <c r="L12" s="1861"/>
      <c r="M12" s="1861"/>
      <c r="N12" s="1861"/>
      <c r="O12" s="1861"/>
      <c r="P12" s="1861"/>
      <c r="Q12" s="1861"/>
      <c r="R12" s="1861"/>
      <c r="S12" s="1861"/>
      <c r="T12" s="1861"/>
      <c r="U12" s="1861"/>
      <c r="V12" s="1861"/>
      <c r="W12" s="1861"/>
      <c r="X12" s="1861"/>
      <c r="Y12" s="1861"/>
      <c r="Z12" s="1861"/>
      <c r="AA12" s="1861"/>
      <c r="AB12" s="1861"/>
      <c r="AC12" s="1861"/>
      <c r="AD12" s="1861"/>
      <c r="AE12" s="1861"/>
      <c r="AF12" s="1861"/>
      <c r="AG12" s="1861"/>
      <c r="AH12" s="1861"/>
      <c r="AI12" s="1861"/>
      <c r="AJ12" s="1861"/>
      <c r="AK12" s="1861"/>
      <c r="AL12" s="1861"/>
      <c r="AM12" s="1861"/>
      <c r="AN12" s="1861"/>
      <c r="AO12" s="1861"/>
      <c r="AP12" s="1861"/>
      <c r="AQ12" s="1861"/>
      <c r="AR12" s="1861"/>
      <c r="AS12" s="1861"/>
      <c r="AT12" s="1861"/>
      <c r="AU12" s="1861"/>
      <c r="AV12" s="1861"/>
      <c r="AW12" s="1861"/>
      <c r="AX12" s="1861"/>
      <c r="AY12" s="1861"/>
      <c r="AZ12" s="1861"/>
      <c r="BA12" s="1861"/>
      <c r="BB12" s="1861"/>
      <c r="BC12" s="1861"/>
      <c r="BD12" s="1861"/>
      <c r="BE12" s="1861"/>
      <c r="BF12" s="1861"/>
      <c r="BG12" s="1861"/>
      <c r="BH12" s="1861"/>
      <c r="BI12" s="1861"/>
      <c r="BJ12" s="1861"/>
      <c r="BK12" s="1861"/>
      <c r="BL12" s="1861"/>
      <c r="BM12" s="1861"/>
      <c r="BN12" s="1861"/>
      <c r="BO12" s="1861"/>
      <c r="BP12" s="1861"/>
      <c r="BQ12" s="1861"/>
      <c r="BR12" s="1861"/>
      <c r="BS12" s="1861"/>
      <c r="BT12" s="1861"/>
      <c r="BU12" s="1861"/>
      <c r="BV12" s="1861"/>
      <c r="BW12" s="1861"/>
      <c r="BX12" s="1861"/>
      <c r="BY12" s="1861"/>
      <c r="BZ12" s="1861"/>
      <c r="CA12" s="1861"/>
      <c r="CB12" s="1861"/>
      <c r="CC12" s="1861"/>
      <c r="CD12" s="1861"/>
      <c r="CE12" s="1861"/>
      <c r="CF12" s="1861"/>
      <c r="CG12" s="1861"/>
      <c r="CH12" s="1861"/>
      <c r="CI12" s="1861"/>
      <c r="CJ12" s="1861"/>
      <c r="CK12" s="1861"/>
      <c r="CL12" s="1861"/>
      <c r="CM12" s="1861"/>
      <c r="CN12" s="1862" t="s">
        <v>2098</v>
      </c>
      <c r="CO12" s="1858"/>
      <c r="CP12" s="1858"/>
      <c r="CQ12" s="1858"/>
      <c r="CR12" s="1858"/>
      <c r="CS12" s="1858"/>
      <c r="CT12" s="1858"/>
      <c r="CU12" s="1859"/>
      <c r="CV12" s="1554" t="s">
        <v>1055</v>
      </c>
      <c r="CW12" s="1554" t="s">
        <v>2099</v>
      </c>
      <c r="CX12" s="1555">
        <v>30942438.129999999</v>
      </c>
      <c r="CY12" s="1555">
        <v>21000000</v>
      </c>
      <c r="CZ12" s="1555">
        <v>21000000</v>
      </c>
      <c r="DA12" s="880">
        <v>0</v>
      </c>
    </row>
    <row r="13" spans="1:105" customFormat="1" ht="15" x14ac:dyDescent="0.25">
      <c r="A13" s="1858" t="s">
        <v>2100</v>
      </c>
      <c r="B13" s="1858"/>
      <c r="C13" s="1858"/>
      <c r="D13" s="1858"/>
      <c r="E13" s="1858"/>
      <c r="F13" s="1858"/>
      <c r="G13" s="1858"/>
      <c r="H13" s="1859"/>
      <c r="I13" s="1860" t="s">
        <v>2097</v>
      </c>
      <c r="J13" s="1861"/>
      <c r="K13" s="1861"/>
      <c r="L13" s="1861"/>
      <c r="M13" s="1861"/>
      <c r="N13" s="1861"/>
      <c r="O13" s="1861"/>
      <c r="P13" s="1861"/>
      <c r="Q13" s="1861"/>
      <c r="R13" s="1861"/>
      <c r="S13" s="1861"/>
      <c r="T13" s="1861"/>
      <c r="U13" s="1861"/>
      <c r="V13" s="1861"/>
      <c r="W13" s="1861"/>
      <c r="X13" s="1861"/>
      <c r="Y13" s="1861"/>
      <c r="Z13" s="1861"/>
      <c r="AA13" s="1861"/>
      <c r="AB13" s="1861"/>
      <c r="AC13" s="1861"/>
      <c r="AD13" s="1861"/>
      <c r="AE13" s="1861"/>
      <c r="AF13" s="1861"/>
      <c r="AG13" s="1861"/>
      <c r="AH13" s="1861"/>
      <c r="AI13" s="1861"/>
      <c r="AJ13" s="1861"/>
      <c r="AK13" s="1861"/>
      <c r="AL13" s="1861"/>
      <c r="AM13" s="1861"/>
      <c r="AN13" s="1861"/>
      <c r="AO13" s="1861"/>
      <c r="AP13" s="1861"/>
      <c r="AQ13" s="1861"/>
      <c r="AR13" s="1861"/>
      <c r="AS13" s="1861"/>
      <c r="AT13" s="1861"/>
      <c r="AU13" s="1861"/>
      <c r="AV13" s="1861"/>
      <c r="AW13" s="1861"/>
      <c r="AX13" s="1861"/>
      <c r="AY13" s="1861"/>
      <c r="AZ13" s="1861"/>
      <c r="BA13" s="1861"/>
      <c r="BB13" s="1861"/>
      <c r="BC13" s="1861"/>
      <c r="BD13" s="1861"/>
      <c r="BE13" s="1861"/>
      <c r="BF13" s="1861"/>
      <c r="BG13" s="1861"/>
      <c r="BH13" s="1861"/>
      <c r="BI13" s="1861"/>
      <c r="BJ13" s="1861"/>
      <c r="BK13" s="1861"/>
      <c r="BL13" s="1861"/>
      <c r="BM13" s="1861"/>
      <c r="BN13" s="1861"/>
      <c r="BO13" s="1861"/>
      <c r="BP13" s="1861"/>
      <c r="BQ13" s="1861"/>
      <c r="BR13" s="1861"/>
      <c r="BS13" s="1861"/>
      <c r="BT13" s="1861"/>
      <c r="BU13" s="1861"/>
      <c r="BV13" s="1861"/>
      <c r="BW13" s="1861"/>
      <c r="BX13" s="1861"/>
      <c r="BY13" s="1861"/>
      <c r="BZ13" s="1861"/>
      <c r="CA13" s="1861"/>
      <c r="CB13" s="1861"/>
      <c r="CC13" s="1861"/>
      <c r="CD13" s="1861"/>
      <c r="CE13" s="1861"/>
      <c r="CF13" s="1861"/>
      <c r="CG13" s="1861"/>
      <c r="CH13" s="1861"/>
      <c r="CI13" s="1861"/>
      <c r="CJ13" s="1861"/>
      <c r="CK13" s="1861"/>
      <c r="CL13" s="1861"/>
      <c r="CM13" s="1861"/>
      <c r="CN13" s="1862" t="s">
        <v>2101</v>
      </c>
      <c r="CO13" s="1858"/>
      <c r="CP13" s="1858"/>
      <c r="CQ13" s="1858"/>
      <c r="CR13" s="1858"/>
      <c r="CS13" s="1858"/>
      <c r="CT13" s="1858"/>
      <c r="CU13" s="1859"/>
      <c r="CV13" s="1554" t="s">
        <v>1055</v>
      </c>
      <c r="CW13" s="1554" t="s">
        <v>2099</v>
      </c>
      <c r="CX13" s="1555">
        <v>0</v>
      </c>
      <c r="CY13" s="1555">
        <v>0</v>
      </c>
      <c r="CZ13" s="1555">
        <v>0</v>
      </c>
      <c r="DA13" s="880">
        <v>0</v>
      </c>
    </row>
    <row r="14" spans="1:105" customFormat="1" ht="15" x14ac:dyDescent="0.25">
      <c r="A14" s="1858" t="s">
        <v>2102</v>
      </c>
      <c r="B14" s="1858"/>
      <c r="C14" s="1858"/>
      <c r="D14" s="1858"/>
      <c r="E14" s="1858"/>
      <c r="F14" s="1858"/>
      <c r="G14" s="1858"/>
      <c r="H14" s="1859"/>
      <c r="I14" s="1860" t="s">
        <v>2103</v>
      </c>
      <c r="J14" s="1861"/>
      <c r="K14" s="1861"/>
      <c r="L14" s="1861"/>
      <c r="M14" s="1861"/>
      <c r="N14" s="1861"/>
      <c r="O14" s="1861"/>
      <c r="P14" s="1861"/>
      <c r="Q14" s="1861"/>
      <c r="R14" s="1861"/>
      <c r="S14" s="1861"/>
      <c r="T14" s="1861"/>
      <c r="U14" s="1861"/>
      <c r="V14" s="1861"/>
      <c r="W14" s="1861"/>
      <c r="X14" s="1861"/>
      <c r="Y14" s="1861"/>
      <c r="Z14" s="1861"/>
      <c r="AA14" s="1861"/>
      <c r="AB14" s="1861"/>
      <c r="AC14" s="1861"/>
      <c r="AD14" s="1861"/>
      <c r="AE14" s="1861"/>
      <c r="AF14" s="1861"/>
      <c r="AG14" s="1861"/>
      <c r="AH14" s="1861"/>
      <c r="AI14" s="1861"/>
      <c r="AJ14" s="1861"/>
      <c r="AK14" s="1861"/>
      <c r="AL14" s="1861"/>
      <c r="AM14" s="1861"/>
      <c r="AN14" s="1861"/>
      <c r="AO14" s="1861"/>
      <c r="AP14" s="1861"/>
      <c r="AQ14" s="1861"/>
      <c r="AR14" s="1861"/>
      <c r="AS14" s="1861"/>
      <c r="AT14" s="1861"/>
      <c r="AU14" s="1861"/>
      <c r="AV14" s="1861"/>
      <c r="AW14" s="1861"/>
      <c r="AX14" s="1861"/>
      <c r="AY14" s="1861"/>
      <c r="AZ14" s="1861"/>
      <c r="BA14" s="1861"/>
      <c r="BB14" s="1861"/>
      <c r="BC14" s="1861"/>
      <c r="BD14" s="1861"/>
      <c r="BE14" s="1861"/>
      <c r="BF14" s="1861"/>
      <c r="BG14" s="1861"/>
      <c r="BH14" s="1861"/>
      <c r="BI14" s="1861"/>
      <c r="BJ14" s="1861"/>
      <c r="BK14" s="1861"/>
      <c r="BL14" s="1861"/>
      <c r="BM14" s="1861"/>
      <c r="BN14" s="1861"/>
      <c r="BO14" s="1861"/>
      <c r="BP14" s="1861"/>
      <c r="BQ14" s="1861"/>
      <c r="BR14" s="1861"/>
      <c r="BS14" s="1861"/>
      <c r="BT14" s="1861"/>
      <c r="BU14" s="1861"/>
      <c r="BV14" s="1861"/>
      <c r="BW14" s="1861"/>
      <c r="BX14" s="1861"/>
      <c r="BY14" s="1861"/>
      <c r="BZ14" s="1861"/>
      <c r="CA14" s="1861"/>
      <c r="CB14" s="1861"/>
      <c r="CC14" s="1861"/>
      <c r="CD14" s="1861"/>
      <c r="CE14" s="1861"/>
      <c r="CF14" s="1861"/>
      <c r="CG14" s="1861"/>
      <c r="CH14" s="1861"/>
      <c r="CI14" s="1861"/>
      <c r="CJ14" s="1861"/>
      <c r="CK14" s="1861"/>
      <c r="CL14" s="1861"/>
      <c r="CM14" s="1861"/>
      <c r="CN14" s="1862" t="s">
        <v>2104</v>
      </c>
      <c r="CO14" s="1858"/>
      <c r="CP14" s="1858"/>
      <c r="CQ14" s="1858"/>
      <c r="CR14" s="1858"/>
      <c r="CS14" s="1858"/>
      <c r="CT14" s="1858"/>
      <c r="CU14" s="1859"/>
      <c r="CV14" s="1554" t="s">
        <v>1055</v>
      </c>
      <c r="CW14" s="1554" t="s">
        <v>5</v>
      </c>
      <c r="CX14" s="1555">
        <v>0</v>
      </c>
      <c r="CY14" s="1555">
        <v>0</v>
      </c>
      <c r="CZ14" s="1555">
        <v>0</v>
      </c>
      <c r="DA14" s="880">
        <v>0</v>
      </c>
    </row>
    <row r="15" spans="1:105" customFormat="1" ht="24" customHeight="1" x14ac:dyDescent="0.25">
      <c r="A15" s="1858" t="s">
        <v>630</v>
      </c>
      <c r="B15" s="1858"/>
      <c r="C15" s="1858"/>
      <c r="D15" s="1858"/>
      <c r="E15" s="1858"/>
      <c r="F15" s="1858"/>
      <c r="G15" s="1858"/>
      <c r="H15" s="1859"/>
      <c r="I15" s="1860" t="s">
        <v>1037</v>
      </c>
      <c r="J15" s="1861"/>
      <c r="K15" s="1861"/>
      <c r="L15" s="1861"/>
      <c r="M15" s="1861"/>
      <c r="N15" s="1861"/>
      <c r="O15" s="1861"/>
      <c r="P15" s="1861"/>
      <c r="Q15" s="1861"/>
      <c r="R15" s="1861"/>
      <c r="S15" s="1861"/>
      <c r="T15" s="1861"/>
      <c r="U15" s="1861"/>
      <c r="V15" s="1861"/>
      <c r="W15" s="1861"/>
      <c r="X15" s="1861"/>
      <c r="Y15" s="1861"/>
      <c r="Z15" s="1861"/>
      <c r="AA15" s="1861"/>
      <c r="AB15" s="1861"/>
      <c r="AC15" s="1861"/>
      <c r="AD15" s="1861"/>
      <c r="AE15" s="1861"/>
      <c r="AF15" s="1861"/>
      <c r="AG15" s="1861"/>
      <c r="AH15" s="1861"/>
      <c r="AI15" s="1861"/>
      <c r="AJ15" s="1861"/>
      <c r="AK15" s="1861"/>
      <c r="AL15" s="1861"/>
      <c r="AM15" s="1861"/>
      <c r="AN15" s="1861"/>
      <c r="AO15" s="1861"/>
      <c r="AP15" s="1861"/>
      <c r="AQ15" s="1861"/>
      <c r="AR15" s="1861"/>
      <c r="AS15" s="1861"/>
      <c r="AT15" s="1861"/>
      <c r="AU15" s="1861"/>
      <c r="AV15" s="1861"/>
      <c r="AW15" s="1861"/>
      <c r="AX15" s="1861"/>
      <c r="AY15" s="1861"/>
      <c r="AZ15" s="1861"/>
      <c r="BA15" s="1861"/>
      <c r="BB15" s="1861"/>
      <c r="BC15" s="1861"/>
      <c r="BD15" s="1861"/>
      <c r="BE15" s="1861"/>
      <c r="BF15" s="1861"/>
      <c r="BG15" s="1861"/>
      <c r="BH15" s="1861"/>
      <c r="BI15" s="1861"/>
      <c r="BJ15" s="1861"/>
      <c r="BK15" s="1861"/>
      <c r="BL15" s="1861"/>
      <c r="BM15" s="1861"/>
      <c r="BN15" s="1861"/>
      <c r="BO15" s="1861"/>
      <c r="BP15" s="1861"/>
      <c r="BQ15" s="1861"/>
      <c r="BR15" s="1861"/>
      <c r="BS15" s="1861"/>
      <c r="BT15" s="1861"/>
      <c r="BU15" s="1861"/>
      <c r="BV15" s="1861"/>
      <c r="BW15" s="1861"/>
      <c r="BX15" s="1861"/>
      <c r="BY15" s="1861"/>
      <c r="BZ15" s="1861"/>
      <c r="CA15" s="1861"/>
      <c r="CB15" s="1861"/>
      <c r="CC15" s="1861"/>
      <c r="CD15" s="1861"/>
      <c r="CE15" s="1861"/>
      <c r="CF15" s="1861"/>
      <c r="CG15" s="1861"/>
      <c r="CH15" s="1861"/>
      <c r="CI15" s="1861"/>
      <c r="CJ15" s="1861"/>
      <c r="CK15" s="1861"/>
      <c r="CL15" s="1861"/>
      <c r="CM15" s="1861"/>
      <c r="CN15" s="1862" t="s">
        <v>1038</v>
      </c>
      <c r="CO15" s="1858"/>
      <c r="CP15" s="1858"/>
      <c r="CQ15" s="1858"/>
      <c r="CR15" s="1858"/>
      <c r="CS15" s="1858"/>
      <c r="CT15" s="1858"/>
      <c r="CU15" s="1859"/>
      <c r="CV15" s="1554" t="s">
        <v>1055</v>
      </c>
      <c r="CW15" s="1554" t="s">
        <v>5</v>
      </c>
      <c r="CX15" s="1555">
        <v>57803603.990000002</v>
      </c>
      <c r="CY15" s="1555">
        <v>9160734.3699999992</v>
      </c>
      <c r="CZ15" s="1555">
        <v>9364414.4399999995</v>
      </c>
      <c r="DA15" s="880">
        <v>0</v>
      </c>
    </row>
    <row r="16" spans="1:105" customFormat="1" ht="24" customHeight="1" x14ac:dyDescent="0.25">
      <c r="A16" s="1858" t="s">
        <v>2105</v>
      </c>
      <c r="B16" s="1858"/>
      <c r="C16" s="1858"/>
      <c r="D16" s="1858"/>
      <c r="E16" s="1858"/>
      <c r="F16" s="1858"/>
      <c r="G16" s="1858"/>
      <c r="H16" s="1859"/>
      <c r="I16" s="1860" t="s">
        <v>2106</v>
      </c>
      <c r="J16" s="1861"/>
      <c r="K16" s="1861"/>
      <c r="L16" s="1861"/>
      <c r="M16" s="1861"/>
      <c r="N16" s="1861"/>
      <c r="O16" s="1861"/>
      <c r="P16" s="1861"/>
      <c r="Q16" s="1861"/>
      <c r="R16" s="1861"/>
      <c r="S16" s="1861"/>
      <c r="T16" s="1861"/>
      <c r="U16" s="1861"/>
      <c r="V16" s="1861"/>
      <c r="W16" s="1861"/>
      <c r="X16" s="1861"/>
      <c r="Y16" s="1861"/>
      <c r="Z16" s="1861"/>
      <c r="AA16" s="1861"/>
      <c r="AB16" s="1861"/>
      <c r="AC16" s="1861"/>
      <c r="AD16" s="1861"/>
      <c r="AE16" s="1861"/>
      <c r="AF16" s="1861"/>
      <c r="AG16" s="1861"/>
      <c r="AH16" s="1861"/>
      <c r="AI16" s="1861"/>
      <c r="AJ16" s="1861"/>
      <c r="AK16" s="1861"/>
      <c r="AL16" s="1861"/>
      <c r="AM16" s="1861"/>
      <c r="AN16" s="1861"/>
      <c r="AO16" s="1861"/>
      <c r="AP16" s="1861"/>
      <c r="AQ16" s="1861"/>
      <c r="AR16" s="1861"/>
      <c r="AS16" s="1861"/>
      <c r="AT16" s="1861"/>
      <c r="AU16" s="1861"/>
      <c r="AV16" s="1861"/>
      <c r="AW16" s="1861"/>
      <c r="AX16" s="1861"/>
      <c r="AY16" s="1861"/>
      <c r="AZ16" s="1861"/>
      <c r="BA16" s="1861"/>
      <c r="BB16" s="1861"/>
      <c r="BC16" s="1861"/>
      <c r="BD16" s="1861"/>
      <c r="BE16" s="1861"/>
      <c r="BF16" s="1861"/>
      <c r="BG16" s="1861"/>
      <c r="BH16" s="1861"/>
      <c r="BI16" s="1861"/>
      <c r="BJ16" s="1861"/>
      <c r="BK16" s="1861"/>
      <c r="BL16" s="1861"/>
      <c r="BM16" s="1861"/>
      <c r="BN16" s="1861"/>
      <c r="BO16" s="1861"/>
      <c r="BP16" s="1861"/>
      <c r="BQ16" s="1861"/>
      <c r="BR16" s="1861"/>
      <c r="BS16" s="1861"/>
      <c r="BT16" s="1861"/>
      <c r="BU16" s="1861"/>
      <c r="BV16" s="1861"/>
      <c r="BW16" s="1861"/>
      <c r="BX16" s="1861"/>
      <c r="BY16" s="1861"/>
      <c r="BZ16" s="1861"/>
      <c r="CA16" s="1861"/>
      <c r="CB16" s="1861"/>
      <c r="CC16" s="1861"/>
      <c r="CD16" s="1861"/>
      <c r="CE16" s="1861"/>
      <c r="CF16" s="1861"/>
      <c r="CG16" s="1861"/>
      <c r="CH16" s="1861"/>
      <c r="CI16" s="1861"/>
      <c r="CJ16" s="1861"/>
      <c r="CK16" s="1861"/>
      <c r="CL16" s="1861"/>
      <c r="CM16" s="1861"/>
      <c r="CN16" s="1862" t="s">
        <v>1039</v>
      </c>
      <c r="CO16" s="1858"/>
      <c r="CP16" s="1858"/>
      <c r="CQ16" s="1858"/>
      <c r="CR16" s="1858"/>
      <c r="CS16" s="1858"/>
      <c r="CT16" s="1858"/>
      <c r="CU16" s="1859"/>
      <c r="CV16" s="1554" t="s">
        <v>1055</v>
      </c>
      <c r="CW16" s="1554" t="s">
        <v>5</v>
      </c>
      <c r="CX16" s="1555">
        <v>51864396.979999997</v>
      </c>
      <c r="CY16" s="1555">
        <v>9123234.3699999992</v>
      </c>
      <c r="CZ16" s="1555">
        <v>9326914.4399999995</v>
      </c>
      <c r="DA16" s="880">
        <v>0</v>
      </c>
    </row>
    <row r="17" spans="1:105" customFormat="1" ht="15" x14ac:dyDescent="0.25">
      <c r="A17" s="1858" t="s">
        <v>2107</v>
      </c>
      <c r="B17" s="1858"/>
      <c r="C17" s="1858"/>
      <c r="D17" s="1858"/>
      <c r="E17" s="1858"/>
      <c r="F17" s="1858"/>
      <c r="G17" s="1858"/>
      <c r="H17" s="1859"/>
      <c r="I17" s="1860" t="s">
        <v>1040</v>
      </c>
      <c r="J17" s="1861"/>
      <c r="K17" s="1861"/>
      <c r="L17" s="1861"/>
      <c r="M17" s="1861"/>
      <c r="N17" s="1861"/>
      <c r="O17" s="1861"/>
      <c r="P17" s="1861"/>
      <c r="Q17" s="1861"/>
      <c r="R17" s="1861"/>
      <c r="S17" s="1861"/>
      <c r="T17" s="1861"/>
      <c r="U17" s="1861"/>
      <c r="V17" s="1861"/>
      <c r="W17" s="1861"/>
      <c r="X17" s="1861"/>
      <c r="Y17" s="1861"/>
      <c r="Z17" s="1861"/>
      <c r="AA17" s="1861"/>
      <c r="AB17" s="1861"/>
      <c r="AC17" s="1861"/>
      <c r="AD17" s="1861"/>
      <c r="AE17" s="1861"/>
      <c r="AF17" s="1861"/>
      <c r="AG17" s="1861"/>
      <c r="AH17" s="1861"/>
      <c r="AI17" s="1861"/>
      <c r="AJ17" s="1861"/>
      <c r="AK17" s="1861"/>
      <c r="AL17" s="1861"/>
      <c r="AM17" s="1861"/>
      <c r="AN17" s="1861"/>
      <c r="AO17" s="1861"/>
      <c r="AP17" s="1861"/>
      <c r="AQ17" s="1861"/>
      <c r="AR17" s="1861"/>
      <c r="AS17" s="1861"/>
      <c r="AT17" s="1861"/>
      <c r="AU17" s="1861"/>
      <c r="AV17" s="1861"/>
      <c r="AW17" s="1861"/>
      <c r="AX17" s="1861"/>
      <c r="AY17" s="1861"/>
      <c r="AZ17" s="1861"/>
      <c r="BA17" s="1861"/>
      <c r="BB17" s="1861"/>
      <c r="BC17" s="1861"/>
      <c r="BD17" s="1861"/>
      <c r="BE17" s="1861"/>
      <c r="BF17" s="1861"/>
      <c r="BG17" s="1861"/>
      <c r="BH17" s="1861"/>
      <c r="BI17" s="1861"/>
      <c r="BJ17" s="1861"/>
      <c r="BK17" s="1861"/>
      <c r="BL17" s="1861"/>
      <c r="BM17" s="1861"/>
      <c r="BN17" s="1861"/>
      <c r="BO17" s="1861"/>
      <c r="BP17" s="1861"/>
      <c r="BQ17" s="1861"/>
      <c r="BR17" s="1861"/>
      <c r="BS17" s="1861"/>
      <c r="BT17" s="1861"/>
      <c r="BU17" s="1861"/>
      <c r="BV17" s="1861"/>
      <c r="BW17" s="1861"/>
      <c r="BX17" s="1861"/>
      <c r="BY17" s="1861"/>
      <c r="BZ17" s="1861"/>
      <c r="CA17" s="1861"/>
      <c r="CB17" s="1861"/>
      <c r="CC17" s="1861"/>
      <c r="CD17" s="1861"/>
      <c r="CE17" s="1861"/>
      <c r="CF17" s="1861"/>
      <c r="CG17" s="1861"/>
      <c r="CH17" s="1861"/>
      <c r="CI17" s="1861"/>
      <c r="CJ17" s="1861"/>
      <c r="CK17" s="1861"/>
      <c r="CL17" s="1861"/>
      <c r="CM17" s="1861"/>
      <c r="CN17" s="1862" t="s">
        <v>1041</v>
      </c>
      <c r="CO17" s="1858"/>
      <c r="CP17" s="1858"/>
      <c r="CQ17" s="1858"/>
      <c r="CR17" s="1858"/>
      <c r="CS17" s="1858"/>
      <c r="CT17" s="1858"/>
      <c r="CU17" s="1859"/>
      <c r="CV17" s="1554" t="s">
        <v>1055</v>
      </c>
      <c r="CW17" s="1554" t="s">
        <v>5</v>
      </c>
      <c r="CX17" s="1555">
        <v>51864396.979999997</v>
      </c>
      <c r="CY17" s="1555">
        <v>9123234.3699999992</v>
      </c>
      <c r="CZ17" s="1555">
        <v>9326914.4399999995</v>
      </c>
      <c r="DA17" s="880">
        <v>0</v>
      </c>
    </row>
    <row r="18" spans="1:105" customFormat="1" ht="15" x14ac:dyDescent="0.25">
      <c r="A18" s="1858" t="s">
        <v>2108</v>
      </c>
      <c r="B18" s="1858"/>
      <c r="C18" s="1858"/>
      <c r="D18" s="1858"/>
      <c r="E18" s="1858"/>
      <c r="F18" s="1858"/>
      <c r="G18" s="1858"/>
      <c r="H18" s="1859"/>
      <c r="I18" s="1860" t="s">
        <v>1042</v>
      </c>
      <c r="J18" s="1861"/>
      <c r="K18" s="1861"/>
      <c r="L18" s="1861"/>
      <c r="M18" s="1861"/>
      <c r="N18" s="1861"/>
      <c r="O18" s="1861"/>
      <c r="P18" s="1861"/>
      <c r="Q18" s="1861"/>
      <c r="R18" s="1861"/>
      <c r="S18" s="1861"/>
      <c r="T18" s="1861"/>
      <c r="U18" s="1861"/>
      <c r="V18" s="1861"/>
      <c r="W18" s="1861"/>
      <c r="X18" s="1861"/>
      <c r="Y18" s="1861"/>
      <c r="Z18" s="1861"/>
      <c r="AA18" s="1861"/>
      <c r="AB18" s="1861"/>
      <c r="AC18" s="1861"/>
      <c r="AD18" s="1861"/>
      <c r="AE18" s="1861"/>
      <c r="AF18" s="1861"/>
      <c r="AG18" s="1861"/>
      <c r="AH18" s="1861"/>
      <c r="AI18" s="1861"/>
      <c r="AJ18" s="1861"/>
      <c r="AK18" s="1861"/>
      <c r="AL18" s="1861"/>
      <c r="AM18" s="1861"/>
      <c r="AN18" s="1861"/>
      <c r="AO18" s="1861"/>
      <c r="AP18" s="1861"/>
      <c r="AQ18" s="1861"/>
      <c r="AR18" s="1861"/>
      <c r="AS18" s="1861"/>
      <c r="AT18" s="1861"/>
      <c r="AU18" s="1861"/>
      <c r="AV18" s="1861"/>
      <c r="AW18" s="1861"/>
      <c r="AX18" s="1861"/>
      <c r="AY18" s="1861"/>
      <c r="AZ18" s="1861"/>
      <c r="BA18" s="1861"/>
      <c r="BB18" s="1861"/>
      <c r="BC18" s="1861"/>
      <c r="BD18" s="1861"/>
      <c r="BE18" s="1861"/>
      <c r="BF18" s="1861"/>
      <c r="BG18" s="1861"/>
      <c r="BH18" s="1861"/>
      <c r="BI18" s="1861"/>
      <c r="BJ18" s="1861"/>
      <c r="BK18" s="1861"/>
      <c r="BL18" s="1861"/>
      <c r="BM18" s="1861"/>
      <c r="BN18" s="1861"/>
      <c r="BO18" s="1861"/>
      <c r="BP18" s="1861"/>
      <c r="BQ18" s="1861"/>
      <c r="BR18" s="1861"/>
      <c r="BS18" s="1861"/>
      <c r="BT18" s="1861"/>
      <c r="BU18" s="1861"/>
      <c r="BV18" s="1861"/>
      <c r="BW18" s="1861"/>
      <c r="BX18" s="1861"/>
      <c r="BY18" s="1861"/>
      <c r="BZ18" s="1861"/>
      <c r="CA18" s="1861"/>
      <c r="CB18" s="1861"/>
      <c r="CC18" s="1861"/>
      <c r="CD18" s="1861"/>
      <c r="CE18" s="1861"/>
      <c r="CF18" s="1861"/>
      <c r="CG18" s="1861"/>
      <c r="CH18" s="1861"/>
      <c r="CI18" s="1861"/>
      <c r="CJ18" s="1861"/>
      <c r="CK18" s="1861"/>
      <c r="CL18" s="1861"/>
      <c r="CM18" s="1861"/>
      <c r="CN18" s="1862" t="s">
        <v>1043</v>
      </c>
      <c r="CO18" s="1858"/>
      <c r="CP18" s="1858"/>
      <c r="CQ18" s="1858"/>
      <c r="CR18" s="1858"/>
      <c r="CS18" s="1858"/>
      <c r="CT18" s="1858"/>
      <c r="CU18" s="1859"/>
      <c r="CV18" s="1554" t="s">
        <v>1055</v>
      </c>
      <c r="CW18" s="1554" t="s">
        <v>5</v>
      </c>
      <c r="CX18" s="1555">
        <v>0</v>
      </c>
      <c r="CY18" s="1555">
        <v>0</v>
      </c>
      <c r="CZ18" s="1555">
        <v>0</v>
      </c>
      <c r="DA18" s="880">
        <v>0</v>
      </c>
    </row>
    <row r="19" spans="1:105" customFormat="1" ht="24" customHeight="1" x14ac:dyDescent="0.25">
      <c r="A19" s="1858" t="s">
        <v>2109</v>
      </c>
      <c r="B19" s="1858"/>
      <c r="C19" s="1858"/>
      <c r="D19" s="1858"/>
      <c r="E19" s="1858"/>
      <c r="F19" s="1858"/>
      <c r="G19" s="1858"/>
      <c r="H19" s="1859"/>
      <c r="I19" s="1860" t="s">
        <v>1044</v>
      </c>
      <c r="J19" s="1861"/>
      <c r="K19" s="1861"/>
      <c r="L19" s="1861"/>
      <c r="M19" s="1861"/>
      <c r="N19" s="1861"/>
      <c r="O19" s="1861"/>
      <c r="P19" s="1861"/>
      <c r="Q19" s="1861"/>
      <c r="R19" s="1861"/>
      <c r="S19" s="1861"/>
      <c r="T19" s="1861"/>
      <c r="U19" s="1861"/>
      <c r="V19" s="1861"/>
      <c r="W19" s="1861"/>
      <c r="X19" s="1861"/>
      <c r="Y19" s="1861"/>
      <c r="Z19" s="1861"/>
      <c r="AA19" s="1861"/>
      <c r="AB19" s="1861"/>
      <c r="AC19" s="1861"/>
      <c r="AD19" s="1861"/>
      <c r="AE19" s="1861"/>
      <c r="AF19" s="1861"/>
      <c r="AG19" s="1861"/>
      <c r="AH19" s="1861"/>
      <c r="AI19" s="1861"/>
      <c r="AJ19" s="1861"/>
      <c r="AK19" s="1861"/>
      <c r="AL19" s="1861"/>
      <c r="AM19" s="1861"/>
      <c r="AN19" s="1861"/>
      <c r="AO19" s="1861"/>
      <c r="AP19" s="1861"/>
      <c r="AQ19" s="1861"/>
      <c r="AR19" s="1861"/>
      <c r="AS19" s="1861"/>
      <c r="AT19" s="1861"/>
      <c r="AU19" s="1861"/>
      <c r="AV19" s="1861"/>
      <c r="AW19" s="1861"/>
      <c r="AX19" s="1861"/>
      <c r="AY19" s="1861"/>
      <c r="AZ19" s="1861"/>
      <c r="BA19" s="1861"/>
      <c r="BB19" s="1861"/>
      <c r="BC19" s="1861"/>
      <c r="BD19" s="1861"/>
      <c r="BE19" s="1861"/>
      <c r="BF19" s="1861"/>
      <c r="BG19" s="1861"/>
      <c r="BH19" s="1861"/>
      <c r="BI19" s="1861"/>
      <c r="BJ19" s="1861"/>
      <c r="BK19" s="1861"/>
      <c r="BL19" s="1861"/>
      <c r="BM19" s="1861"/>
      <c r="BN19" s="1861"/>
      <c r="BO19" s="1861"/>
      <c r="BP19" s="1861"/>
      <c r="BQ19" s="1861"/>
      <c r="BR19" s="1861"/>
      <c r="BS19" s="1861"/>
      <c r="BT19" s="1861"/>
      <c r="BU19" s="1861"/>
      <c r="BV19" s="1861"/>
      <c r="BW19" s="1861"/>
      <c r="BX19" s="1861"/>
      <c r="BY19" s="1861"/>
      <c r="BZ19" s="1861"/>
      <c r="CA19" s="1861"/>
      <c r="CB19" s="1861"/>
      <c r="CC19" s="1861"/>
      <c r="CD19" s="1861"/>
      <c r="CE19" s="1861"/>
      <c r="CF19" s="1861"/>
      <c r="CG19" s="1861"/>
      <c r="CH19" s="1861"/>
      <c r="CI19" s="1861"/>
      <c r="CJ19" s="1861"/>
      <c r="CK19" s="1861"/>
      <c r="CL19" s="1861"/>
      <c r="CM19" s="1861"/>
      <c r="CN19" s="1862" t="s">
        <v>1045</v>
      </c>
      <c r="CO19" s="1858"/>
      <c r="CP19" s="1858"/>
      <c r="CQ19" s="1858"/>
      <c r="CR19" s="1858"/>
      <c r="CS19" s="1858"/>
      <c r="CT19" s="1858"/>
      <c r="CU19" s="1859"/>
      <c r="CV19" s="1554" t="s">
        <v>1055</v>
      </c>
      <c r="CW19" s="1554" t="s">
        <v>5</v>
      </c>
      <c r="CX19" s="1555">
        <v>3395161</v>
      </c>
      <c r="CY19" s="1555">
        <v>37500</v>
      </c>
      <c r="CZ19" s="1555">
        <v>37500</v>
      </c>
      <c r="DA19" s="880">
        <v>0</v>
      </c>
    </row>
    <row r="20" spans="1:105" customFormat="1" ht="15" x14ac:dyDescent="0.25">
      <c r="A20" s="1858" t="s">
        <v>2110</v>
      </c>
      <c r="B20" s="1858"/>
      <c r="C20" s="1858"/>
      <c r="D20" s="1858"/>
      <c r="E20" s="1858"/>
      <c r="F20" s="1858"/>
      <c r="G20" s="1858"/>
      <c r="H20" s="1859"/>
      <c r="I20" s="1860" t="s">
        <v>1040</v>
      </c>
      <c r="J20" s="1861"/>
      <c r="K20" s="1861"/>
      <c r="L20" s="1861"/>
      <c r="M20" s="1861"/>
      <c r="N20" s="1861"/>
      <c r="O20" s="1861"/>
      <c r="P20" s="1861"/>
      <c r="Q20" s="1861"/>
      <c r="R20" s="1861"/>
      <c r="S20" s="1861"/>
      <c r="T20" s="1861"/>
      <c r="U20" s="1861"/>
      <c r="V20" s="1861"/>
      <c r="W20" s="1861"/>
      <c r="X20" s="1861"/>
      <c r="Y20" s="1861"/>
      <c r="Z20" s="1861"/>
      <c r="AA20" s="1861"/>
      <c r="AB20" s="1861"/>
      <c r="AC20" s="1861"/>
      <c r="AD20" s="1861"/>
      <c r="AE20" s="1861"/>
      <c r="AF20" s="1861"/>
      <c r="AG20" s="1861"/>
      <c r="AH20" s="1861"/>
      <c r="AI20" s="1861"/>
      <c r="AJ20" s="1861"/>
      <c r="AK20" s="1861"/>
      <c r="AL20" s="1861"/>
      <c r="AM20" s="1861"/>
      <c r="AN20" s="1861"/>
      <c r="AO20" s="1861"/>
      <c r="AP20" s="1861"/>
      <c r="AQ20" s="1861"/>
      <c r="AR20" s="1861"/>
      <c r="AS20" s="1861"/>
      <c r="AT20" s="1861"/>
      <c r="AU20" s="1861"/>
      <c r="AV20" s="1861"/>
      <c r="AW20" s="1861"/>
      <c r="AX20" s="1861"/>
      <c r="AY20" s="1861"/>
      <c r="AZ20" s="1861"/>
      <c r="BA20" s="1861"/>
      <c r="BB20" s="1861"/>
      <c r="BC20" s="1861"/>
      <c r="BD20" s="1861"/>
      <c r="BE20" s="1861"/>
      <c r="BF20" s="1861"/>
      <c r="BG20" s="1861"/>
      <c r="BH20" s="1861"/>
      <c r="BI20" s="1861"/>
      <c r="BJ20" s="1861"/>
      <c r="BK20" s="1861"/>
      <c r="BL20" s="1861"/>
      <c r="BM20" s="1861"/>
      <c r="BN20" s="1861"/>
      <c r="BO20" s="1861"/>
      <c r="BP20" s="1861"/>
      <c r="BQ20" s="1861"/>
      <c r="BR20" s="1861"/>
      <c r="BS20" s="1861"/>
      <c r="BT20" s="1861"/>
      <c r="BU20" s="1861"/>
      <c r="BV20" s="1861"/>
      <c r="BW20" s="1861"/>
      <c r="BX20" s="1861"/>
      <c r="BY20" s="1861"/>
      <c r="BZ20" s="1861"/>
      <c r="CA20" s="1861"/>
      <c r="CB20" s="1861"/>
      <c r="CC20" s="1861"/>
      <c r="CD20" s="1861"/>
      <c r="CE20" s="1861"/>
      <c r="CF20" s="1861"/>
      <c r="CG20" s="1861"/>
      <c r="CH20" s="1861"/>
      <c r="CI20" s="1861"/>
      <c r="CJ20" s="1861"/>
      <c r="CK20" s="1861"/>
      <c r="CL20" s="1861"/>
      <c r="CM20" s="1861"/>
      <c r="CN20" s="1862" t="s">
        <v>1046</v>
      </c>
      <c r="CO20" s="1858"/>
      <c r="CP20" s="1858"/>
      <c r="CQ20" s="1858"/>
      <c r="CR20" s="1858"/>
      <c r="CS20" s="1858"/>
      <c r="CT20" s="1858"/>
      <c r="CU20" s="1859"/>
      <c r="CV20" s="1554" t="s">
        <v>1055</v>
      </c>
      <c r="CW20" s="1554" t="s">
        <v>5</v>
      </c>
      <c r="CX20" s="1555">
        <v>3395161</v>
      </c>
      <c r="CY20" s="1555">
        <v>37500</v>
      </c>
      <c r="CZ20" s="1555">
        <v>37500</v>
      </c>
      <c r="DA20" s="880">
        <v>0</v>
      </c>
    </row>
    <row r="21" spans="1:105" customFormat="1" ht="15" x14ac:dyDescent="0.25">
      <c r="A21" s="1858" t="s">
        <v>2111</v>
      </c>
      <c r="B21" s="1858"/>
      <c r="C21" s="1858"/>
      <c r="D21" s="1858"/>
      <c r="E21" s="1858"/>
      <c r="F21" s="1858"/>
      <c r="G21" s="1858"/>
      <c r="H21" s="1859"/>
      <c r="I21" s="1860" t="s">
        <v>2112</v>
      </c>
      <c r="J21" s="1861"/>
      <c r="K21" s="1861"/>
      <c r="L21" s="1861"/>
      <c r="M21" s="1861"/>
      <c r="N21" s="1861"/>
      <c r="O21" s="1861"/>
      <c r="P21" s="1861"/>
      <c r="Q21" s="1861"/>
      <c r="R21" s="1861"/>
      <c r="S21" s="1861"/>
      <c r="T21" s="1861"/>
      <c r="U21" s="1861"/>
      <c r="V21" s="1861"/>
      <c r="W21" s="1861"/>
      <c r="X21" s="1861"/>
      <c r="Y21" s="1861"/>
      <c r="Z21" s="1861"/>
      <c r="AA21" s="1861"/>
      <c r="AB21" s="1861"/>
      <c r="AC21" s="1861"/>
      <c r="AD21" s="1861"/>
      <c r="AE21" s="1861"/>
      <c r="AF21" s="1861"/>
      <c r="AG21" s="1861"/>
      <c r="AH21" s="1861"/>
      <c r="AI21" s="1861"/>
      <c r="AJ21" s="1861"/>
      <c r="AK21" s="1861"/>
      <c r="AL21" s="1861"/>
      <c r="AM21" s="1861"/>
      <c r="AN21" s="1861"/>
      <c r="AO21" s="1861"/>
      <c r="AP21" s="1861"/>
      <c r="AQ21" s="1861"/>
      <c r="AR21" s="1861"/>
      <c r="AS21" s="1861"/>
      <c r="AT21" s="1861"/>
      <c r="AU21" s="1861"/>
      <c r="AV21" s="1861"/>
      <c r="AW21" s="1861"/>
      <c r="AX21" s="1861"/>
      <c r="AY21" s="1861"/>
      <c r="AZ21" s="1861"/>
      <c r="BA21" s="1861"/>
      <c r="BB21" s="1861"/>
      <c r="BC21" s="1861"/>
      <c r="BD21" s="1861"/>
      <c r="BE21" s="1861"/>
      <c r="BF21" s="1861"/>
      <c r="BG21" s="1861"/>
      <c r="BH21" s="1861"/>
      <c r="BI21" s="1861"/>
      <c r="BJ21" s="1861"/>
      <c r="BK21" s="1861"/>
      <c r="BL21" s="1861"/>
      <c r="BM21" s="1861"/>
      <c r="BN21" s="1861"/>
      <c r="BO21" s="1861"/>
      <c r="BP21" s="1861"/>
      <c r="BQ21" s="1861"/>
      <c r="BR21" s="1861"/>
      <c r="BS21" s="1861"/>
      <c r="BT21" s="1861"/>
      <c r="BU21" s="1861"/>
      <c r="BV21" s="1861"/>
      <c r="BW21" s="1861"/>
      <c r="BX21" s="1861"/>
      <c r="BY21" s="1861"/>
      <c r="BZ21" s="1861"/>
      <c r="CA21" s="1861"/>
      <c r="CB21" s="1861"/>
      <c r="CC21" s="1861"/>
      <c r="CD21" s="1861"/>
      <c r="CE21" s="1861"/>
      <c r="CF21" s="1861"/>
      <c r="CG21" s="1861"/>
      <c r="CH21" s="1861"/>
      <c r="CI21" s="1861"/>
      <c r="CJ21" s="1861"/>
      <c r="CK21" s="1861"/>
      <c r="CL21" s="1861"/>
      <c r="CM21" s="1861"/>
      <c r="CN21" s="1862" t="s">
        <v>2113</v>
      </c>
      <c r="CO21" s="1858"/>
      <c r="CP21" s="1858"/>
      <c r="CQ21" s="1858"/>
      <c r="CR21" s="1858"/>
      <c r="CS21" s="1858"/>
      <c r="CT21" s="1858"/>
      <c r="CU21" s="1859"/>
      <c r="CV21" s="1554" t="s">
        <v>1055</v>
      </c>
      <c r="CW21" s="1554" t="s">
        <v>2099</v>
      </c>
      <c r="CX21" s="1555">
        <v>3395161</v>
      </c>
      <c r="CY21" s="1555">
        <v>37500</v>
      </c>
      <c r="CZ21" s="1555">
        <v>37500</v>
      </c>
      <c r="DA21" s="880">
        <v>0</v>
      </c>
    </row>
    <row r="22" spans="1:105" customFormat="1" ht="15" x14ac:dyDescent="0.25">
      <c r="A22" s="1858" t="s">
        <v>2114</v>
      </c>
      <c r="B22" s="1858"/>
      <c r="C22" s="1858"/>
      <c r="D22" s="1858"/>
      <c r="E22" s="1858"/>
      <c r="F22" s="1858"/>
      <c r="G22" s="1858"/>
      <c r="H22" s="1859"/>
      <c r="I22" s="1860" t="s">
        <v>1042</v>
      </c>
      <c r="J22" s="1861"/>
      <c r="K22" s="1861"/>
      <c r="L22" s="1861"/>
      <c r="M22" s="1861"/>
      <c r="N22" s="1861"/>
      <c r="O22" s="1861"/>
      <c r="P22" s="1861"/>
      <c r="Q22" s="1861"/>
      <c r="R22" s="1861"/>
      <c r="S22" s="1861"/>
      <c r="T22" s="1861"/>
      <c r="U22" s="1861"/>
      <c r="V22" s="1861"/>
      <c r="W22" s="1861"/>
      <c r="X22" s="1861"/>
      <c r="Y22" s="1861"/>
      <c r="Z22" s="1861"/>
      <c r="AA22" s="1861"/>
      <c r="AB22" s="1861"/>
      <c r="AC22" s="1861"/>
      <c r="AD22" s="1861"/>
      <c r="AE22" s="1861"/>
      <c r="AF22" s="1861"/>
      <c r="AG22" s="1861"/>
      <c r="AH22" s="1861"/>
      <c r="AI22" s="1861"/>
      <c r="AJ22" s="1861"/>
      <c r="AK22" s="1861"/>
      <c r="AL22" s="1861"/>
      <c r="AM22" s="1861"/>
      <c r="AN22" s="1861"/>
      <c r="AO22" s="1861"/>
      <c r="AP22" s="1861"/>
      <c r="AQ22" s="1861"/>
      <c r="AR22" s="1861"/>
      <c r="AS22" s="1861"/>
      <c r="AT22" s="1861"/>
      <c r="AU22" s="1861"/>
      <c r="AV22" s="1861"/>
      <c r="AW22" s="1861"/>
      <c r="AX22" s="1861"/>
      <c r="AY22" s="1861"/>
      <c r="AZ22" s="1861"/>
      <c r="BA22" s="1861"/>
      <c r="BB22" s="1861"/>
      <c r="BC22" s="1861"/>
      <c r="BD22" s="1861"/>
      <c r="BE22" s="1861"/>
      <c r="BF22" s="1861"/>
      <c r="BG22" s="1861"/>
      <c r="BH22" s="1861"/>
      <c r="BI22" s="1861"/>
      <c r="BJ22" s="1861"/>
      <c r="BK22" s="1861"/>
      <c r="BL22" s="1861"/>
      <c r="BM22" s="1861"/>
      <c r="BN22" s="1861"/>
      <c r="BO22" s="1861"/>
      <c r="BP22" s="1861"/>
      <c r="BQ22" s="1861"/>
      <c r="BR22" s="1861"/>
      <c r="BS22" s="1861"/>
      <c r="BT22" s="1861"/>
      <c r="BU22" s="1861"/>
      <c r="BV22" s="1861"/>
      <c r="BW22" s="1861"/>
      <c r="BX22" s="1861"/>
      <c r="BY22" s="1861"/>
      <c r="BZ22" s="1861"/>
      <c r="CA22" s="1861"/>
      <c r="CB22" s="1861"/>
      <c r="CC22" s="1861"/>
      <c r="CD22" s="1861"/>
      <c r="CE22" s="1861"/>
      <c r="CF22" s="1861"/>
      <c r="CG22" s="1861"/>
      <c r="CH22" s="1861"/>
      <c r="CI22" s="1861"/>
      <c r="CJ22" s="1861"/>
      <c r="CK22" s="1861"/>
      <c r="CL22" s="1861"/>
      <c r="CM22" s="1861"/>
      <c r="CN22" s="1862" t="s">
        <v>1047</v>
      </c>
      <c r="CO22" s="1858"/>
      <c r="CP22" s="1858"/>
      <c r="CQ22" s="1858"/>
      <c r="CR22" s="1858"/>
      <c r="CS22" s="1858"/>
      <c r="CT22" s="1858"/>
      <c r="CU22" s="1859"/>
      <c r="CV22" s="1554" t="s">
        <v>1055</v>
      </c>
      <c r="CW22" s="1554" t="s">
        <v>5</v>
      </c>
      <c r="CX22" s="1555">
        <v>0</v>
      </c>
      <c r="CY22" s="1555">
        <v>0</v>
      </c>
      <c r="CZ22" s="1555">
        <v>0</v>
      </c>
      <c r="DA22" s="880">
        <v>0</v>
      </c>
    </row>
    <row r="23" spans="1:105" customFormat="1" ht="15" x14ac:dyDescent="0.25">
      <c r="A23" s="1858" t="s">
        <v>2115</v>
      </c>
      <c r="B23" s="1858"/>
      <c r="C23" s="1858"/>
      <c r="D23" s="1858"/>
      <c r="E23" s="1858"/>
      <c r="F23" s="1858"/>
      <c r="G23" s="1858"/>
      <c r="H23" s="1859"/>
      <c r="I23" s="1860" t="s">
        <v>1048</v>
      </c>
      <c r="J23" s="1861"/>
      <c r="K23" s="1861"/>
      <c r="L23" s="1861"/>
      <c r="M23" s="1861"/>
      <c r="N23" s="1861"/>
      <c r="O23" s="1861"/>
      <c r="P23" s="1861"/>
      <c r="Q23" s="1861"/>
      <c r="R23" s="1861"/>
      <c r="S23" s="1861"/>
      <c r="T23" s="1861"/>
      <c r="U23" s="1861"/>
      <c r="V23" s="1861"/>
      <c r="W23" s="1861"/>
      <c r="X23" s="1861"/>
      <c r="Y23" s="1861"/>
      <c r="Z23" s="1861"/>
      <c r="AA23" s="1861"/>
      <c r="AB23" s="1861"/>
      <c r="AC23" s="1861"/>
      <c r="AD23" s="1861"/>
      <c r="AE23" s="1861"/>
      <c r="AF23" s="1861"/>
      <c r="AG23" s="1861"/>
      <c r="AH23" s="1861"/>
      <c r="AI23" s="1861"/>
      <c r="AJ23" s="1861"/>
      <c r="AK23" s="1861"/>
      <c r="AL23" s="1861"/>
      <c r="AM23" s="1861"/>
      <c r="AN23" s="1861"/>
      <c r="AO23" s="1861"/>
      <c r="AP23" s="1861"/>
      <c r="AQ23" s="1861"/>
      <c r="AR23" s="1861"/>
      <c r="AS23" s="1861"/>
      <c r="AT23" s="1861"/>
      <c r="AU23" s="1861"/>
      <c r="AV23" s="1861"/>
      <c r="AW23" s="1861"/>
      <c r="AX23" s="1861"/>
      <c r="AY23" s="1861"/>
      <c r="AZ23" s="1861"/>
      <c r="BA23" s="1861"/>
      <c r="BB23" s="1861"/>
      <c r="BC23" s="1861"/>
      <c r="BD23" s="1861"/>
      <c r="BE23" s="1861"/>
      <c r="BF23" s="1861"/>
      <c r="BG23" s="1861"/>
      <c r="BH23" s="1861"/>
      <c r="BI23" s="1861"/>
      <c r="BJ23" s="1861"/>
      <c r="BK23" s="1861"/>
      <c r="BL23" s="1861"/>
      <c r="BM23" s="1861"/>
      <c r="BN23" s="1861"/>
      <c r="BO23" s="1861"/>
      <c r="BP23" s="1861"/>
      <c r="BQ23" s="1861"/>
      <c r="BR23" s="1861"/>
      <c r="BS23" s="1861"/>
      <c r="BT23" s="1861"/>
      <c r="BU23" s="1861"/>
      <c r="BV23" s="1861"/>
      <c r="BW23" s="1861"/>
      <c r="BX23" s="1861"/>
      <c r="BY23" s="1861"/>
      <c r="BZ23" s="1861"/>
      <c r="CA23" s="1861"/>
      <c r="CB23" s="1861"/>
      <c r="CC23" s="1861"/>
      <c r="CD23" s="1861"/>
      <c r="CE23" s="1861"/>
      <c r="CF23" s="1861"/>
      <c r="CG23" s="1861"/>
      <c r="CH23" s="1861"/>
      <c r="CI23" s="1861"/>
      <c r="CJ23" s="1861"/>
      <c r="CK23" s="1861"/>
      <c r="CL23" s="1861"/>
      <c r="CM23" s="1861"/>
      <c r="CN23" s="1862" t="s">
        <v>1049</v>
      </c>
      <c r="CO23" s="1858"/>
      <c r="CP23" s="1858"/>
      <c r="CQ23" s="1858"/>
      <c r="CR23" s="1858"/>
      <c r="CS23" s="1858"/>
      <c r="CT23" s="1858"/>
      <c r="CU23" s="1859"/>
      <c r="CV23" s="1554" t="s">
        <v>1055</v>
      </c>
      <c r="CW23" s="1554" t="s">
        <v>5</v>
      </c>
      <c r="CX23" s="1555">
        <v>0</v>
      </c>
      <c r="CY23" s="1555">
        <v>0</v>
      </c>
      <c r="CZ23" s="1555">
        <v>0</v>
      </c>
      <c r="DA23" s="880">
        <v>0</v>
      </c>
    </row>
    <row r="24" spans="1:105" customFormat="1" ht="15" x14ac:dyDescent="0.25">
      <c r="A24" s="1858" t="s">
        <v>2116</v>
      </c>
      <c r="B24" s="1858"/>
      <c r="C24" s="1858"/>
      <c r="D24" s="1858"/>
      <c r="E24" s="1858"/>
      <c r="F24" s="1858"/>
      <c r="G24" s="1858"/>
      <c r="H24" s="1859"/>
      <c r="I24" s="1860" t="s">
        <v>2097</v>
      </c>
      <c r="J24" s="1861"/>
      <c r="K24" s="1861"/>
      <c r="L24" s="1861"/>
      <c r="M24" s="1861"/>
      <c r="N24" s="1861"/>
      <c r="O24" s="1861"/>
      <c r="P24" s="1861"/>
      <c r="Q24" s="1861"/>
      <c r="R24" s="1861"/>
      <c r="S24" s="1861"/>
      <c r="T24" s="1861"/>
      <c r="U24" s="1861"/>
      <c r="V24" s="1861"/>
      <c r="W24" s="1861"/>
      <c r="X24" s="1861"/>
      <c r="Y24" s="1861"/>
      <c r="Z24" s="1861"/>
      <c r="AA24" s="1861"/>
      <c r="AB24" s="1861"/>
      <c r="AC24" s="1861"/>
      <c r="AD24" s="1861"/>
      <c r="AE24" s="1861"/>
      <c r="AF24" s="1861"/>
      <c r="AG24" s="1861"/>
      <c r="AH24" s="1861"/>
      <c r="AI24" s="1861"/>
      <c r="AJ24" s="1861"/>
      <c r="AK24" s="1861"/>
      <c r="AL24" s="1861"/>
      <c r="AM24" s="1861"/>
      <c r="AN24" s="1861"/>
      <c r="AO24" s="1861"/>
      <c r="AP24" s="1861"/>
      <c r="AQ24" s="1861"/>
      <c r="AR24" s="1861"/>
      <c r="AS24" s="1861"/>
      <c r="AT24" s="1861"/>
      <c r="AU24" s="1861"/>
      <c r="AV24" s="1861"/>
      <c r="AW24" s="1861"/>
      <c r="AX24" s="1861"/>
      <c r="AY24" s="1861"/>
      <c r="AZ24" s="1861"/>
      <c r="BA24" s="1861"/>
      <c r="BB24" s="1861"/>
      <c r="BC24" s="1861"/>
      <c r="BD24" s="1861"/>
      <c r="BE24" s="1861"/>
      <c r="BF24" s="1861"/>
      <c r="BG24" s="1861"/>
      <c r="BH24" s="1861"/>
      <c r="BI24" s="1861"/>
      <c r="BJ24" s="1861"/>
      <c r="BK24" s="1861"/>
      <c r="BL24" s="1861"/>
      <c r="BM24" s="1861"/>
      <c r="BN24" s="1861"/>
      <c r="BO24" s="1861"/>
      <c r="BP24" s="1861"/>
      <c r="BQ24" s="1861"/>
      <c r="BR24" s="1861"/>
      <c r="BS24" s="1861"/>
      <c r="BT24" s="1861"/>
      <c r="BU24" s="1861"/>
      <c r="BV24" s="1861"/>
      <c r="BW24" s="1861"/>
      <c r="BX24" s="1861"/>
      <c r="BY24" s="1861"/>
      <c r="BZ24" s="1861"/>
      <c r="CA24" s="1861"/>
      <c r="CB24" s="1861"/>
      <c r="CC24" s="1861"/>
      <c r="CD24" s="1861"/>
      <c r="CE24" s="1861"/>
      <c r="CF24" s="1861"/>
      <c r="CG24" s="1861"/>
      <c r="CH24" s="1861"/>
      <c r="CI24" s="1861"/>
      <c r="CJ24" s="1861"/>
      <c r="CK24" s="1861"/>
      <c r="CL24" s="1861"/>
      <c r="CM24" s="1861"/>
      <c r="CN24" s="1862" t="s">
        <v>2117</v>
      </c>
      <c r="CO24" s="1858"/>
      <c r="CP24" s="1858"/>
      <c r="CQ24" s="1858"/>
      <c r="CR24" s="1858"/>
      <c r="CS24" s="1858"/>
      <c r="CT24" s="1858"/>
      <c r="CU24" s="1859"/>
      <c r="CV24" s="1554" t="s">
        <v>1055</v>
      </c>
      <c r="CW24" s="1554" t="s">
        <v>2099</v>
      </c>
      <c r="CX24" s="1555">
        <v>0</v>
      </c>
      <c r="CY24" s="1555">
        <v>0</v>
      </c>
      <c r="CZ24" s="1555">
        <v>0</v>
      </c>
      <c r="DA24" s="880">
        <v>0</v>
      </c>
    </row>
    <row r="25" spans="1:105" customFormat="1" ht="15" x14ac:dyDescent="0.25">
      <c r="A25" s="1858" t="s">
        <v>2118</v>
      </c>
      <c r="B25" s="1858"/>
      <c r="C25" s="1858"/>
      <c r="D25" s="1858"/>
      <c r="E25" s="1858"/>
      <c r="F25" s="1858"/>
      <c r="G25" s="1858"/>
      <c r="H25" s="1859"/>
      <c r="I25" s="1860" t="s">
        <v>2097</v>
      </c>
      <c r="J25" s="1861"/>
      <c r="K25" s="1861"/>
      <c r="L25" s="1861"/>
      <c r="M25" s="1861"/>
      <c r="N25" s="1861"/>
      <c r="O25" s="1861"/>
      <c r="P25" s="1861"/>
      <c r="Q25" s="1861"/>
      <c r="R25" s="1861"/>
      <c r="S25" s="1861"/>
      <c r="T25" s="1861"/>
      <c r="U25" s="1861"/>
      <c r="V25" s="1861"/>
      <c r="W25" s="1861"/>
      <c r="X25" s="1861"/>
      <c r="Y25" s="1861"/>
      <c r="Z25" s="1861"/>
      <c r="AA25" s="1861"/>
      <c r="AB25" s="1861"/>
      <c r="AC25" s="1861"/>
      <c r="AD25" s="1861"/>
      <c r="AE25" s="1861"/>
      <c r="AF25" s="1861"/>
      <c r="AG25" s="1861"/>
      <c r="AH25" s="1861"/>
      <c r="AI25" s="1861"/>
      <c r="AJ25" s="1861"/>
      <c r="AK25" s="1861"/>
      <c r="AL25" s="1861"/>
      <c r="AM25" s="1861"/>
      <c r="AN25" s="1861"/>
      <c r="AO25" s="1861"/>
      <c r="AP25" s="1861"/>
      <c r="AQ25" s="1861"/>
      <c r="AR25" s="1861"/>
      <c r="AS25" s="1861"/>
      <c r="AT25" s="1861"/>
      <c r="AU25" s="1861"/>
      <c r="AV25" s="1861"/>
      <c r="AW25" s="1861"/>
      <c r="AX25" s="1861"/>
      <c r="AY25" s="1861"/>
      <c r="AZ25" s="1861"/>
      <c r="BA25" s="1861"/>
      <c r="BB25" s="1861"/>
      <c r="BC25" s="1861"/>
      <c r="BD25" s="1861"/>
      <c r="BE25" s="1861"/>
      <c r="BF25" s="1861"/>
      <c r="BG25" s="1861"/>
      <c r="BH25" s="1861"/>
      <c r="BI25" s="1861"/>
      <c r="BJ25" s="1861"/>
      <c r="BK25" s="1861"/>
      <c r="BL25" s="1861"/>
      <c r="BM25" s="1861"/>
      <c r="BN25" s="1861"/>
      <c r="BO25" s="1861"/>
      <c r="BP25" s="1861"/>
      <c r="BQ25" s="1861"/>
      <c r="BR25" s="1861"/>
      <c r="BS25" s="1861"/>
      <c r="BT25" s="1861"/>
      <c r="BU25" s="1861"/>
      <c r="BV25" s="1861"/>
      <c r="BW25" s="1861"/>
      <c r="BX25" s="1861"/>
      <c r="BY25" s="1861"/>
      <c r="BZ25" s="1861"/>
      <c r="CA25" s="1861"/>
      <c r="CB25" s="1861"/>
      <c r="CC25" s="1861"/>
      <c r="CD25" s="1861"/>
      <c r="CE25" s="1861"/>
      <c r="CF25" s="1861"/>
      <c r="CG25" s="1861"/>
      <c r="CH25" s="1861"/>
      <c r="CI25" s="1861"/>
      <c r="CJ25" s="1861"/>
      <c r="CK25" s="1861"/>
      <c r="CL25" s="1861"/>
      <c r="CM25" s="1861"/>
      <c r="CN25" s="1862" t="s">
        <v>2119</v>
      </c>
      <c r="CO25" s="1858"/>
      <c r="CP25" s="1858"/>
      <c r="CQ25" s="1858"/>
      <c r="CR25" s="1858"/>
      <c r="CS25" s="1858"/>
      <c r="CT25" s="1858"/>
      <c r="CU25" s="1859"/>
      <c r="CV25" s="1554" t="s">
        <v>1055</v>
      </c>
      <c r="CW25" s="1554" t="s">
        <v>2099</v>
      </c>
      <c r="CX25" s="1555">
        <v>0</v>
      </c>
      <c r="CY25" s="1555">
        <v>0</v>
      </c>
      <c r="CZ25" s="1555">
        <v>0</v>
      </c>
      <c r="DA25" s="880">
        <v>0</v>
      </c>
    </row>
    <row r="26" spans="1:105" customFormat="1" ht="15" x14ac:dyDescent="0.25">
      <c r="A26" s="1858" t="s">
        <v>2120</v>
      </c>
      <c r="B26" s="1858"/>
      <c r="C26" s="1858"/>
      <c r="D26" s="1858"/>
      <c r="E26" s="1858"/>
      <c r="F26" s="1858"/>
      <c r="G26" s="1858"/>
      <c r="H26" s="1859"/>
      <c r="I26" s="1860" t="s">
        <v>1344</v>
      </c>
      <c r="J26" s="1861"/>
      <c r="K26" s="1861"/>
      <c r="L26" s="1861"/>
      <c r="M26" s="1861"/>
      <c r="N26" s="1861"/>
      <c r="O26" s="1861"/>
      <c r="P26" s="1861"/>
      <c r="Q26" s="1861"/>
      <c r="R26" s="1861"/>
      <c r="S26" s="1861"/>
      <c r="T26" s="1861"/>
      <c r="U26" s="1861"/>
      <c r="V26" s="1861"/>
      <c r="W26" s="1861"/>
      <c r="X26" s="1861"/>
      <c r="Y26" s="1861"/>
      <c r="Z26" s="1861"/>
      <c r="AA26" s="1861"/>
      <c r="AB26" s="1861"/>
      <c r="AC26" s="1861"/>
      <c r="AD26" s="1861"/>
      <c r="AE26" s="1861"/>
      <c r="AF26" s="1861"/>
      <c r="AG26" s="1861"/>
      <c r="AH26" s="1861"/>
      <c r="AI26" s="1861"/>
      <c r="AJ26" s="1861"/>
      <c r="AK26" s="1861"/>
      <c r="AL26" s="1861"/>
      <c r="AM26" s="1861"/>
      <c r="AN26" s="1861"/>
      <c r="AO26" s="1861"/>
      <c r="AP26" s="1861"/>
      <c r="AQ26" s="1861"/>
      <c r="AR26" s="1861"/>
      <c r="AS26" s="1861"/>
      <c r="AT26" s="1861"/>
      <c r="AU26" s="1861"/>
      <c r="AV26" s="1861"/>
      <c r="AW26" s="1861"/>
      <c r="AX26" s="1861"/>
      <c r="AY26" s="1861"/>
      <c r="AZ26" s="1861"/>
      <c r="BA26" s="1861"/>
      <c r="BB26" s="1861"/>
      <c r="BC26" s="1861"/>
      <c r="BD26" s="1861"/>
      <c r="BE26" s="1861"/>
      <c r="BF26" s="1861"/>
      <c r="BG26" s="1861"/>
      <c r="BH26" s="1861"/>
      <c r="BI26" s="1861"/>
      <c r="BJ26" s="1861"/>
      <c r="BK26" s="1861"/>
      <c r="BL26" s="1861"/>
      <c r="BM26" s="1861"/>
      <c r="BN26" s="1861"/>
      <c r="BO26" s="1861"/>
      <c r="BP26" s="1861"/>
      <c r="BQ26" s="1861"/>
      <c r="BR26" s="1861"/>
      <c r="BS26" s="1861"/>
      <c r="BT26" s="1861"/>
      <c r="BU26" s="1861"/>
      <c r="BV26" s="1861"/>
      <c r="BW26" s="1861"/>
      <c r="BX26" s="1861"/>
      <c r="BY26" s="1861"/>
      <c r="BZ26" s="1861"/>
      <c r="CA26" s="1861"/>
      <c r="CB26" s="1861"/>
      <c r="CC26" s="1861"/>
      <c r="CD26" s="1861"/>
      <c r="CE26" s="1861"/>
      <c r="CF26" s="1861"/>
      <c r="CG26" s="1861"/>
      <c r="CH26" s="1861"/>
      <c r="CI26" s="1861"/>
      <c r="CJ26" s="1861"/>
      <c r="CK26" s="1861"/>
      <c r="CL26" s="1861"/>
      <c r="CM26" s="1861"/>
      <c r="CN26" s="1862" t="s">
        <v>1345</v>
      </c>
      <c r="CO26" s="1858"/>
      <c r="CP26" s="1858"/>
      <c r="CQ26" s="1858"/>
      <c r="CR26" s="1858"/>
      <c r="CS26" s="1858"/>
      <c r="CT26" s="1858"/>
      <c r="CU26" s="1859"/>
      <c r="CV26" s="1554" t="s">
        <v>1055</v>
      </c>
      <c r="CW26" s="1554" t="s">
        <v>5</v>
      </c>
      <c r="CX26" s="1555">
        <v>0</v>
      </c>
      <c r="CY26" s="1555">
        <v>0</v>
      </c>
      <c r="CZ26" s="1555">
        <v>0</v>
      </c>
      <c r="DA26" s="880">
        <v>0</v>
      </c>
    </row>
    <row r="27" spans="1:105" customFormat="1" ht="15" x14ac:dyDescent="0.25">
      <c r="A27" s="1858" t="s">
        <v>2121</v>
      </c>
      <c r="B27" s="1858"/>
      <c r="C27" s="1858"/>
      <c r="D27" s="1858"/>
      <c r="E27" s="1858"/>
      <c r="F27" s="1858"/>
      <c r="G27" s="1858"/>
      <c r="H27" s="1859"/>
      <c r="I27" s="1860" t="s">
        <v>1040</v>
      </c>
      <c r="J27" s="1861"/>
      <c r="K27" s="1861"/>
      <c r="L27" s="1861"/>
      <c r="M27" s="1861"/>
      <c r="N27" s="1861"/>
      <c r="O27" s="1861"/>
      <c r="P27" s="1861"/>
      <c r="Q27" s="1861"/>
      <c r="R27" s="1861"/>
      <c r="S27" s="1861"/>
      <c r="T27" s="1861"/>
      <c r="U27" s="1861"/>
      <c r="V27" s="1861"/>
      <c r="W27" s="1861"/>
      <c r="X27" s="1861"/>
      <c r="Y27" s="1861"/>
      <c r="Z27" s="1861"/>
      <c r="AA27" s="1861"/>
      <c r="AB27" s="1861"/>
      <c r="AC27" s="1861"/>
      <c r="AD27" s="1861"/>
      <c r="AE27" s="1861"/>
      <c r="AF27" s="1861"/>
      <c r="AG27" s="1861"/>
      <c r="AH27" s="1861"/>
      <c r="AI27" s="1861"/>
      <c r="AJ27" s="1861"/>
      <c r="AK27" s="1861"/>
      <c r="AL27" s="1861"/>
      <c r="AM27" s="1861"/>
      <c r="AN27" s="1861"/>
      <c r="AO27" s="1861"/>
      <c r="AP27" s="1861"/>
      <c r="AQ27" s="1861"/>
      <c r="AR27" s="1861"/>
      <c r="AS27" s="1861"/>
      <c r="AT27" s="1861"/>
      <c r="AU27" s="1861"/>
      <c r="AV27" s="1861"/>
      <c r="AW27" s="1861"/>
      <c r="AX27" s="1861"/>
      <c r="AY27" s="1861"/>
      <c r="AZ27" s="1861"/>
      <c r="BA27" s="1861"/>
      <c r="BB27" s="1861"/>
      <c r="BC27" s="1861"/>
      <c r="BD27" s="1861"/>
      <c r="BE27" s="1861"/>
      <c r="BF27" s="1861"/>
      <c r="BG27" s="1861"/>
      <c r="BH27" s="1861"/>
      <c r="BI27" s="1861"/>
      <c r="BJ27" s="1861"/>
      <c r="BK27" s="1861"/>
      <c r="BL27" s="1861"/>
      <c r="BM27" s="1861"/>
      <c r="BN27" s="1861"/>
      <c r="BO27" s="1861"/>
      <c r="BP27" s="1861"/>
      <c r="BQ27" s="1861"/>
      <c r="BR27" s="1861"/>
      <c r="BS27" s="1861"/>
      <c r="BT27" s="1861"/>
      <c r="BU27" s="1861"/>
      <c r="BV27" s="1861"/>
      <c r="BW27" s="1861"/>
      <c r="BX27" s="1861"/>
      <c r="BY27" s="1861"/>
      <c r="BZ27" s="1861"/>
      <c r="CA27" s="1861"/>
      <c r="CB27" s="1861"/>
      <c r="CC27" s="1861"/>
      <c r="CD27" s="1861"/>
      <c r="CE27" s="1861"/>
      <c r="CF27" s="1861"/>
      <c r="CG27" s="1861"/>
      <c r="CH27" s="1861"/>
      <c r="CI27" s="1861"/>
      <c r="CJ27" s="1861"/>
      <c r="CK27" s="1861"/>
      <c r="CL27" s="1861"/>
      <c r="CM27" s="1861"/>
      <c r="CN27" s="1862" t="s">
        <v>2122</v>
      </c>
      <c r="CO27" s="1858"/>
      <c r="CP27" s="1858"/>
      <c r="CQ27" s="1858"/>
      <c r="CR27" s="1858"/>
      <c r="CS27" s="1858"/>
      <c r="CT27" s="1858"/>
      <c r="CU27" s="1859"/>
      <c r="CV27" s="1554" t="s">
        <v>1055</v>
      </c>
      <c r="CW27" s="1554" t="s">
        <v>5</v>
      </c>
      <c r="CX27" s="1555">
        <v>0</v>
      </c>
      <c r="CY27" s="1555">
        <v>0</v>
      </c>
      <c r="CZ27" s="1555">
        <v>0</v>
      </c>
      <c r="DA27" s="880">
        <v>0</v>
      </c>
    </row>
    <row r="28" spans="1:105" customFormat="1" ht="15" x14ac:dyDescent="0.25">
      <c r="A28" s="1858" t="s">
        <v>2123</v>
      </c>
      <c r="B28" s="1858"/>
      <c r="C28" s="1858"/>
      <c r="D28" s="1858"/>
      <c r="E28" s="1858"/>
      <c r="F28" s="1858"/>
      <c r="G28" s="1858"/>
      <c r="H28" s="1859"/>
      <c r="I28" s="1860" t="s">
        <v>1042</v>
      </c>
      <c r="J28" s="1861"/>
      <c r="K28" s="1861"/>
      <c r="L28" s="1861"/>
      <c r="M28" s="1861"/>
      <c r="N28" s="1861"/>
      <c r="O28" s="1861"/>
      <c r="P28" s="1861"/>
      <c r="Q28" s="1861"/>
      <c r="R28" s="1861"/>
      <c r="S28" s="1861"/>
      <c r="T28" s="1861"/>
      <c r="U28" s="1861"/>
      <c r="V28" s="1861"/>
      <c r="W28" s="1861"/>
      <c r="X28" s="1861"/>
      <c r="Y28" s="1861"/>
      <c r="Z28" s="1861"/>
      <c r="AA28" s="1861"/>
      <c r="AB28" s="1861"/>
      <c r="AC28" s="1861"/>
      <c r="AD28" s="1861"/>
      <c r="AE28" s="1861"/>
      <c r="AF28" s="1861"/>
      <c r="AG28" s="1861"/>
      <c r="AH28" s="1861"/>
      <c r="AI28" s="1861"/>
      <c r="AJ28" s="1861"/>
      <c r="AK28" s="1861"/>
      <c r="AL28" s="1861"/>
      <c r="AM28" s="1861"/>
      <c r="AN28" s="1861"/>
      <c r="AO28" s="1861"/>
      <c r="AP28" s="1861"/>
      <c r="AQ28" s="1861"/>
      <c r="AR28" s="1861"/>
      <c r="AS28" s="1861"/>
      <c r="AT28" s="1861"/>
      <c r="AU28" s="1861"/>
      <c r="AV28" s="1861"/>
      <c r="AW28" s="1861"/>
      <c r="AX28" s="1861"/>
      <c r="AY28" s="1861"/>
      <c r="AZ28" s="1861"/>
      <c r="BA28" s="1861"/>
      <c r="BB28" s="1861"/>
      <c r="BC28" s="1861"/>
      <c r="BD28" s="1861"/>
      <c r="BE28" s="1861"/>
      <c r="BF28" s="1861"/>
      <c r="BG28" s="1861"/>
      <c r="BH28" s="1861"/>
      <c r="BI28" s="1861"/>
      <c r="BJ28" s="1861"/>
      <c r="BK28" s="1861"/>
      <c r="BL28" s="1861"/>
      <c r="BM28" s="1861"/>
      <c r="BN28" s="1861"/>
      <c r="BO28" s="1861"/>
      <c r="BP28" s="1861"/>
      <c r="BQ28" s="1861"/>
      <c r="BR28" s="1861"/>
      <c r="BS28" s="1861"/>
      <c r="BT28" s="1861"/>
      <c r="BU28" s="1861"/>
      <c r="BV28" s="1861"/>
      <c r="BW28" s="1861"/>
      <c r="BX28" s="1861"/>
      <c r="BY28" s="1861"/>
      <c r="BZ28" s="1861"/>
      <c r="CA28" s="1861"/>
      <c r="CB28" s="1861"/>
      <c r="CC28" s="1861"/>
      <c r="CD28" s="1861"/>
      <c r="CE28" s="1861"/>
      <c r="CF28" s="1861"/>
      <c r="CG28" s="1861"/>
      <c r="CH28" s="1861"/>
      <c r="CI28" s="1861"/>
      <c r="CJ28" s="1861"/>
      <c r="CK28" s="1861"/>
      <c r="CL28" s="1861"/>
      <c r="CM28" s="1861"/>
      <c r="CN28" s="1862" t="s">
        <v>2124</v>
      </c>
      <c r="CO28" s="1858"/>
      <c r="CP28" s="1858"/>
      <c r="CQ28" s="1858"/>
      <c r="CR28" s="1858"/>
      <c r="CS28" s="1858"/>
      <c r="CT28" s="1858"/>
      <c r="CU28" s="1859"/>
      <c r="CV28" s="1554" t="s">
        <v>1055</v>
      </c>
      <c r="CW28" s="1554" t="s">
        <v>5</v>
      </c>
      <c r="CX28" s="1555">
        <v>0</v>
      </c>
      <c r="CY28" s="1555">
        <v>0</v>
      </c>
      <c r="CZ28" s="1555">
        <v>0</v>
      </c>
      <c r="DA28" s="880">
        <v>0</v>
      </c>
    </row>
    <row r="29" spans="1:105" customFormat="1" ht="15" x14ac:dyDescent="0.25">
      <c r="A29" s="1858" t="s">
        <v>2125</v>
      </c>
      <c r="B29" s="1858"/>
      <c r="C29" s="1858"/>
      <c r="D29" s="1858"/>
      <c r="E29" s="1858"/>
      <c r="F29" s="1858"/>
      <c r="G29" s="1858"/>
      <c r="H29" s="1859"/>
      <c r="I29" s="1860" t="s">
        <v>1050</v>
      </c>
      <c r="J29" s="1861"/>
      <c r="K29" s="1861"/>
      <c r="L29" s="1861"/>
      <c r="M29" s="1861"/>
      <c r="N29" s="1861"/>
      <c r="O29" s="1861"/>
      <c r="P29" s="1861"/>
      <c r="Q29" s="1861"/>
      <c r="R29" s="1861"/>
      <c r="S29" s="1861"/>
      <c r="T29" s="1861"/>
      <c r="U29" s="1861"/>
      <c r="V29" s="1861"/>
      <c r="W29" s="1861"/>
      <c r="X29" s="1861"/>
      <c r="Y29" s="1861"/>
      <c r="Z29" s="1861"/>
      <c r="AA29" s="1861"/>
      <c r="AB29" s="1861"/>
      <c r="AC29" s="1861"/>
      <c r="AD29" s="1861"/>
      <c r="AE29" s="1861"/>
      <c r="AF29" s="1861"/>
      <c r="AG29" s="1861"/>
      <c r="AH29" s="1861"/>
      <c r="AI29" s="1861"/>
      <c r="AJ29" s="1861"/>
      <c r="AK29" s="1861"/>
      <c r="AL29" s="1861"/>
      <c r="AM29" s="1861"/>
      <c r="AN29" s="1861"/>
      <c r="AO29" s="1861"/>
      <c r="AP29" s="1861"/>
      <c r="AQ29" s="1861"/>
      <c r="AR29" s="1861"/>
      <c r="AS29" s="1861"/>
      <c r="AT29" s="1861"/>
      <c r="AU29" s="1861"/>
      <c r="AV29" s="1861"/>
      <c r="AW29" s="1861"/>
      <c r="AX29" s="1861"/>
      <c r="AY29" s="1861"/>
      <c r="AZ29" s="1861"/>
      <c r="BA29" s="1861"/>
      <c r="BB29" s="1861"/>
      <c r="BC29" s="1861"/>
      <c r="BD29" s="1861"/>
      <c r="BE29" s="1861"/>
      <c r="BF29" s="1861"/>
      <c r="BG29" s="1861"/>
      <c r="BH29" s="1861"/>
      <c r="BI29" s="1861"/>
      <c r="BJ29" s="1861"/>
      <c r="BK29" s="1861"/>
      <c r="BL29" s="1861"/>
      <c r="BM29" s="1861"/>
      <c r="BN29" s="1861"/>
      <c r="BO29" s="1861"/>
      <c r="BP29" s="1861"/>
      <c r="BQ29" s="1861"/>
      <c r="BR29" s="1861"/>
      <c r="BS29" s="1861"/>
      <c r="BT29" s="1861"/>
      <c r="BU29" s="1861"/>
      <c r="BV29" s="1861"/>
      <c r="BW29" s="1861"/>
      <c r="BX29" s="1861"/>
      <c r="BY29" s="1861"/>
      <c r="BZ29" s="1861"/>
      <c r="CA29" s="1861"/>
      <c r="CB29" s="1861"/>
      <c r="CC29" s="1861"/>
      <c r="CD29" s="1861"/>
      <c r="CE29" s="1861"/>
      <c r="CF29" s="1861"/>
      <c r="CG29" s="1861"/>
      <c r="CH29" s="1861"/>
      <c r="CI29" s="1861"/>
      <c r="CJ29" s="1861"/>
      <c r="CK29" s="1861"/>
      <c r="CL29" s="1861"/>
      <c r="CM29" s="1861"/>
      <c r="CN29" s="1862" t="s">
        <v>1051</v>
      </c>
      <c r="CO29" s="1858"/>
      <c r="CP29" s="1858"/>
      <c r="CQ29" s="1858"/>
      <c r="CR29" s="1858"/>
      <c r="CS29" s="1858"/>
      <c r="CT29" s="1858"/>
      <c r="CU29" s="1859"/>
      <c r="CV29" s="1554" t="s">
        <v>1055</v>
      </c>
      <c r="CW29" s="1554" t="s">
        <v>5</v>
      </c>
      <c r="CX29" s="1555">
        <v>2544046.0099999998</v>
      </c>
      <c r="CY29" s="1555">
        <v>0</v>
      </c>
      <c r="CZ29" s="1555">
        <v>0</v>
      </c>
      <c r="DA29" s="880">
        <v>0</v>
      </c>
    </row>
    <row r="30" spans="1:105" customFormat="1" ht="15" x14ac:dyDescent="0.25">
      <c r="A30" s="1858" t="s">
        <v>2126</v>
      </c>
      <c r="B30" s="1858"/>
      <c r="C30" s="1858"/>
      <c r="D30" s="1858"/>
      <c r="E30" s="1858"/>
      <c r="F30" s="1858"/>
      <c r="G30" s="1858"/>
      <c r="H30" s="1859"/>
      <c r="I30" s="1860" t="s">
        <v>1040</v>
      </c>
      <c r="J30" s="1861"/>
      <c r="K30" s="1861"/>
      <c r="L30" s="1861"/>
      <c r="M30" s="1861"/>
      <c r="N30" s="1861"/>
      <c r="O30" s="1861"/>
      <c r="P30" s="1861"/>
      <c r="Q30" s="1861"/>
      <c r="R30" s="1861"/>
      <c r="S30" s="1861"/>
      <c r="T30" s="1861"/>
      <c r="U30" s="1861"/>
      <c r="V30" s="1861"/>
      <c r="W30" s="1861"/>
      <c r="X30" s="1861"/>
      <c r="Y30" s="1861"/>
      <c r="Z30" s="1861"/>
      <c r="AA30" s="1861"/>
      <c r="AB30" s="1861"/>
      <c r="AC30" s="1861"/>
      <c r="AD30" s="1861"/>
      <c r="AE30" s="1861"/>
      <c r="AF30" s="1861"/>
      <c r="AG30" s="1861"/>
      <c r="AH30" s="1861"/>
      <c r="AI30" s="1861"/>
      <c r="AJ30" s="1861"/>
      <c r="AK30" s="1861"/>
      <c r="AL30" s="1861"/>
      <c r="AM30" s="1861"/>
      <c r="AN30" s="1861"/>
      <c r="AO30" s="1861"/>
      <c r="AP30" s="1861"/>
      <c r="AQ30" s="1861"/>
      <c r="AR30" s="1861"/>
      <c r="AS30" s="1861"/>
      <c r="AT30" s="1861"/>
      <c r="AU30" s="1861"/>
      <c r="AV30" s="1861"/>
      <c r="AW30" s="1861"/>
      <c r="AX30" s="1861"/>
      <c r="AY30" s="1861"/>
      <c r="AZ30" s="1861"/>
      <c r="BA30" s="1861"/>
      <c r="BB30" s="1861"/>
      <c r="BC30" s="1861"/>
      <c r="BD30" s="1861"/>
      <c r="BE30" s="1861"/>
      <c r="BF30" s="1861"/>
      <c r="BG30" s="1861"/>
      <c r="BH30" s="1861"/>
      <c r="BI30" s="1861"/>
      <c r="BJ30" s="1861"/>
      <c r="BK30" s="1861"/>
      <c r="BL30" s="1861"/>
      <c r="BM30" s="1861"/>
      <c r="BN30" s="1861"/>
      <c r="BO30" s="1861"/>
      <c r="BP30" s="1861"/>
      <c r="BQ30" s="1861"/>
      <c r="BR30" s="1861"/>
      <c r="BS30" s="1861"/>
      <c r="BT30" s="1861"/>
      <c r="BU30" s="1861"/>
      <c r="BV30" s="1861"/>
      <c r="BW30" s="1861"/>
      <c r="BX30" s="1861"/>
      <c r="BY30" s="1861"/>
      <c r="BZ30" s="1861"/>
      <c r="CA30" s="1861"/>
      <c r="CB30" s="1861"/>
      <c r="CC30" s="1861"/>
      <c r="CD30" s="1861"/>
      <c r="CE30" s="1861"/>
      <c r="CF30" s="1861"/>
      <c r="CG30" s="1861"/>
      <c r="CH30" s="1861"/>
      <c r="CI30" s="1861"/>
      <c r="CJ30" s="1861"/>
      <c r="CK30" s="1861"/>
      <c r="CL30" s="1861"/>
      <c r="CM30" s="1861"/>
      <c r="CN30" s="1862" t="s">
        <v>1052</v>
      </c>
      <c r="CO30" s="1858"/>
      <c r="CP30" s="1858"/>
      <c r="CQ30" s="1858"/>
      <c r="CR30" s="1858"/>
      <c r="CS30" s="1858"/>
      <c r="CT30" s="1858"/>
      <c r="CU30" s="1859"/>
      <c r="CV30" s="1554" t="s">
        <v>1055</v>
      </c>
      <c r="CW30" s="1554" t="s">
        <v>5</v>
      </c>
      <c r="CX30" s="1555">
        <v>2544046.0099999998</v>
      </c>
      <c r="CY30" s="1555">
        <v>0</v>
      </c>
      <c r="CZ30" s="1555">
        <v>0</v>
      </c>
      <c r="DA30" s="880">
        <v>0</v>
      </c>
    </row>
    <row r="31" spans="1:105" customFormat="1" ht="15" x14ac:dyDescent="0.25">
      <c r="A31" s="1858" t="s">
        <v>2127</v>
      </c>
      <c r="B31" s="1858"/>
      <c r="C31" s="1858"/>
      <c r="D31" s="1858"/>
      <c r="E31" s="1858"/>
      <c r="F31" s="1858"/>
      <c r="G31" s="1858"/>
      <c r="H31" s="1859"/>
      <c r="I31" s="1860" t="s">
        <v>2112</v>
      </c>
      <c r="J31" s="1861"/>
      <c r="K31" s="1861"/>
      <c r="L31" s="1861"/>
      <c r="M31" s="1861"/>
      <c r="N31" s="1861"/>
      <c r="O31" s="1861"/>
      <c r="P31" s="1861"/>
      <c r="Q31" s="1861"/>
      <c r="R31" s="1861"/>
      <c r="S31" s="1861"/>
      <c r="T31" s="1861"/>
      <c r="U31" s="1861"/>
      <c r="V31" s="1861"/>
      <c r="W31" s="1861"/>
      <c r="X31" s="1861"/>
      <c r="Y31" s="1861"/>
      <c r="Z31" s="1861"/>
      <c r="AA31" s="1861"/>
      <c r="AB31" s="1861"/>
      <c r="AC31" s="1861"/>
      <c r="AD31" s="1861"/>
      <c r="AE31" s="1861"/>
      <c r="AF31" s="1861"/>
      <c r="AG31" s="1861"/>
      <c r="AH31" s="1861"/>
      <c r="AI31" s="1861"/>
      <c r="AJ31" s="1861"/>
      <c r="AK31" s="1861"/>
      <c r="AL31" s="1861"/>
      <c r="AM31" s="1861"/>
      <c r="AN31" s="1861"/>
      <c r="AO31" s="1861"/>
      <c r="AP31" s="1861"/>
      <c r="AQ31" s="1861"/>
      <c r="AR31" s="1861"/>
      <c r="AS31" s="1861"/>
      <c r="AT31" s="1861"/>
      <c r="AU31" s="1861"/>
      <c r="AV31" s="1861"/>
      <c r="AW31" s="1861"/>
      <c r="AX31" s="1861"/>
      <c r="AY31" s="1861"/>
      <c r="AZ31" s="1861"/>
      <c r="BA31" s="1861"/>
      <c r="BB31" s="1861"/>
      <c r="BC31" s="1861"/>
      <c r="BD31" s="1861"/>
      <c r="BE31" s="1861"/>
      <c r="BF31" s="1861"/>
      <c r="BG31" s="1861"/>
      <c r="BH31" s="1861"/>
      <c r="BI31" s="1861"/>
      <c r="BJ31" s="1861"/>
      <c r="BK31" s="1861"/>
      <c r="BL31" s="1861"/>
      <c r="BM31" s="1861"/>
      <c r="BN31" s="1861"/>
      <c r="BO31" s="1861"/>
      <c r="BP31" s="1861"/>
      <c r="BQ31" s="1861"/>
      <c r="BR31" s="1861"/>
      <c r="BS31" s="1861"/>
      <c r="BT31" s="1861"/>
      <c r="BU31" s="1861"/>
      <c r="BV31" s="1861"/>
      <c r="BW31" s="1861"/>
      <c r="BX31" s="1861"/>
      <c r="BY31" s="1861"/>
      <c r="BZ31" s="1861"/>
      <c r="CA31" s="1861"/>
      <c r="CB31" s="1861"/>
      <c r="CC31" s="1861"/>
      <c r="CD31" s="1861"/>
      <c r="CE31" s="1861"/>
      <c r="CF31" s="1861"/>
      <c r="CG31" s="1861"/>
      <c r="CH31" s="1861"/>
      <c r="CI31" s="1861"/>
      <c r="CJ31" s="1861"/>
      <c r="CK31" s="1861"/>
      <c r="CL31" s="1861"/>
      <c r="CM31" s="1861"/>
      <c r="CN31" s="1862" t="s">
        <v>2128</v>
      </c>
      <c r="CO31" s="1858"/>
      <c r="CP31" s="1858"/>
      <c r="CQ31" s="1858"/>
      <c r="CR31" s="1858"/>
      <c r="CS31" s="1858"/>
      <c r="CT31" s="1858"/>
      <c r="CU31" s="1859"/>
      <c r="CV31" s="1554" t="s">
        <v>1055</v>
      </c>
      <c r="CW31" s="1554" t="s">
        <v>2099</v>
      </c>
      <c r="CX31" s="1555">
        <v>2544046.0099999998</v>
      </c>
      <c r="CY31" s="1555">
        <v>0</v>
      </c>
      <c r="CZ31" s="1555">
        <v>0</v>
      </c>
      <c r="DA31" s="880">
        <v>0</v>
      </c>
    </row>
    <row r="32" spans="1:105" customFormat="1" ht="15" x14ac:dyDescent="0.25">
      <c r="A32" s="1858" t="s">
        <v>2129</v>
      </c>
      <c r="B32" s="1858"/>
      <c r="C32" s="1858"/>
      <c r="D32" s="1858"/>
      <c r="E32" s="1858"/>
      <c r="F32" s="1858"/>
      <c r="G32" s="1858"/>
      <c r="H32" s="1859"/>
      <c r="I32" s="1860" t="s">
        <v>2112</v>
      </c>
      <c r="J32" s="1861"/>
      <c r="K32" s="1861"/>
      <c r="L32" s="1861"/>
      <c r="M32" s="1861"/>
      <c r="N32" s="1861"/>
      <c r="O32" s="1861"/>
      <c r="P32" s="1861"/>
      <c r="Q32" s="1861"/>
      <c r="R32" s="1861"/>
      <c r="S32" s="1861"/>
      <c r="T32" s="1861"/>
      <c r="U32" s="1861"/>
      <c r="V32" s="1861"/>
      <c r="W32" s="1861"/>
      <c r="X32" s="1861"/>
      <c r="Y32" s="1861"/>
      <c r="Z32" s="1861"/>
      <c r="AA32" s="1861"/>
      <c r="AB32" s="1861"/>
      <c r="AC32" s="1861"/>
      <c r="AD32" s="1861"/>
      <c r="AE32" s="1861"/>
      <c r="AF32" s="1861"/>
      <c r="AG32" s="1861"/>
      <c r="AH32" s="1861"/>
      <c r="AI32" s="1861"/>
      <c r="AJ32" s="1861"/>
      <c r="AK32" s="1861"/>
      <c r="AL32" s="1861"/>
      <c r="AM32" s="1861"/>
      <c r="AN32" s="1861"/>
      <c r="AO32" s="1861"/>
      <c r="AP32" s="1861"/>
      <c r="AQ32" s="1861"/>
      <c r="AR32" s="1861"/>
      <c r="AS32" s="1861"/>
      <c r="AT32" s="1861"/>
      <c r="AU32" s="1861"/>
      <c r="AV32" s="1861"/>
      <c r="AW32" s="1861"/>
      <c r="AX32" s="1861"/>
      <c r="AY32" s="1861"/>
      <c r="AZ32" s="1861"/>
      <c r="BA32" s="1861"/>
      <c r="BB32" s="1861"/>
      <c r="BC32" s="1861"/>
      <c r="BD32" s="1861"/>
      <c r="BE32" s="1861"/>
      <c r="BF32" s="1861"/>
      <c r="BG32" s="1861"/>
      <c r="BH32" s="1861"/>
      <c r="BI32" s="1861"/>
      <c r="BJ32" s="1861"/>
      <c r="BK32" s="1861"/>
      <c r="BL32" s="1861"/>
      <c r="BM32" s="1861"/>
      <c r="BN32" s="1861"/>
      <c r="BO32" s="1861"/>
      <c r="BP32" s="1861"/>
      <c r="BQ32" s="1861"/>
      <c r="BR32" s="1861"/>
      <c r="BS32" s="1861"/>
      <c r="BT32" s="1861"/>
      <c r="BU32" s="1861"/>
      <c r="BV32" s="1861"/>
      <c r="BW32" s="1861"/>
      <c r="BX32" s="1861"/>
      <c r="BY32" s="1861"/>
      <c r="BZ32" s="1861"/>
      <c r="CA32" s="1861"/>
      <c r="CB32" s="1861"/>
      <c r="CC32" s="1861"/>
      <c r="CD32" s="1861"/>
      <c r="CE32" s="1861"/>
      <c r="CF32" s="1861"/>
      <c r="CG32" s="1861"/>
      <c r="CH32" s="1861"/>
      <c r="CI32" s="1861"/>
      <c r="CJ32" s="1861"/>
      <c r="CK32" s="1861"/>
      <c r="CL32" s="1861"/>
      <c r="CM32" s="1861"/>
      <c r="CN32" s="1862" t="s">
        <v>2130</v>
      </c>
      <c r="CO32" s="1858"/>
      <c r="CP32" s="1858"/>
      <c r="CQ32" s="1858"/>
      <c r="CR32" s="1858"/>
      <c r="CS32" s="1858"/>
      <c r="CT32" s="1858"/>
      <c r="CU32" s="1859"/>
      <c r="CV32" s="1554" t="s">
        <v>1055</v>
      </c>
      <c r="CW32" s="1554" t="s">
        <v>2099</v>
      </c>
      <c r="CX32" s="1555">
        <v>0</v>
      </c>
      <c r="CY32" s="1555">
        <v>0</v>
      </c>
      <c r="CZ32" s="1555">
        <v>0</v>
      </c>
      <c r="DA32" s="880">
        <v>0</v>
      </c>
    </row>
    <row r="33" spans="1:105" customFormat="1" ht="15.75" thickBot="1" x14ac:dyDescent="0.3">
      <c r="A33" s="1858" t="s">
        <v>2131</v>
      </c>
      <c r="B33" s="1858"/>
      <c r="C33" s="1858"/>
      <c r="D33" s="1858"/>
      <c r="E33" s="1858"/>
      <c r="F33" s="1858"/>
      <c r="G33" s="1858"/>
      <c r="H33" s="1859"/>
      <c r="I33" s="1860" t="s">
        <v>1042</v>
      </c>
      <c r="J33" s="1861"/>
      <c r="K33" s="1861"/>
      <c r="L33" s="1861"/>
      <c r="M33" s="1861"/>
      <c r="N33" s="1861"/>
      <c r="O33" s="1861"/>
      <c r="P33" s="1861"/>
      <c r="Q33" s="1861"/>
      <c r="R33" s="1861"/>
      <c r="S33" s="1861"/>
      <c r="T33" s="1861"/>
      <c r="U33" s="1861"/>
      <c r="V33" s="1861"/>
      <c r="W33" s="1861"/>
      <c r="X33" s="1861"/>
      <c r="Y33" s="1861"/>
      <c r="Z33" s="1861"/>
      <c r="AA33" s="1861"/>
      <c r="AB33" s="1861"/>
      <c r="AC33" s="1861"/>
      <c r="AD33" s="1861"/>
      <c r="AE33" s="1861"/>
      <c r="AF33" s="1861"/>
      <c r="AG33" s="1861"/>
      <c r="AH33" s="1861"/>
      <c r="AI33" s="1861"/>
      <c r="AJ33" s="1861"/>
      <c r="AK33" s="1861"/>
      <c r="AL33" s="1861"/>
      <c r="AM33" s="1861"/>
      <c r="AN33" s="1861"/>
      <c r="AO33" s="1861"/>
      <c r="AP33" s="1861"/>
      <c r="AQ33" s="1861"/>
      <c r="AR33" s="1861"/>
      <c r="AS33" s="1861"/>
      <c r="AT33" s="1861"/>
      <c r="AU33" s="1861"/>
      <c r="AV33" s="1861"/>
      <c r="AW33" s="1861"/>
      <c r="AX33" s="1861"/>
      <c r="AY33" s="1861"/>
      <c r="AZ33" s="1861"/>
      <c r="BA33" s="1861"/>
      <c r="BB33" s="1861"/>
      <c r="BC33" s="1861"/>
      <c r="BD33" s="1861"/>
      <c r="BE33" s="1861"/>
      <c r="BF33" s="1861"/>
      <c r="BG33" s="1861"/>
      <c r="BH33" s="1861"/>
      <c r="BI33" s="1861"/>
      <c r="BJ33" s="1861"/>
      <c r="BK33" s="1861"/>
      <c r="BL33" s="1861"/>
      <c r="BM33" s="1861"/>
      <c r="BN33" s="1861"/>
      <c r="BO33" s="1861"/>
      <c r="BP33" s="1861"/>
      <c r="BQ33" s="1861"/>
      <c r="BR33" s="1861"/>
      <c r="BS33" s="1861"/>
      <c r="BT33" s="1861"/>
      <c r="BU33" s="1861"/>
      <c r="BV33" s="1861"/>
      <c r="BW33" s="1861"/>
      <c r="BX33" s="1861"/>
      <c r="BY33" s="1861"/>
      <c r="BZ33" s="1861"/>
      <c r="CA33" s="1861"/>
      <c r="CB33" s="1861"/>
      <c r="CC33" s="1861"/>
      <c r="CD33" s="1861"/>
      <c r="CE33" s="1861"/>
      <c r="CF33" s="1861"/>
      <c r="CG33" s="1861"/>
      <c r="CH33" s="1861"/>
      <c r="CI33" s="1861"/>
      <c r="CJ33" s="1861"/>
      <c r="CK33" s="1861"/>
      <c r="CL33" s="1861"/>
      <c r="CM33" s="1861"/>
      <c r="CN33" s="1862" t="s">
        <v>1053</v>
      </c>
      <c r="CO33" s="1858"/>
      <c r="CP33" s="1858"/>
      <c r="CQ33" s="1858"/>
      <c r="CR33" s="1858"/>
      <c r="CS33" s="1858"/>
      <c r="CT33" s="1858"/>
      <c r="CU33" s="1859"/>
      <c r="CV33" s="1554" t="s">
        <v>1055</v>
      </c>
      <c r="CW33" s="1554" t="s">
        <v>5</v>
      </c>
      <c r="CX33" s="1555">
        <v>0</v>
      </c>
      <c r="CY33" s="1555">
        <v>0</v>
      </c>
      <c r="CZ33" s="1555">
        <v>0</v>
      </c>
      <c r="DA33" s="880">
        <v>0</v>
      </c>
    </row>
    <row r="34" spans="1:105" customFormat="1" ht="27" customHeight="1" x14ac:dyDescent="0.25">
      <c r="A34" s="1863">
        <v>2</v>
      </c>
      <c r="B34" s="1863"/>
      <c r="C34" s="1863"/>
      <c r="D34" s="1863"/>
      <c r="E34" s="1863"/>
      <c r="F34" s="1863"/>
      <c r="G34" s="1863"/>
      <c r="H34" s="1864"/>
      <c r="I34" s="1865" t="s">
        <v>19</v>
      </c>
      <c r="J34" s="1866"/>
      <c r="K34" s="1866"/>
      <c r="L34" s="1866"/>
      <c r="M34" s="1866"/>
      <c r="N34" s="1866"/>
      <c r="O34" s="1866"/>
      <c r="P34" s="1866"/>
      <c r="Q34" s="1866"/>
      <c r="R34" s="1866"/>
      <c r="S34" s="1866"/>
      <c r="T34" s="1866"/>
      <c r="U34" s="1866"/>
      <c r="V34" s="1866"/>
      <c r="W34" s="1866"/>
      <c r="X34" s="1866"/>
      <c r="Y34" s="1866"/>
      <c r="Z34" s="1866"/>
      <c r="AA34" s="1866"/>
      <c r="AB34" s="1866"/>
      <c r="AC34" s="1866"/>
      <c r="AD34" s="1866"/>
      <c r="AE34" s="1866"/>
      <c r="AF34" s="1866"/>
      <c r="AG34" s="1866"/>
      <c r="AH34" s="1866"/>
      <c r="AI34" s="1866"/>
      <c r="AJ34" s="1866"/>
      <c r="AK34" s="1866"/>
      <c r="AL34" s="1866"/>
      <c r="AM34" s="1866"/>
      <c r="AN34" s="1866"/>
      <c r="AO34" s="1866"/>
      <c r="AP34" s="1866"/>
      <c r="AQ34" s="1866"/>
      <c r="AR34" s="1866"/>
      <c r="AS34" s="1866"/>
      <c r="AT34" s="1866"/>
      <c r="AU34" s="1866"/>
      <c r="AV34" s="1866"/>
      <c r="AW34" s="1866"/>
      <c r="AX34" s="1866"/>
      <c r="AY34" s="1866"/>
      <c r="AZ34" s="1866"/>
      <c r="BA34" s="1866"/>
      <c r="BB34" s="1866"/>
      <c r="BC34" s="1866"/>
      <c r="BD34" s="1866"/>
      <c r="BE34" s="1866"/>
      <c r="BF34" s="1866"/>
      <c r="BG34" s="1866"/>
      <c r="BH34" s="1866"/>
      <c r="BI34" s="1866"/>
      <c r="BJ34" s="1866"/>
      <c r="BK34" s="1866"/>
      <c r="BL34" s="1866"/>
      <c r="BM34" s="1866"/>
      <c r="BN34" s="1866"/>
      <c r="BO34" s="1866"/>
      <c r="BP34" s="1866"/>
      <c r="BQ34" s="1866"/>
      <c r="BR34" s="1866"/>
      <c r="BS34" s="1866"/>
      <c r="BT34" s="1866"/>
      <c r="BU34" s="1866"/>
      <c r="BV34" s="1866"/>
      <c r="BW34" s="1866"/>
      <c r="BX34" s="1866"/>
      <c r="BY34" s="1866"/>
      <c r="BZ34" s="1866"/>
      <c r="CA34" s="1866"/>
      <c r="CB34" s="1866"/>
      <c r="CC34" s="1866"/>
      <c r="CD34" s="1866"/>
      <c r="CE34" s="1866"/>
      <c r="CF34" s="1866"/>
      <c r="CG34" s="1866"/>
      <c r="CH34" s="1866"/>
      <c r="CI34" s="1866"/>
      <c r="CJ34" s="1866"/>
      <c r="CK34" s="1866"/>
      <c r="CL34" s="1866"/>
      <c r="CM34" s="1866"/>
      <c r="CN34" s="1867" t="s">
        <v>1054</v>
      </c>
      <c r="CO34" s="1868"/>
      <c r="CP34" s="1868"/>
      <c r="CQ34" s="1868"/>
      <c r="CR34" s="1868"/>
      <c r="CS34" s="1868"/>
      <c r="CT34" s="1868"/>
      <c r="CU34" s="1869"/>
      <c r="CV34" s="877" t="s">
        <v>1055</v>
      </c>
      <c r="CW34" s="877" t="s">
        <v>5</v>
      </c>
      <c r="CX34" s="878">
        <v>57803603.990000002</v>
      </c>
      <c r="CY34" s="878">
        <v>9160734.3699999992</v>
      </c>
      <c r="CZ34" s="878">
        <v>9364414.4399999995</v>
      </c>
      <c r="DA34" s="879">
        <v>0</v>
      </c>
    </row>
    <row r="35" spans="1:105" customFormat="1" ht="15" x14ac:dyDescent="0.25">
      <c r="A35" s="1858" t="s">
        <v>868</v>
      </c>
      <c r="B35" s="1858"/>
      <c r="C35" s="1858"/>
      <c r="D35" s="1858"/>
      <c r="E35" s="1858"/>
      <c r="F35" s="1858"/>
      <c r="G35" s="1858"/>
      <c r="H35" s="1859"/>
      <c r="I35" s="1860" t="s">
        <v>1056</v>
      </c>
      <c r="J35" s="1861"/>
      <c r="K35" s="1861"/>
      <c r="L35" s="1861"/>
      <c r="M35" s="1861"/>
      <c r="N35" s="1861"/>
      <c r="O35" s="1861"/>
      <c r="P35" s="1861"/>
      <c r="Q35" s="1861"/>
      <c r="R35" s="1861"/>
      <c r="S35" s="1861"/>
      <c r="T35" s="1861"/>
      <c r="U35" s="1861"/>
      <c r="V35" s="1861"/>
      <c r="W35" s="1861"/>
      <c r="X35" s="1861"/>
      <c r="Y35" s="1861"/>
      <c r="Z35" s="1861"/>
      <c r="AA35" s="1861"/>
      <c r="AB35" s="1861"/>
      <c r="AC35" s="1861"/>
      <c r="AD35" s="1861"/>
      <c r="AE35" s="1861"/>
      <c r="AF35" s="1861"/>
      <c r="AG35" s="1861"/>
      <c r="AH35" s="1861"/>
      <c r="AI35" s="1861"/>
      <c r="AJ35" s="1861"/>
      <c r="AK35" s="1861"/>
      <c r="AL35" s="1861"/>
      <c r="AM35" s="1861"/>
      <c r="AN35" s="1861"/>
      <c r="AO35" s="1861"/>
      <c r="AP35" s="1861"/>
      <c r="AQ35" s="1861"/>
      <c r="AR35" s="1861"/>
      <c r="AS35" s="1861"/>
      <c r="AT35" s="1861"/>
      <c r="AU35" s="1861"/>
      <c r="AV35" s="1861"/>
      <c r="AW35" s="1861"/>
      <c r="AX35" s="1861"/>
      <c r="AY35" s="1861"/>
      <c r="AZ35" s="1861"/>
      <c r="BA35" s="1861"/>
      <c r="BB35" s="1861"/>
      <c r="BC35" s="1861"/>
      <c r="BD35" s="1861"/>
      <c r="BE35" s="1861"/>
      <c r="BF35" s="1861"/>
      <c r="BG35" s="1861"/>
      <c r="BH35" s="1861"/>
      <c r="BI35" s="1861"/>
      <c r="BJ35" s="1861"/>
      <c r="BK35" s="1861"/>
      <c r="BL35" s="1861"/>
      <c r="BM35" s="1861"/>
      <c r="BN35" s="1861"/>
      <c r="BO35" s="1861"/>
      <c r="BP35" s="1861"/>
      <c r="BQ35" s="1861"/>
      <c r="BR35" s="1861"/>
      <c r="BS35" s="1861"/>
      <c r="BT35" s="1861"/>
      <c r="BU35" s="1861"/>
      <c r="BV35" s="1861"/>
      <c r="BW35" s="1861"/>
      <c r="BX35" s="1861"/>
      <c r="BY35" s="1861"/>
      <c r="BZ35" s="1861"/>
      <c r="CA35" s="1861"/>
      <c r="CB35" s="1861"/>
      <c r="CC35" s="1861"/>
      <c r="CD35" s="1861"/>
      <c r="CE35" s="1861"/>
      <c r="CF35" s="1861"/>
      <c r="CG35" s="1861"/>
      <c r="CH35" s="1861"/>
      <c r="CI35" s="1861"/>
      <c r="CJ35" s="1861"/>
      <c r="CK35" s="1861"/>
      <c r="CL35" s="1861"/>
      <c r="CM35" s="1861"/>
      <c r="CN35" s="1862" t="s">
        <v>1057</v>
      </c>
      <c r="CO35" s="1858"/>
      <c r="CP35" s="1858"/>
      <c r="CQ35" s="1858"/>
      <c r="CR35" s="1858"/>
      <c r="CS35" s="1858"/>
      <c r="CT35" s="1858"/>
      <c r="CU35" s="1859"/>
      <c r="CV35" s="1554" t="s">
        <v>1067</v>
      </c>
      <c r="CW35" s="1554" t="s">
        <v>5</v>
      </c>
      <c r="CX35" s="1555">
        <v>57803603.990000002</v>
      </c>
      <c r="CY35" s="1555">
        <v>0</v>
      </c>
      <c r="CZ35" s="1555">
        <v>0</v>
      </c>
      <c r="DA35" s="880">
        <v>0</v>
      </c>
    </row>
    <row r="36" spans="1:105" customFormat="1" ht="15" x14ac:dyDescent="0.25">
      <c r="A36" s="1858" t="s">
        <v>1058</v>
      </c>
      <c r="B36" s="1858"/>
      <c r="C36" s="1858"/>
      <c r="D36" s="1858"/>
      <c r="E36" s="1858"/>
      <c r="F36" s="1858"/>
      <c r="G36" s="1858"/>
      <c r="H36" s="1859"/>
      <c r="I36" s="1860" t="s">
        <v>1056</v>
      </c>
      <c r="J36" s="1861"/>
      <c r="K36" s="1861"/>
      <c r="L36" s="1861"/>
      <c r="M36" s="1861"/>
      <c r="N36" s="1861"/>
      <c r="O36" s="1861"/>
      <c r="P36" s="1861"/>
      <c r="Q36" s="1861"/>
      <c r="R36" s="1861"/>
      <c r="S36" s="1861"/>
      <c r="T36" s="1861"/>
      <c r="U36" s="1861"/>
      <c r="V36" s="1861"/>
      <c r="W36" s="1861"/>
      <c r="X36" s="1861"/>
      <c r="Y36" s="1861"/>
      <c r="Z36" s="1861"/>
      <c r="AA36" s="1861"/>
      <c r="AB36" s="1861"/>
      <c r="AC36" s="1861"/>
      <c r="AD36" s="1861"/>
      <c r="AE36" s="1861"/>
      <c r="AF36" s="1861"/>
      <c r="AG36" s="1861"/>
      <c r="AH36" s="1861"/>
      <c r="AI36" s="1861"/>
      <c r="AJ36" s="1861"/>
      <c r="AK36" s="1861"/>
      <c r="AL36" s="1861"/>
      <c r="AM36" s="1861"/>
      <c r="AN36" s="1861"/>
      <c r="AO36" s="1861"/>
      <c r="AP36" s="1861"/>
      <c r="AQ36" s="1861"/>
      <c r="AR36" s="1861"/>
      <c r="AS36" s="1861"/>
      <c r="AT36" s="1861"/>
      <c r="AU36" s="1861"/>
      <c r="AV36" s="1861"/>
      <c r="AW36" s="1861"/>
      <c r="AX36" s="1861"/>
      <c r="AY36" s="1861"/>
      <c r="AZ36" s="1861"/>
      <c r="BA36" s="1861"/>
      <c r="BB36" s="1861"/>
      <c r="BC36" s="1861"/>
      <c r="BD36" s="1861"/>
      <c r="BE36" s="1861"/>
      <c r="BF36" s="1861"/>
      <c r="BG36" s="1861"/>
      <c r="BH36" s="1861"/>
      <c r="BI36" s="1861"/>
      <c r="BJ36" s="1861"/>
      <c r="BK36" s="1861"/>
      <c r="BL36" s="1861"/>
      <c r="BM36" s="1861"/>
      <c r="BN36" s="1861"/>
      <c r="BO36" s="1861"/>
      <c r="BP36" s="1861"/>
      <c r="BQ36" s="1861"/>
      <c r="BR36" s="1861"/>
      <c r="BS36" s="1861"/>
      <c r="BT36" s="1861"/>
      <c r="BU36" s="1861"/>
      <c r="BV36" s="1861"/>
      <c r="BW36" s="1861"/>
      <c r="BX36" s="1861"/>
      <c r="BY36" s="1861"/>
      <c r="BZ36" s="1861"/>
      <c r="CA36" s="1861"/>
      <c r="CB36" s="1861"/>
      <c r="CC36" s="1861"/>
      <c r="CD36" s="1861"/>
      <c r="CE36" s="1861"/>
      <c r="CF36" s="1861"/>
      <c r="CG36" s="1861"/>
      <c r="CH36" s="1861"/>
      <c r="CI36" s="1861"/>
      <c r="CJ36" s="1861"/>
      <c r="CK36" s="1861"/>
      <c r="CL36" s="1861"/>
      <c r="CM36" s="1861"/>
      <c r="CN36" s="1862" t="s">
        <v>1057</v>
      </c>
      <c r="CO36" s="1858"/>
      <c r="CP36" s="1858"/>
      <c r="CQ36" s="1858"/>
      <c r="CR36" s="1858"/>
      <c r="CS36" s="1858"/>
      <c r="CT36" s="1858"/>
      <c r="CU36" s="1859"/>
      <c r="CV36" s="1554" t="s">
        <v>2132</v>
      </c>
      <c r="CW36" s="1554" t="s">
        <v>5</v>
      </c>
      <c r="CX36" s="1555">
        <v>0</v>
      </c>
      <c r="CY36" s="1555">
        <v>9160734.3699999992</v>
      </c>
      <c r="CZ36" s="1555">
        <v>0</v>
      </c>
      <c r="DA36" s="880">
        <v>0</v>
      </c>
    </row>
    <row r="37" spans="1:105" customFormat="1" ht="15.75" thickBot="1" x14ac:dyDescent="0.3">
      <c r="A37" s="1858" t="s">
        <v>1059</v>
      </c>
      <c r="B37" s="1858"/>
      <c r="C37" s="1858"/>
      <c r="D37" s="1858"/>
      <c r="E37" s="1858"/>
      <c r="F37" s="1858"/>
      <c r="G37" s="1858"/>
      <c r="H37" s="1859"/>
      <c r="I37" s="1860" t="s">
        <v>1056</v>
      </c>
      <c r="J37" s="1861"/>
      <c r="K37" s="1861"/>
      <c r="L37" s="1861"/>
      <c r="M37" s="1861"/>
      <c r="N37" s="1861"/>
      <c r="O37" s="1861"/>
      <c r="P37" s="1861"/>
      <c r="Q37" s="1861"/>
      <c r="R37" s="1861"/>
      <c r="S37" s="1861"/>
      <c r="T37" s="1861"/>
      <c r="U37" s="1861"/>
      <c r="V37" s="1861"/>
      <c r="W37" s="1861"/>
      <c r="X37" s="1861"/>
      <c r="Y37" s="1861"/>
      <c r="Z37" s="1861"/>
      <c r="AA37" s="1861"/>
      <c r="AB37" s="1861"/>
      <c r="AC37" s="1861"/>
      <c r="AD37" s="1861"/>
      <c r="AE37" s="1861"/>
      <c r="AF37" s="1861"/>
      <c r="AG37" s="1861"/>
      <c r="AH37" s="1861"/>
      <c r="AI37" s="1861"/>
      <c r="AJ37" s="1861"/>
      <c r="AK37" s="1861"/>
      <c r="AL37" s="1861"/>
      <c r="AM37" s="1861"/>
      <c r="AN37" s="1861"/>
      <c r="AO37" s="1861"/>
      <c r="AP37" s="1861"/>
      <c r="AQ37" s="1861"/>
      <c r="AR37" s="1861"/>
      <c r="AS37" s="1861"/>
      <c r="AT37" s="1861"/>
      <c r="AU37" s="1861"/>
      <c r="AV37" s="1861"/>
      <c r="AW37" s="1861"/>
      <c r="AX37" s="1861"/>
      <c r="AY37" s="1861"/>
      <c r="AZ37" s="1861"/>
      <c r="BA37" s="1861"/>
      <c r="BB37" s="1861"/>
      <c r="BC37" s="1861"/>
      <c r="BD37" s="1861"/>
      <c r="BE37" s="1861"/>
      <c r="BF37" s="1861"/>
      <c r="BG37" s="1861"/>
      <c r="BH37" s="1861"/>
      <c r="BI37" s="1861"/>
      <c r="BJ37" s="1861"/>
      <c r="BK37" s="1861"/>
      <c r="BL37" s="1861"/>
      <c r="BM37" s="1861"/>
      <c r="BN37" s="1861"/>
      <c r="BO37" s="1861"/>
      <c r="BP37" s="1861"/>
      <c r="BQ37" s="1861"/>
      <c r="BR37" s="1861"/>
      <c r="BS37" s="1861"/>
      <c r="BT37" s="1861"/>
      <c r="BU37" s="1861"/>
      <c r="BV37" s="1861"/>
      <c r="BW37" s="1861"/>
      <c r="BX37" s="1861"/>
      <c r="BY37" s="1861"/>
      <c r="BZ37" s="1861"/>
      <c r="CA37" s="1861"/>
      <c r="CB37" s="1861"/>
      <c r="CC37" s="1861"/>
      <c r="CD37" s="1861"/>
      <c r="CE37" s="1861"/>
      <c r="CF37" s="1861"/>
      <c r="CG37" s="1861"/>
      <c r="CH37" s="1861"/>
      <c r="CI37" s="1861"/>
      <c r="CJ37" s="1861"/>
      <c r="CK37" s="1861"/>
      <c r="CL37" s="1861"/>
      <c r="CM37" s="1861"/>
      <c r="CN37" s="1862" t="s">
        <v>1057</v>
      </c>
      <c r="CO37" s="1858"/>
      <c r="CP37" s="1858"/>
      <c r="CQ37" s="1858"/>
      <c r="CR37" s="1858"/>
      <c r="CS37" s="1858"/>
      <c r="CT37" s="1858"/>
      <c r="CU37" s="1859"/>
      <c r="CV37" s="1554" t="s">
        <v>2133</v>
      </c>
      <c r="CW37" s="1554" t="s">
        <v>5</v>
      </c>
      <c r="CX37" s="1555">
        <v>0</v>
      </c>
      <c r="CY37" s="1555">
        <v>0</v>
      </c>
      <c r="CZ37" s="1555">
        <v>9364414.4399999995</v>
      </c>
      <c r="DA37" s="880">
        <v>0</v>
      </c>
    </row>
    <row r="38" spans="1:105" customFormat="1" ht="29.25" customHeight="1" x14ac:dyDescent="0.25">
      <c r="A38" s="1863">
        <v>3</v>
      </c>
      <c r="B38" s="1863"/>
      <c r="C38" s="1863"/>
      <c r="D38" s="1863"/>
      <c r="E38" s="1863"/>
      <c r="F38" s="1863"/>
      <c r="G38" s="1863"/>
      <c r="H38" s="1864"/>
      <c r="I38" s="1865" t="s">
        <v>9</v>
      </c>
      <c r="J38" s="1866"/>
      <c r="K38" s="1866"/>
      <c r="L38" s="1866"/>
      <c r="M38" s="1866"/>
      <c r="N38" s="1866"/>
      <c r="O38" s="1866"/>
      <c r="P38" s="1866"/>
      <c r="Q38" s="1866"/>
      <c r="R38" s="1866"/>
      <c r="S38" s="1866"/>
      <c r="T38" s="1866"/>
      <c r="U38" s="1866"/>
      <c r="V38" s="1866"/>
      <c r="W38" s="1866"/>
      <c r="X38" s="1866"/>
      <c r="Y38" s="1866"/>
      <c r="Z38" s="1866"/>
      <c r="AA38" s="1866"/>
      <c r="AB38" s="1866"/>
      <c r="AC38" s="1866"/>
      <c r="AD38" s="1866"/>
      <c r="AE38" s="1866"/>
      <c r="AF38" s="1866"/>
      <c r="AG38" s="1866"/>
      <c r="AH38" s="1866"/>
      <c r="AI38" s="1866"/>
      <c r="AJ38" s="1866"/>
      <c r="AK38" s="1866"/>
      <c r="AL38" s="1866"/>
      <c r="AM38" s="1866"/>
      <c r="AN38" s="1866"/>
      <c r="AO38" s="1866"/>
      <c r="AP38" s="1866"/>
      <c r="AQ38" s="1866"/>
      <c r="AR38" s="1866"/>
      <c r="AS38" s="1866"/>
      <c r="AT38" s="1866"/>
      <c r="AU38" s="1866"/>
      <c r="AV38" s="1866"/>
      <c r="AW38" s="1866"/>
      <c r="AX38" s="1866"/>
      <c r="AY38" s="1866"/>
      <c r="AZ38" s="1866"/>
      <c r="BA38" s="1866"/>
      <c r="BB38" s="1866"/>
      <c r="BC38" s="1866"/>
      <c r="BD38" s="1866"/>
      <c r="BE38" s="1866"/>
      <c r="BF38" s="1866"/>
      <c r="BG38" s="1866"/>
      <c r="BH38" s="1866"/>
      <c r="BI38" s="1866"/>
      <c r="BJ38" s="1866"/>
      <c r="BK38" s="1866"/>
      <c r="BL38" s="1866"/>
      <c r="BM38" s="1866"/>
      <c r="BN38" s="1866"/>
      <c r="BO38" s="1866"/>
      <c r="BP38" s="1866"/>
      <c r="BQ38" s="1866"/>
      <c r="BR38" s="1866"/>
      <c r="BS38" s="1866"/>
      <c r="BT38" s="1866"/>
      <c r="BU38" s="1866"/>
      <c r="BV38" s="1866"/>
      <c r="BW38" s="1866"/>
      <c r="BX38" s="1866"/>
      <c r="BY38" s="1866"/>
      <c r="BZ38" s="1866"/>
      <c r="CA38" s="1866"/>
      <c r="CB38" s="1866"/>
      <c r="CC38" s="1866"/>
      <c r="CD38" s="1866"/>
      <c r="CE38" s="1866"/>
      <c r="CF38" s="1866"/>
      <c r="CG38" s="1866"/>
      <c r="CH38" s="1866"/>
      <c r="CI38" s="1866"/>
      <c r="CJ38" s="1866"/>
      <c r="CK38" s="1866"/>
      <c r="CL38" s="1866"/>
      <c r="CM38" s="1866"/>
      <c r="CN38" s="1867" t="s">
        <v>1060</v>
      </c>
      <c r="CO38" s="1868"/>
      <c r="CP38" s="1868"/>
      <c r="CQ38" s="1868"/>
      <c r="CR38" s="1868"/>
      <c r="CS38" s="1868"/>
      <c r="CT38" s="1868"/>
      <c r="CU38" s="1869"/>
      <c r="CV38" s="877" t="s">
        <v>1055</v>
      </c>
      <c r="CW38" s="877" t="s">
        <v>5</v>
      </c>
      <c r="CX38" s="878">
        <v>0</v>
      </c>
      <c r="CY38" s="878">
        <v>0</v>
      </c>
      <c r="CZ38" s="878">
        <v>0</v>
      </c>
      <c r="DA38" s="879">
        <v>0</v>
      </c>
    </row>
    <row r="39" spans="1:105" customFormat="1" ht="15" x14ac:dyDescent="0.25">
      <c r="A39" s="1858" t="s">
        <v>1061</v>
      </c>
      <c r="B39" s="1858"/>
      <c r="C39" s="1858"/>
      <c r="D39" s="1858"/>
      <c r="E39" s="1858"/>
      <c r="F39" s="1858"/>
      <c r="G39" s="1858"/>
      <c r="H39" s="1859"/>
      <c r="I39" s="1860" t="s">
        <v>1056</v>
      </c>
      <c r="J39" s="1861"/>
      <c r="K39" s="1861"/>
      <c r="L39" s="1861"/>
      <c r="M39" s="1861"/>
      <c r="N39" s="1861"/>
      <c r="O39" s="1861"/>
      <c r="P39" s="1861"/>
      <c r="Q39" s="1861"/>
      <c r="R39" s="1861"/>
      <c r="S39" s="1861"/>
      <c r="T39" s="1861"/>
      <c r="U39" s="1861"/>
      <c r="V39" s="1861"/>
      <c r="W39" s="1861"/>
      <c r="X39" s="1861"/>
      <c r="Y39" s="1861"/>
      <c r="Z39" s="1861"/>
      <c r="AA39" s="1861"/>
      <c r="AB39" s="1861"/>
      <c r="AC39" s="1861"/>
      <c r="AD39" s="1861"/>
      <c r="AE39" s="1861"/>
      <c r="AF39" s="1861"/>
      <c r="AG39" s="1861"/>
      <c r="AH39" s="1861"/>
      <c r="AI39" s="1861"/>
      <c r="AJ39" s="1861"/>
      <c r="AK39" s="1861"/>
      <c r="AL39" s="1861"/>
      <c r="AM39" s="1861"/>
      <c r="AN39" s="1861"/>
      <c r="AO39" s="1861"/>
      <c r="AP39" s="1861"/>
      <c r="AQ39" s="1861"/>
      <c r="AR39" s="1861"/>
      <c r="AS39" s="1861"/>
      <c r="AT39" s="1861"/>
      <c r="AU39" s="1861"/>
      <c r="AV39" s="1861"/>
      <c r="AW39" s="1861"/>
      <c r="AX39" s="1861"/>
      <c r="AY39" s="1861"/>
      <c r="AZ39" s="1861"/>
      <c r="BA39" s="1861"/>
      <c r="BB39" s="1861"/>
      <c r="BC39" s="1861"/>
      <c r="BD39" s="1861"/>
      <c r="BE39" s="1861"/>
      <c r="BF39" s="1861"/>
      <c r="BG39" s="1861"/>
      <c r="BH39" s="1861"/>
      <c r="BI39" s="1861"/>
      <c r="BJ39" s="1861"/>
      <c r="BK39" s="1861"/>
      <c r="BL39" s="1861"/>
      <c r="BM39" s="1861"/>
      <c r="BN39" s="1861"/>
      <c r="BO39" s="1861"/>
      <c r="BP39" s="1861"/>
      <c r="BQ39" s="1861"/>
      <c r="BR39" s="1861"/>
      <c r="BS39" s="1861"/>
      <c r="BT39" s="1861"/>
      <c r="BU39" s="1861"/>
      <c r="BV39" s="1861"/>
      <c r="BW39" s="1861"/>
      <c r="BX39" s="1861"/>
      <c r="BY39" s="1861"/>
      <c r="BZ39" s="1861"/>
      <c r="CA39" s="1861"/>
      <c r="CB39" s="1861"/>
      <c r="CC39" s="1861"/>
      <c r="CD39" s="1861"/>
      <c r="CE39" s="1861"/>
      <c r="CF39" s="1861"/>
      <c r="CG39" s="1861"/>
      <c r="CH39" s="1861"/>
      <c r="CI39" s="1861"/>
      <c r="CJ39" s="1861"/>
      <c r="CK39" s="1861"/>
      <c r="CL39" s="1861"/>
      <c r="CM39" s="1861"/>
      <c r="CN39" s="1862" t="s">
        <v>1062</v>
      </c>
      <c r="CO39" s="1858"/>
      <c r="CP39" s="1858"/>
      <c r="CQ39" s="1858"/>
      <c r="CR39" s="1858"/>
      <c r="CS39" s="1858"/>
      <c r="CT39" s="1858"/>
      <c r="CU39" s="1859"/>
      <c r="CV39" s="1554" t="s">
        <v>1067</v>
      </c>
      <c r="CW39" s="1554" t="s">
        <v>5</v>
      </c>
      <c r="CX39" s="1555">
        <v>0</v>
      </c>
      <c r="CY39" s="1555">
        <v>0</v>
      </c>
      <c r="CZ39" s="1555">
        <v>0</v>
      </c>
      <c r="DA39" s="880">
        <v>0</v>
      </c>
    </row>
    <row r="40" spans="1:105" customFormat="1" ht="15" x14ac:dyDescent="0.25">
      <c r="A40" s="1858" t="s">
        <v>1063</v>
      </c>
      <c r="B40" s="1858"/>
      <c r="C40" s="1858"/>
      <c r="D40" s="1858"/>
      <c r="E40" s="1858"/>
      <c r="F40" s="1858"/>
      <c r="G40" s="1858"/>
      <c r="H40" s="1859"/>
      <c r="I40" s="1860" t="s">
        <v>1056</v>
      </c>
      <c r="J40" s="1861"/>
      <c r="K40" s="1861"/>
      <c r="L40" s="1861"/>
      <c r="M40" s="1861"/>
      <c r="N40" s="1861"/>
      <c r="O40" s="1861"/>
      <c r="P40" s="1861"/>
      <c r="Q40" s="1861"/>
      <c r="R40" s="1861"/>
      <c r="S40" s="1861"/>
      <c r="T40" s="1861"/>
      <c r="U40" s="1861"/>
      <c r="V40" s="1861"/>
      <c r="W40" s="1861"/>
      <c r="X40" s="1861"/>
      <c r="Y40" s="1861"/>
      <c r="Z40" s="1861"/>
      <c r="AA40" s="1861"/>
      <c r="AB40" s="1861"/>
      <c r="AC40" s="1861"/>
      <c r="AD40" s="1861"/>
      <c r="AE40" s="1861"/>
      <c r="AF40" s="1861"/>
      <c r="AG40" s="1861"/>
      <c r="AH40" s="1861"/>
      <c r="AI40" s="1861"/>
      <c r="AJ40" s="1861"/>
      <c r="AK40" s="1861"/>
      <c r="AL40" s="1861"/>
      <c r="AM40" s="1861"/>
      <c r="AN40" s="1861"/>
      <c r="AO40" s="1861"/>
      <c r="AP40" s="1861"/>
      <c r="AQ40" s="1861"/>
      <c r="AR40" s="1861"/>
      <c r="AS40" s="1861"/>
      <c r="AT40" s="1861"/>
      <c r="AU40" s="1861"/>
      <c r="AV40" s="1861"/>
      <c r="AW40" s="1861"/>
      <c r="AX40" s="1861"/>
      <c r="AY40" s="1861"/>
      <c r="AZ40" s="1861"/>
      <c r="BA40" s="1861"/>
      <c r="BB40" s="1861"/>
      <c r="BC40" s="1861"/>
      <c r="BD40" s="1861"/>
      <c r="BE40" s="1861"/>
      <c r="BF40" s="1861"/>
      <c r="BG40" s="1861"/>
      <c r="BH40" s="1861"/>
      <c r="BI40" s="1861"/>
      <c r="BJ40" s="1861"/>
      <c r="BK40" s="1861"/>
      <c r="BL40" s="1861"/>
      <c r="BM40" s="1861"/>
      <c r="BN40" s="1861"/>
      <c r="BO40" s="1861"/>
      <c r="BP40" s="1861"/>
      <c r="BQ40" s="1861"/>
      <c r="BR40" s="1861"/>
      <c r="BS40" s="1861"/>
      <c r="BT40" s="1861"/>
      <c r="BU40" s="1861"/>
      <c r="BV40" s="1861"/>
      <c r="BW40" s="1861"/>
      <c r="BX40" s="1861"/>
      <c r="BY40" s="1861"/>
      <c r="BZ40" s="1861"/>
      <c r="CA40" s="1861"/>
      <c r="CB40" s="1861"/>
      <c r="CC40" s="1861"/>
      <c r="CD40" s="1861"/>
      <c r="CE40" s="1861"/>
      <c r="CF40" s="1861"/>
      <c r="CG40" s="1861"/>
      <c r="CH40" s="1861"/>
      <c r="CI40" s="1861"/>
      <c r="CJ40" s="1861"/>
      <c r="CK40" s="1861"/>
      <c r="CL40" s="1861"/>
      <c r="CM40" s="1861"/>
      <c r="CN40" s="1862" t="s">
        <v>1062</v>
      </c>
      <c r="CO40" s="1858"/>
      <c r="CP40" s="1858"/>
      <c r="CQ40" s="1858"/>
      <c r="CR40" s="1858"/>
      <c r="CS40" s="1858"/>
      <c r="CT40" s="1858"/>
      <c r="CU40" s="1859"/>
      <c r="CV40" s="1554" t="s">
        <v>2132</v>
      </c>
      <c r="CW40" s="1554" t="s">
        <v>5</v>
      </c>
      <c r="CX40" s="1555">
        <v>0</v>
      </c>
      <c r="CY40" s="1555">
        <v>0</v>
      </c>
      <c r="CZ40" s="1555">
        <v>0</v>
      </c>
      <c r="DA40" s="880">
        <v>0</v>
      </c>
    </row>
    <row r="41" spans="1:105" customFormat="1" ht="15" x14ac:dyDescent="0.25">
      <c r="A41" s="1858" t="s">
        <v>1064</v>
      </c>
      <c r="B41" s="1858"/>
      <c r="C41" s="1858"/>
      <c r="D41" s="1858"/>
      <c r="E41" s="1858"/>
      <c r="F41" s="1858"/>
      <c r="G41" s="1858"/>
      <c r="H41" s="1859"/>
      <c r="I41" s="1860" t="s">
        <v>1056</v>
      </c>
      <c r="J41" s="1861"/>
      <c r="K41" s="1861"/>
      <c r="L41" s="1861"/>
      <c r="M41" s="1861"/>
      <c r="N41" s="1861"/>
      <c r="O41" s="1861"/>
      <c r="P41" s="1861"/>
      <c r="Q41" s="1861"/>
      <c r="R41" s="1861"/>
      <c r="S41" s="1861"/>
      <c r="T41" s="1861"/>
      <c r="U41" s="1861"/>
      <c r="V41" s="1861"/>
      <c r="W41" s="1861"/>
      <c r="X41" s="1861"/>
      <c r="Y41" s="1861"/>
      <c r="Z41" s="1861"/>
      <c r="AA41" s="1861"/>
      <c r="AB41" s="1861"/>
      <c r="AC41" s="1861"/>
      <c r="AD41" s="1861"/>
      <c r="AE41" s="1861"/>
      <c r="AF41" s="1861"/>
      <c r="AG41" s="1861"/>
      <c r="AH41" s="1861"/>
      <c r="AI41" s="1861"/>
      <c r="AJ41" s="1861"/>
      <c r="AK41" s="1861"/>
      <c r="AL41" s="1861"/>
      <c r="AM41" s="1861"/>
      <c r="AN41" s="1861"/>
      <c r="AO41" s="1861"/>
      <c r="AP41" s="1861"/>
      <c r="AQ41" s="1861"/>
      <c r="AR41" s="1861"/>
      <c r="AS41" s="1861"/>
      <c r="AT41" s="1861"/>
      <c r="AU41" s="1861"/>
      <c r="AV41" s="1861"/>
      <c r="AW41" s="1861"/>
      <c r="AX41" s="1861"/>
      <c r="AY41" s="1861"/>
      <c r="AZ41" s="1861"/>
      <c r="BA41" s="1861"/>
      <c r="BB41" s="1861"/>
      <c r="BC41" s="1861"/>
      <c r="BD41" s="1861"/>
      <c r="BE41" s="1861"/>
      <c r="BF41" s="1861"/>
      <c r="BG41" s="1861"/>
      <c r="BH41" s="1861"/>
      <c r="BI41" s="1861"/>
      <c r="BJ41" s="1861"/>
      <c r="BK41" s="1861"/>
      <c r="BL41" s="1861"/>
      <c r="BM41" s="1861"/>
      <c r="BN41" s="1861"/>
      <c r="BO41" s="1861"/>
      <c r="BP41" s="1861"/>
      <c r="BQ41" s="1861"/>
      <c r="BR41" s="1861"/>
      <c r="BS41" s="1861"/>
      <c r="BT41" s="1861"/>
      <c r="BU41" s="1861"/>
      <c r="BV41" s="1861"/>
      <c r="BW41" s="1861"/>
      <c r="BX41" s="1861"/>
      <c r="BY41" s="1861"/>
      <c r="BZ41" s="1861"/>
      <c r="CA41" s="1861"/>
      <c r="CB41" s="1861"/>
      <c r="CC41" s="1861"/>
      <c r="CD41" s="1861"/>
      <c r="CE41" s="1861"/>
      <c r="CF41" s="1861"/>
      <c r="CG41" s="1861"/>
      <c r="CH41" s="1861"/>
      <c r="CI41" s="1861"/>
      <c r="CJ41" s="1861"/>
      <c r="CK41" s="1861"/>
      <c r="CL41" s="1861"/>
      <c r="CM41" s="1861"/>
      <c r="CN41" s="1862" t="s">
        <v>1062</v>
      </c>
      <c r="CO41" s="1858"/>
      <c r="CP41" s="1858"/>
      <c r="CQ41" s="1858"/>
      <c r="CR41" s="1858"/>
      <c r="CS41" s="1858"/>
      <c r="CT41" s="1858"/>
      <c r="CU41" s="1859"/>
      <c r="CV41" s="1554" t="s">
        <v>2133</v>
      </c>
      <c r="CW41" s="1554" t="s">
        <v>5</v>
      </c>
      <c r="CX41" s="1555">
        <v>0</v>
      </c>
      <c r="CY41" s="1555">
        <v>0</v>
      </c>
      <c r="CZ41" s="1555">
        <v>0</v>
      </c>
      <c r="DA41" s="880">
        <v>0</v>
      </c>
    </row>
    <row r="42" spans="1:105" customFormat="1" ht="15" x14ac:dyDescent="0.25"/>
    <row r="43" spans="1:105" customFormat="1" ht="15" x14ac:dyDescent="0.25">
      <c r="A43" s="1826"/>
      <c r="B43" s="1826" t="s">
        <v>2268</v>
      </c>
    </row>
    <row r="44" spans="1:105" customFormat="1" ht="15" x14ac:dyDescent="0.25">
      <c r="A44" s="1827"/>
      <c r="B44" s="1827" t="s">
        <v>2269</v>
      </c>
    </row>
    <row r="45" spans="1:105" customFormat="1" ht="15" x14ac:dyDescent="0.25">
      <c r="A45" s="1827"/>
      <c r="B45" s="1827" t="s">
        <v>2270</v>
      </c>
    </row>
    <row r="46" spans="1:105" customFormat="1" ht="15" x14ac:dyDescent="0.25">
      <c r="A46" s="1827"/>
      <c r="B46" s="1827" t="s">
        <v>2271</v>
      </c>
    </row>
    <row r="47" spans="1:105" customFormat="1" ht="15" x14ac:dyDescent="0.25">
      <c r="A47" s="1827"/>
      <c r="B47" s="1827" t="s">
        <v>2272</v>
      </c>
    </row>
    <row r="48" spans="1:105" customFormat="1" ht="15" x14ac:dyDescent="0.25">
      <c r="A48" s="1827"/>
      <c r="B48" s="1827" t="s">
        <v>2273</v>
      </c>
    </row>
    <row r="49" spans="1:2" customFormat="1" ht="15" x14ac:dyDescent="0.25">
      <c r="A49" s="1827"/>
      <c r="B49" s="1827" t="s">
        <v>2274</v>
      </c>
    </row>
    <row r="50" spans="1:2" customFormat="1" ht="15" x14ac:dyDescent="0.25">
      <c r="A50" s="1827"/>
      <c r="B50" s="1827" t="s">
        <v>2275</v>
      </c>
    </row>
    <row r="51" spans="1:2" customFormat="1" ht="15" x14ac:dyDescent="0.25">
      <c r="A51" s="1827"/>
      <c r="B51" s="1827" t="s">
        <v>2276</v>
      </c>
    </row>
    <row r="52" spans="1:2" customFormat="1" ht="15" x14ac:dyDescent="0.25">
      <c r="A52" s="1826"/>
      <c r="B52" s="1826" t="s">
        <v>2277</v>
      </c>
    </row>
    <row r="53" spans="1:2" customFormat="1" ht="15" x14ac:dyDescent="0.25">
      <c r="A53" s="1826"/>
      <c r="B53" s="1826" t="s">
        <v>2278</v>
      </c>
    </row>
    <row r="54" spans="1:2" customFormat="1" ht="15" x14ac:dyDescent="0.25">
      <c r="A54" s="1827"/>
      <c r="B54" s="1827" t="s">
        <v>2279</v>
      </c>
    </row>
    <row r="55" spans="1:2" customFormat="1" ht="15" x14ac:dyDescent="0.25">
      <c r="A55" s="1827"/>
      <c r="B55" s="1827" t="s">
        <v>2280</v>
      </c>
    </row>
    <row r="56" spans="1:2" customFormat="1" ht="15" x14ac:dyDescent="0.25">
      <c r="A56" s="1827"/>
      <c r="B56" s="1827" t="s">
        <v>2281</v>
      </c>
    </row>
    <row r="57" spans="1:2" customFormat="1" ht="15" x14ac:dyDescent="0.25">
      <c r="A57" s="1827"/>
      <c r="B57" s="1827" t="s">
        <v>2282</v>
      </c>
    </row>
    <row r="58" spans="1:2" customFormat="1" ht="15" x14ac:dyDescent="0.25">
      <c r="A58" s="1827"/>
      <c r="B58" s="1827" t="s">
        <v>2283</v>
      </c>
    </row>
    <row r="59" spans="1:2" customFormat="1" ht="15" x14ac:dyDescent="0.25">
      <c r="A59" s="1827"/>
      <c r="B59" s="1827" t="s">
        <v>2284</v>
      </c>
    </row>
    <row r="60" spans="1:2" customFormat="1" ht="15" x14ac:dyDescent="0.25">
      <c r="A60" s="1828"/>
      <c r="B60" s="1828"/>
    </row>
    <row r="61" spans="1:2" customFormat="1" ht="15" x14ac:dyDescent="0.25">
      <c r="A61" s="1826"/>
      <c r="B61" s="1826" t="s">
        <v>2285</v>
      </c>
    </row>
    <row r="62" spans="1:2" customFormat="1" ht="15" x14ac:dyDescent="0.25">
      <c r="A62" s="1827"/>
      <c r="B62" s="1827" t="s">
        <v>2269</v>
      </c>
    </row>
    <row r="63" spans="1:2" customFormat="1" ht="15" x14ac:dyDescent="0.25">
      <c r="A63" s="1827"/>
      <c r="B63" s="1827" t="s">
        <v>2286</v>
      </c>
    </row>
    <row r="64" spans="1:2" customFormat="1" ht="15" x14ac:dyDescent="0.25">
      <c r="A64" s="1827"/>
      <c r="B64" s="1827" t="s">
        <v>2287</v>
      </c>
    </row>
    <row r="65" spans="1:2" customFormat="1" ht="15" x14ac:dyDescent="0.25">
      <c r="A65" s="1827"/>
      <c r="B65" s="1827" t="s">
        <v>2288</v>
      </c>
    </row>
    <row r="66" spans="1:2" customFormat="1" ht="15" x14ac:dyDescent="0.25">
      <c r="A66" s="1827"/>
      <c r="B66" s="1827" t="s">
        <v>2289</v>
      </c>
    </row>
    <row r="67" spans="1:2" customFormat="1" ht="15" x14ac:dyDescent="0.25">
      <c r="A67" s="1827"/>
      <c r="B67" s="1827" t="s">
        <v>2290</v>
      </c>
    </row>
    <row r="68" spans="1:2" customFormat="1" ht="15" x14ac:dyDescent="0.25">
      <c r="A68" s="1827"/>
      <c r="B68" s="1827" t="s">
        <v>2275</v>
      </c>
    </row>
    <row r="69" spans="1:2" customFormat="1" ht="15" x14ac:dyDescent="0.25">
      <c r="A69" s="1827"/>
      <c r="B69" s="1827" t="s">
        <v>2276</v>
      </c>
    </row>
    <row r="70" spans="1:2" customFormat="1" ht="15" x14ac:dyDescent="0.25">
      <c r="A70" s="1826"/>
      <c r="B70" s="1826" t="s">
        <v>2277</v>
      </c>
    </row>
    <row r="71" spans="1:2" customFormat="1" ht="15" x14ac:dyDescent="0.25">
      <c r="A71" s="1826"/>
      <c r="B71" s="1826" t="s">
        <v>2278</v>
      </c>
    </row>
    <row r="72" spans="1:2" customFormat="1" ht="15" x14ac:dyDescent="0.25">
      <c r="A72" s="1827"/>
      <c r="B72" s="1827" t="s">
        <v>2291</v>
      </c>
    </row>
    <row r="73" spans="1:2" customFormat="1" ht="15" x14ac:dyDescent="0.25">
      <c r="A73" s="1827"/>
      <c r="B73" s="1827" t="s">
        <v>2280</v>
      </c>
    </row>
    <row r="74" spans="1:2" customFormat="1" ht="15" x14ac:dyDescent="0.25">
      <c r="A74" s="1827"/>
      <c r="B74" s="1827" t="s">
        <v>2292</v>
      </c>
    </row>
    <row r="75" spans="1:2" customFormat="1" ht="15" x14ac:dyDescent="0.25">
      <c r="A75" s="1827"/>
      <c r="B75" s="1827" t="s">
        <v>2293</v>
      </c>
    </row>
    <row r="76" spans="1:2" customFormat="1" ht="15" x14ac:dyDescent="0.25">
      <c r="A76" s="1827"/>
      <c r="B76" s="1827" t="s">
        <v>2294</v>
      </c>
    </row>
    <row r="77" spans="1:2" customFormat="1" ht="15" x14ac:dyDescent="0.25">
      <c r="A77" s="1827"/>
      <c r="B77" s="1827" t="s">
        <v>2295</v>
      </c>
    </row>
    <row r="78" spans="1:2" customFormat="1" ht="15" x14ac:dyDescent="0.25">
      <c r="A78" s="1828"/>
      <c r="B78" s="1828"/>
    </row>
    <row r="79" spans="1:2" customFormat="1" ht="15" x14ac:dyDescent="0.25">
      <c r="A79" s="1826"/>
      <c r="B79" s="1826" t="s">
        <v>2296</v>
      </c>
    </row>
    <row r="80" spans="1:2" customFormat="1" ht="15" x14ac:dyDescent="0.25">
      <c r="A80" s="1827"/>
      <c r="B80" s="1827" t="s">
        <v>2269</v>
      </c>
    </row>
    <row r="81" spans="1:2" customFormat="1" ht="15" x14ac:dyDescent="0.25">
      <c r="A81" s="1827"/>
      <c r="B81" s="1827" t="s">
        <v>2297</v>
      </c>
    </row>
    <row r="82" spans="1:2" customFormat="1" ht="15" x14ac:dyDescent="0.25">
      <c r="A82" s="1827"/>
      <c r="B82" s="1827" t="s">
        <v>2298</v>
      </c>
    </row>
    <row r="83" spans="1:2" customFormat="1" ht="15" x14ac:dyDescent="0.25">
      <c r="A83" s="1827"/>
      <c r="B83" s="1827" t="s">
        <v>2299</v>
      </c>
    </row>
    <row r="84" spans="1:2" customFormat="1" ht="15" x14ac:dyDescent="0.25">
      <c r="A84" s="1827"/>
      <c r="B84" s="1827" t="s">
        <v>2300</v>
      </c>
    </row>
    <row r="85" spans="1:2" customFormat="1" ht="15" x14ac:dyDescent="0.25">
      <c r="A85" s="1827"/>
      <c r="B85" s="1827" t="s">
        <v>2301</v>
      </c>
    </row>
    <row r="86" spans="1:2" customFormat="1" ht="15" x14ac:dyDescent="0.25">
      <c r="A86" s="1827"/>
      <c r="B86" s="1827" t="s">
        <v>2275</v>
      </c>
    </row>
    <row r="87" spans="1:2" customFormat="1" ht="15" x14ac:dyDescent="0.25">
      <c r="A87" s="1827"/>
      <c r="B87" s="1827" t="s">
        <v>2276</v>
      </c>
    </row>
    <row r="88" spans="1:2" customFormat="1" ht="15" x14ac:dyDescent="0.25">
      <c r="A88" s="1826"/>
      <c r="B88" s="1826" t="s">
        <v>2277</v>
      </c>
    </row>
    <row r="89" spans="1:2" customFormat="1" ht="15" x14ac:dyDescent="0.25">
      <c r="A89" s="1826"/>
      <c r="B89" s="1826" t="s">
        <v>2278</v>
      </c>
    </row>
    <row r="90" spans="1:2" customFormat="1" ht="15" x14ac:dyDescent="0.25">
      <c r="A90" s="1827"/>
      <c r="B90" s="1827" t="s">
        <v>2302</v>
      </c>
    </row>
    <row r="91" spans="1:2" customFormat="1" ht="15" x14ac:dyDescent="0.25">
      <c r="A91" s="1827"/>
      <c r="B91" s="1827" t="s">
        <v>2303</v>
      </c>
    </row>
    <row r="92" spans="1:2" customFormat="1" ht="15" x14ac:dyDescent="0.25">
      <c r="A92" s="1827"/>
      <c r="B92" s="1827" t="s">
        <v>2304</v>
      </c>
    </row>
    <row r="93" spans="1:2" customFormat="1" ht="15" x14ac:dyDescent="0.25">
      <c r="A93" s="1827"/>
      <c r="B93" s="1827" t="s">
        <v>2305</v>
      </c>
    </row>
    <row r="94" spans="1:2" customFormat="1" ht="15" x14ac:dyDescent="0.25">
      <c r="A94" s="1827"/>
      <c r="B94" s="1827" t="s">
        <v>2306</v>
      </c>
    </row>
    <row r="95" spans="1:2" customFormat="1" ht="15" x14ac:dyDescent="0.25">
      <c r="A95" s="1827"/>
      <c r="B95" s="1827" t="s">
        <v>2307</v>
      </c>
    </row>
  </sheetData>
  <mergeCells count="116">
    <mergeCell ref="A6:H6"/>
    <mergeCell ref="I6:CM6"/>
    <mergeCell ref="CN6:CU6"/>
    <mergeCell ref="A7:H7"/>
    <mergeCell ref="I7:CM7"/>
    <mergeCell ref="CN7:CU7"/>
    <mergeCell ref="B1:DA1"/>
    <mergeCell ref="A3:H5"/>
    <mergeCell ref="I3:CM5"/>
    <mergeCell ref="CN3:CU5"/>
    <mergeCell ref="CV3:CV5"/>
    <mergeCell ref="CW3:CW5"/>
    <mergeCell ref="CX3:DA3"/>
    <mergeCell ref="DA4:DA5"/>
    <mergeCell ref="A10:H10"/>
    <mergeCell ref="I10:CM10"/>
    <mergeCell ref="CN10:CU10"/>
    <mergeCell ref="A11:H11"/>
    <mergeCell ref="I11:CM11"/>
    <mergeCell ref="CN11:CU11"/>
    <mergeCell ref="A8:H8"/>
    <mergeCell ref="I8:CM8"/>
    <mergeCell ref="CN8:CU8"/>
    <mergeCell ref="A9:H9"/>
    <mergeCell ref="I9:CM9"/>
    <mergeCell ref="CN9:CU9"/>
    <mergeCell ref="A14:H14"/>
    <mergeCell ref="I14:CM14"/>
    <mergeCell ref="CN14:CU14"/>
    <mergeCell ref="A15:H15"/>
    <mergeCell ref="I15:CM15"/>
    <mergeCell ref="CN15:CU15"/>
    <mergeCell ref="A12:H12"/>
    <mergeCell ref="I12:CM12"/>
    <mergeCell ref="CN12:CU12"/>
    <mergeCell ref="A13:H13"/>
    <mergeCell ref="I13:CM13"/>
    <mergeCell ref="CN13:CU13"/>
    <mergeCell ref="A18:H18"/>
    <mergeCell ref="I18:CM18"/>
    <mergeCell ref="CN18:CU18"/>
    <mergeCell ref="A19:H19"/>
    <mergeCell ref="I19:CM19"/>
    <mergeCell ref="CN19:CU19"/>
    <mergeCell ref="A16:H16"/>
    <mergeCell ref="I16:CM16"/>
    <mergeCell ref="CN16:CU16"/>
    <mergeCell ref="A17:H17"/>
    <mergeCell ref="I17:CM17"/>
    <mergeCell ref="CN17:CU17"/>
    <mergeCell ref="A22:H22"/>
    <mergeCell ref="I22:CM22"/>
    <mergeCell ref="CN22:CU22"/>
    <mergeCell ref="A23:H23"/>
    <mergeCell ref="I23:CM23"/>
    <mergeCell ref="CN23:CU23"/>
    <mergeCell ref="A20:H20"/>
    <mergeCell ref="I20:CM20"/>
    <mergeCell ref="CN20:CU20"/>
    <mergeCell ref="A21:H21"/>
    <mergeCell ref="I21:CM21"/>
    <mergeCell ref="CN21:CU21"/>
    <mergeCell ref="A26:H26"/>
    <mergeCell ref="I26:CM26"/>
    <mergeCell ref="CN26:CU26"/>
    <mergeCell ref="A27:H27"/>
    <mergeCell ref="I27:CM27"/>
    <mergeCell ref="CN27:CU27"/>
    <mergeCell ref="A24:H24"/>
    <mergeCell ref="I24:CM24"/>
    <mergeCell ref="CN24:CU24"/>
    <mergeCell ref="A25:H25"/>
    <mergeCell ref="I25:CM25"/>
    <mergeCell ref="CN25:CU25"/>
    <mergeCell ref="A30:H30"/>
    <mergeCell ref="I30:CM30"/>
    <mergeCell ref="CN30:CU30"/>
    <mergeCell ref="A31:H31"/>
    <mergeCell ref="I31:CM31"/>
    <mergeCell ref="CN31:CU31"/>
    <mergeCell ref="A28:H28"/>
    <mergeCell ref="I28:CM28"/>
    <mergeCell ref="CN28:CU28"/>
    <mergeCell ref="A29:H29"/>
    <mergeCell ref="I29:CM29"/>
    <mergeCell ref="CN29:CU29"/>
    <mergeCell ref="A34:H34"/>
    <mergeCell ref="I34:CM34"/>
    <mergeCell ref="CN34:CU34"/>
    <mergeCell ref="A35:H35"/>
    <mergeCell ref="I35:CM35"/>
    <mergeCell ref="CN35:CU35"/>
    <mergeCell ref="A32:H32"/>
    <mergeCell ref="I32:CM32"/>
    <mergeCell ref="CN32:CU32"/>
    <mergeCell ref="A33:H33"/>
    <mergeCell ref="I33:CM33"/>
    <mergeCell ref="CN33:CU33"/>
    <mergeCell ref="A36:H36"/>
    <mergeCell ref="I36:CM36"/>
    <mergeCell ref="CN36:CU36"/>
    <mergeCell ref="A37:H37"/>
    <mergeCell ref="I37:CM37"/>
    <mergeCell ref="CN37:CU37"/>
    <mergeCell ref="A38:H38"/>
    <mergeCell ref="I38:CM38"/>
    <mergeCell ref="CN38:CU38"/>
    <mergeCell ref="A39:H39"/>
    <mergeCell ref="I39:CM39"/>
    <mergeCell ref="CN39:CU39"/>
    <mergeCell ref="A40:H40"/>
    <mergeCell ref="I40:CM40"/>
    <mergeCell ref="CN40:CU40"/>
    <mergeCell ref="A41:H41"/>
    <mergeCell ref="I41:CM41"/>
    <mergeCell ref="CN41:CU41"/>
  </mergeCells>
  <printOptions horizontalCentered="1"/>
  <pageMargins left="0.59055118110236227" right="0.11811023622047245" top="0.19685039370078741" bottom="0.11811023622047245" header="0.19685039370078741" footer="0.19685039370078741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Normal="115" zoomScaleSheetLayoutView="100" workbookViewId="0">
      <selection activeCell="P8" sqref="P8"/>
    </sheetView>
  </sheetViews>
  <sheetFormatPr defaultRowHeight="15" x14ac:dyDescent="0.2"/>
  <cols>
    <col min="1" max="1" width="4.7109375" style="525" customWidth="1"/>
    <col min="2" max="2" width="17.140625" style="519" customWidth="1"/>
    <col min="3" max="4" width="15.7109375" style="519" customWidth="1"/>
    <col min="5" max="5" width="67.85546875" style="519" customWidth="1"/>
    <col min="6" max="6" width="14.5703125" style="519" customWidth="1"/>
    <col min="7" max="256" width="9.140625" style="515"/>
    <col min="257" max="257" width="4.7109375" style="515" customWidth="1"/>
    <col min="258" max="258" width="13.42578125" style="515" customWidth="1"/>
    <col min="259" max="259" width="13.5703125" style="515" customWidth="1"/>
    <col min="260" max="260" width="10.7109375" style="515" customWidth="1"/>
    <col min="261" max="261" width="40" style="515" customWidth="1"/>
    <col min="262" max="262" width="11.7109375" style="515" customWidth="1"/>
    <col min="263" max="512" width="9.140625" style="515"/>
    <col min="513" max="513" width="4.7109375" style="515" customWidth="1"/>
    <col min="514" max="514" width="13.42578125" style="515" customWidth="1"/>
    <col min="515" max="515" width="13.5703125" style="515" customWidth="1"/>
    <col min="516" max="516" width="10.7109375" style="515" customWidth="1"/>
    <col min="517" max="517" width="40" style="515" customWidth="1"/>
    <col min="518" max="518" width="11.7109375" style="515" customWidth="1"/>
    <col min="519" max="768" width="9.140625" style="515"/>
    <col min="769" max="769" width="4.7109375" style="515" customWidth="1"/>
    <col min="770" max="770" width="13.42578125" style="515" customWidth="1"/>
    <col min="771" max="771" width="13.5703125" style="515" customWidth="1"/>
    <col min="772" max="772" width="10.7109375" style="515" customWidth="1"/>
    <col min="773" max="773" width="40" style="515" customWidth="1"/>
    <col min="774" max="774" width="11.7109375" style="515" customWidth="1"/>
    <col min="775" max="1024" width="9.140625" style="515"/>
    <col min="1025" max="1025" width="4.7109375" style="515" customWidth="1"/>
    <col min="1026" max="1026" width="13.42578125" style="515" customWidth="1"/>
    <col min="1027" max="1027" width="13.5703125" style="515" customWidth="1"/>
    <col min="1028" max="1028" width="10.7109375" style="515" customWidth="1"/>
    <col min="1029" max="1029" width="40" style="515" customWidth="1"/>
    <col min="1030" max="1030" width="11.7109375" style="515" customWidth="1"/>
    <col min="1031" max="1280" width="9.140625" style="515"/>
    <col min="1281" max="1281" width="4.7109375" style="515" customWidth="1"/>
    <col min="1282" max="1282" width="13.42578125" style="515" customWidth="1"/>
    <col min="1283" max="1283" width="13.5703125" style="515" customWidth="1"/>
    <col min="1284" max="1284" width="10.7109375" style="515" customWidth="1"/>
    <col min="1285" max="1285" width="40" style="515" customWidth="1"/>
    <col min="1286" max="1286" width="11.7109375" style="515" customWidth="1"/>
    <col min="1287" max="1536" width="9.140625" style="515"/>
    <col min="1537" max="1537" width="4.7109375" style="515" customWidth="1"/>
    <col min="1538" max="1538" width="13.42578125" style="515" customWidth="1"/>
    <col min="1539" max="1539" width="13.5703125" style="515" customWidth="1"/>
    <col min="1540" max="1540" width="10.7109375" style="515" customWidth="1"/>
    <col min="1541" max="1541" width="40" style="515" customWidth="1"/>
    <col min="1542" max="1542" width="11.7109375" style="515" customWidth="1"/>
    <col min="1543" max="1792" width="9.140625" style="515"/>
    <col min="1793" max="1793" width="4.7109375" style="515" customWidth="1"/>
    <col min="1794" max="1794" width="13.42578125" style="515" customWidth="1"/>
    <col min="1795" max="1795" width="13.5703125" style="515" customWidth="1"/>
    <col min="1796" max="1796" width="10.7109375" style="515" customWidth="1"/>
    <col min="1797" max="1797" width="40" style="515" customWidth="1"/>
    <col min="1798" max="1798" width="11.7109375" style="515" customWidth="1"/>
    <col min="1799" max="2048" width="9.140625" style="515"/>
    <col min="2049" max="2049" width="4.7109375" style="515" customWidth="1"/>
    <col min="2050" max="2050" width="13.42578125" style="515" customWidth="1"/>
    <col min="2051" max="2051" width="13.5703125" style="515" customWidth="1"/>
    <col min="2052" max="2052" width="10.7109375" style="515" customWidth="1"/>
    <col min="2053" max="2053" width="40" style="515" customWidth="1"/>
    <col min="2054" max="2054" width="11.7109375" style="515" customWidth="1"/>
    <col min="2055" max="2304" width="9.140625" style="515"/>
    <col min="2305" max="2305" width="4.7109375" style="515" customWidth="1"/>
    <col min="2306" max="2306" width="13.42578125" style="515" customWidth="1"/>
    <col min="2307" max="2307" width="13.5703125" style="515" customWidth="1"/>
    <col min="2308" max="2308" width="10.7109375" style="515" customWidth="1"/>
    <col min="2309" max="2309" width="40" style="515" customWidth="1"/>
    <col min="2310" max="2310" width="11.7109375" style="515" customWidth="1"/>
    <col min="2311" max="2560" width="9.140625" style="515"/>
    <col min="2561" max="2561" width="4.7109375" style="515" customWidth="1"/>
    <col min="2562" max="2562" width="13.42578125" style="515" customWidth="1"/>
    <col min="2563" max="2563" width="13.5703125" style="515" customWidth="1"/>
    <col min="2564" max="2564" width="10.7109375" style="515" customWidth="1"/>
    <col min="2565" max="2565" width="40" style="515" customWidth="1"/>
    <col min="2566" max="2566" width="11.7109375" style="515" customWidth="1"/>
    <col min="2567" max="2816" width="9.140625" style="515"/>
    <col min="2817" max="2817" width="4.7109375" style="515" customWidth="1"/>
    <col min="2818" max="2818" width="13.42578125" style="515" customWidth="1"/>
    <col min="2819" max="2819" width="13.5703125" style="515" customWidth="1"/>
    <col min="2820" max="2820" width="10.7109375" style="515" customWidth="1"/>
    <col min="2821" max="2821" width="40" style="515" customWidth="1"/>
    <col min="2822" max="2822" width="11.7109375" style="515" customWidth="1"/>
    <col min="2823" max="3072" width="9.140625" style="515"/>
    <col min="3073" max="3073" width="4.7109375" style="515" customWidth="1"/>
    <col min="3074" max="3074" width="13.42578125" style="515" customWidth="1"/>
    <col min="3075" max="3075" width="13.5703125" style="515" customWidth="1"/>
    <col min="3076" max="3076" width="10.7109375" style="515" customWidth="1"/>
    <col min="3077" max="3077" width="40" style="515" customWidth="1"/>
    <col min="3078" max="3078" width="11.7109375" style="515" customWidth="1"/>
    <col min="3079" max="3328" width="9.140625" style="515"/>
    <col min="3329" max="3329" width="4.7109375" style="515" customWidth="1"/>
    <col min="3330" max="3330" width="13.42578125" style="515" customWidth="1"/>
    <col min="3331" max="3331" width="13.5703125" style="515" customWidth="1"/>
    <col min="3332" max="3332" width="10.7109375" style="515" customWidth="1"/>
    <col min="3333" max="3333" width="40" style="515" customWidth="1"/>
    <col min="3334" max="3334" width="11.7109375" style="515" customWidth="1"/>
    <col min="3335" max="3584" width="9.140625" style="515"/>
    <col min="3585" max="3585" width="4.7109375" style="515" customWidth="1"/>
    <col min="3586" max="3586" width="13.42578125" style="515" customWidth="1"/>
    <col min="3587" max="3587" width="13.5703125" style="515" customWidth="1"/>
    <col min="3588" max="3588" width="10.7109375" style="515" customWidth="1"/>
    <col min="3589" max="3589" width="40" style="515" customWidth="1"/>
    <col min="3590" max="3590" width="11.7109375" style="515" customWidth="1"/>
    <col min="3591" max="3840" width="9.140625" style="515"/>
    <col min="3841" max="3841" width="4.7109375" style="515" customWidth="1"/>
    <col min="3842" max="3842" width="13.42578125" style="515" customWidth="1"/>
    <col min="3843" max="3843" width="13.5703125" style="515" customWidth="1"/>
    <col min="3844" max="3844" width="10.7109375" style="515" customWidth="1"/>
    <col min="3845" max="3845" width="40" style="515" customWidth="1"/>
    <col min="3846" max="3846" width="11.7109375" style="515" customWidth="1"/>
    <col min="3847" max="4096" width="9.140625" style="515"/>
    <col min="4097" max="4097" width="4.7109375" style="515" customWidth="1"/>
    <col min="4098" max="4098" width="13.42578125" style="515" customWidth="1"/>
    <col min="4099" max="4099" width="13.5703125" style="515" customWidth="1"/>
    <col min="4100" max="4100" width="10.7109375" style="515" customWidth="1"/>
    <col min="4101" max="4101" width="40" style="515" customWidth="1"/>
    <col min="4102" max="4102" width="11.7109375" style="515" customWidth="1"/>
    <col min="4103" max="4352" width="9.140625" style="515"/>
    <col min="4353" max="4353" width="4.7109375" style="515" customWidth="1"/>
    <col min="4354" max="4354" width="13.42578125" style="515" customWidth="1"/>
    <col min="4355" max="4355" width="13.5703125" style="515" customWidth="1"/>
    <col min="4356" max="4356" width="10.7109375" style="515" customWidth="1"/>
    <col min="4357" max="4357" width="40" style="515" customWidth="1"/>
    <col min="4358" max="4358" width="11.7109375" style="515" customWidth="1"/>
    <col min="4359" max="4608" width="9.140625" style="515"/>
    <col min="4609" max="4609" width="4.7109375" style="515" customWidth="1"/>
    <col min="4610" max="4610" width="13.42578125" style="515" customWidth="1"/>
    <col min="4611" max="4611" width="13.5703125" style="515" customWidth="1"/>
    <col min="4612" max="4612" width="10.7109375" style="515" customWidth="1"/>
    <col min="4613" max="4613" width="40" style="515" customWidth="1"/>
    <col min="4614" max="4614" width="11.7109375" style="515" customWidth="1"/>
    <col min="4615" max="4864" width="9.140625" style="515"/>
    <col min="4865" max="4865" width="4.7109375" style="515" customWidth="1"/>
    <col min="4866" max="4866" width="13.42578125" style="515" customWidth="1"/>
    <col min="4867" max="4867" width="13.5703125" style="515" customWidth="1"/>
    <col min="4868" max="4868" width="10.7109375" style="515" customWidth="1"/>
    <col min="4869" max="4869" width="40" style="515" customWidth="1"/>
    <col min="4870" max="4870" width="11.7109375" style="515" customWidth="1"/>
    <col min="4871" max="5120" width="9.140625" style="515"/>
    <col min="5121" max="5121" width="4.7109375" style="515" customWidth="1"/>
    <col min="5122" max="5122" width="13.42578125" style="515" customWidth="1"/>
    <col min="5123" max="5123" width="13.5703125" style="515" customWidth="1"/>
    <col min="5124" max="5124" width="10.7109375" style="515" customWidth="1"/>
    <col min="5125" max="5125" width="40" style="515" customWidth="1"/>
    <col min="5126" max="5126" width="11.7109375" style="515" customWidth="1"/>
    <col min="5127" max="5376" width="9.140625" style="515"/>
    <col min="5377" max="5377" width="4.7109375" style="515" customWidth="1"/>
    <col min="5378" max="5378" width="13.42578125" style="515" customWidth="1"/>
    <col min="5379" max="5379" width="13.5703125" style="515" customWidth="1"/>
    <col min="5380" max="5380" width="10.7109375" style="515" customWidth="1"/>
    <col min="5381" max="5381" width="40" style="515" customWidth="1"/>
    <col min="5382" max="5382" width="11.7109375" style="515" customWidth="1"/>
    <col min="5383" max="5632" width="9.140625" style="515"/>
    <col min="5633" max="5633" width="4.7109375" style="515" customWidth="1"/>
    <col min="5634" max="5634" width="13.42578125" style="515" customWidth="1"/>
    <col min="5635" max="5635" width="13.5703125" style="515" customWidth="1"/>
    <col min="5636" max="5636" width="10.7109375" style="515" customWidth="1"/>
    <col min="5637" max="5637" width="40" style="515" customWidth="1"/>
    <col min="5638" max="5638" width="11.7109375" style="515" customWidth="1"/>
    <col min="5639" max="5888" width="9.140625" style="515"/>
    <col min="5889" max="5889" width="4.7109375" style="515" customWidth="1"/>
    <col min="5890" max="5890" width="13.42578125" style="515" customWidth="1"/>
    <col min="5891" max="5891" width="13.5703125" style="515" customWidth="1"/>
    <col min="5892" max="5892" width="10.7109375" style="515" customWidth="1"/>
    <col min="5893" max="5893" width="40" style="515" customWidth="1"/>
    <col min="5894" max="5894" width="11.7109375" style="515" customWidth="1"/>
    <col min="5895" max="6144" width="9.140625" style="515"/>
    <col min="6145" max="6145" width="4.7109375" style="515" customWidth="1"/>
    <col min="6146" max="6146" width="13.42578125" style="515" customWidth="1"/>
    <col min="6147" max="6147" width="13.5703125" style="515" customWidth="1"/>
    <col min="6148" max="6148" width="10.7109375" style="515" customWidth="1"/>
    <col min="6149" max="6149" width="40" style="515" customWidth="1"/>
    <col min="6150" max="6150" width="11.7109375" style="515" customWidth="1"/>
    <col min="6151" max="6400" width="9.140625" style="515"/>
    <col min="6401" max="6401" width="4.7109375" style="515" customWidth="1"/>
    <col min="6402" max="6402" width="13.42578125" style="515" customWidth="1"/>
    <col min="6403" max="6403" width="13.5703125" style="515" customWidth="1"/>
    <col min="6404" max="6404" width="10.7109375" style="515" customWidth="1"/>
    <col min="6405" max="6405" width="40" style="515" customWidth="1"/>
    <col min="6406" max="6406" width="11.7109375" style="515" customWidth="1"/>
    <col min="6407" max="6656" width="9.140625" style="515"/>
    <col min="6657" max="6657" width="4.7109375" style="515" customWidth="1"/>
    <col min="6658" max="6658" width="13.42578125" style="515" customWidth="1"/>
    <col min="6659" max="6659" width="13.5703125" style="515" customWidth="1"/>
    <col min="6660" max="6660" width="10.7109375" style="515" customWidth="1"/>
    <col min="6661" max="6661" width="40" style="515" customWidth="1"/>
    <col min="6662" max="6662" width="11.7109375" style="515" customWidth="1"/>
    <col min="6663" max="6912" width="9.140625" style="515"/>
    <col min="6913" max="6913" width="4.7109375" style="515" customWidth="1"/>
    <col min="6914" max="6914" width="13.42578125" style="515" customWidth="1"/>
    <col min="6915" max="6915" width="13.5703125" style="515" customWidth="1"/>
    <col min="6916" max="6916" width="10.7109375" style="515" customWidth="1"/>
    <col min="6917" max="6917" width="40" style="515" customWidth="1"/>
    <col min="6918" max="6918" width="11.7109375" style="515" customWidth="1"/>
    <col min="6919" max="7168" width="9.140625" style="515"/>
    <col min="7169" max="7169" width="4.7109375" style="515" customWidth="1"/>
    <col min="7170" max="7170" width="13.42578125" style="515" customWidth="1"/>
    <col min="7171" max="7171" width="13.5703125" style="515" customWidth="1"/>
    <col min="7172" max="7172" width="10.7109375" style="515" customWidth="1"/>
    <col min="7173" max="7173" width="40" style="515" customWidth="1"/>
    <col min="7174" max="7174" width="11.7109375" style="515" customWidth="1"/>
    <col min="7175" max="7424" width="9.140625" style="515"/>
    <col min="7425" max="7425" width="4.7109375" style="515" customWidth="1"/>
    <col min="7426" max="7426" width="13.42578125" style="515" customWidth="1"/>
    <col min="7427" max="7427" width="13.5703125" style="515" customWidth="1"/>
    <col min="7428" max="7428" width="10.7109375" style="515" customWidth="1"/>
    <col min="7429" max="7429" width="40" style="515" customWidth="1"/>
    <col min="7430" max="7430" width="11.7109375" style="515" customWidth="1"/>
    <col min="7431" max="7680" width="9.140625" style="515"/>
    <col min="7681" max="7681" width="4.7109375" style="515" customWidth="1"/>
    <col min="7682" max="7682" width="13.42578125" style="515" customWidth="1"/>
    <col min="7683" max="7683" width="13.5703125" style="515" customWidth="1"/>
    <col min="7684" max="7684" width="10.7109375" style="515" customWidth="1"/>
    <col min="7685" max="7685" width="40" style="515" customWidth="1"/>
    <col min="7686" max="7686" width="11.7109375" style="515" customWidth="1"/>
    <col min="7687" max="7936" width="9.140625" style="515"/>
    <col min="7937" max="7937" width="4.7109375" style="515" customWidth="1"/>
    <col min="7938" max="7938" width="13.42578125" style="515" customWidth="1"/>
    <col min="7939" max="7939" width="13.5703125" style="515" customWidth="1"/>
    <col min="7940" max="7940" width="10.7109375" style="515" customWidth="1"/>
    <col min="7941" max="7941" width="40" style="515" customWidth="1"/>
    <col min="7942" max="7942" width="11.7109375" style="515" customWidth="1"/>
    <col min="7943" max="8192" width="9.140625" style="515"/>
    <col min="8193" max="8193" width="4.7109375" style="515" customWidth="1"/>
    <col min="8194" max="8194" width="13.42578125" style="515" customWidth="1"/>
    <col min="8195" max="8195" width="13.5703125" style="515" customWidth="1"/>
    <col min="8196" max="8196" width="10.7109375" style="515" customWidth="1"/>
    <col min="8197" max="8197" width="40" style="515" customWidth="1"/>
    <col min="8198" max="8198" width="11.7109375" style="515" customWidth="1"/>
    <col min="8199" max="8448" width="9.140625" style="515"/>
    <col min="8449" max="8449" width="4.7109375" style="515" customWidth="1"/>
    <col min="8450" max="8450" width="13.42578125" style="515" customWidth="1"/>
    <col min="8451" max="8451" width="13.5703125" style="515" customWidth="1"/>
    <col min="8452" max="8452" width="10.7109375" style="515" customWidth="1"/>
    <col min="8453" max="8453" width="40" style="515" customWidth="1"/>
    <col min="8454" max="8454" width="11.7109375" style="515" customWidth="1"/>
    <col min="8455" max="8704" width="9.140625" style="515"/>
    <col min="8705" max="8705" width="4.7109375" style="515" customWidth="1"/>
    <col min="8706" max="8706" width="13.42578125" style="515" customWidth="1"/>
    <col min="8707" max="8707" width="13.5703125" style="515" customWidth="1"/>
    <col min="8708" max="8708" width="10.7109375" style="515" customWidth="1"/>
    <col min="8709" max="8709" width="40" style="515" customWidth="1"/>
    <col min="8710" max="8710" width="11.7109375" style="515" customWidth="1"/>
    <col min="8711" max="8960" width="9.140625" style="515"/>
    <col min="8961" max="8961" width="4.7109375" style="515" customWidth="1"/>
    <col min="8962" max="8962" width="13.42578125" style="515" customWidth="1"/>
    <col min="8963" max="8963" width="13.5703125" style="515" customWidth="1"/>
    <col min="8964" max="8964" width="10.7109375" style="515" customWidth="1"/>
    <col min="8965" max="8965" width="40" style="515" customWidth="1"/>
    <col min="8966" max="8966" width="11.7109375" style="515" customWidth="1"/>
    <col min="8967" max="9216" width="9.140625" style="515"/>
    <col min="9217" max="9217" width="4.7109375" style="515" customWidth="1"/>
    <col min="9218" max="9218" width="13.42578125" style="515" customWidth="1"/>
    <col min="9219" max="9219" width="13.5703125" style="515" customWidth="1"/>
    <col min="9220" max="9220" width="10.7109375" style="515" customWidth="1"/>
    <col min="9221" max="9221" width="40" style="515" customWidth="1"/>
    <col min="9222" max="9222" width="11.7109375" style="515" customWidth="1"/>
    <col min="9223" max="9472" width="9.140625" style="515"/>
    <col min="9473" max="9473" width="4.7109375" style="515" customWidth="1"/>
    <col min="9474" max="9474" width="13.42578125" style="515" customWidth="1"/>
    <col min="9475" max="9475" width="13.5703125" style="515" customWidth="1"/>
    <col min="9476" max="9476" width="10.7109375" style="515" customWidth="1"/>
    <col min="9477" max="9477" width="40" style="515" customWidth="1"/>
    <col min="9478" max="9478" width="11.7109375" style="515" customWidth="1"/>
    <col min="9479" max="9728" width="9.140625" style="515"/>
    <col min="9729" max="9729" width="4.7109375" style="515" customWidth="1"/>
    <col min="9730" max="9730" width="13.42578125" style="515" customWidth="1"/>
    <col min="9731" max="9731" width="13.5703125" style="515" customWidth="1"/>
    <col min="9732" max="9732" width="10.7109375" style="515" customWidth="1"/>
    <col min="9733" max="9733" width="40" style="515" customWidth="1"/>
    <col min="9734" max="9734" width="11.7109375" style="515" customWidth="1"/>
    <col min="9735" max="9984" width="9.140625" style="515"/>
    <col min="9985" max="9985" width="4.7109375" style="515" customWidth="1"/>
    <col min="9986" max="9986" width="13.42578125" style="515" customWidth="1"/>
    <col min="9987" max="9987" width="13.5703125" style="515" customWidth="1"/>
    <col min="9988" max="9988" width="10.7109375" style="515" customWidth="1"/>
    <col min="9989" max="9989" width="40" style="515" customWidth="1"/>
    <col min="9990" max="9990" width="11.7109375" style="515" customWidth="1"/>
    <col min="9991" max="10240" width="9.140625" style="515"/>
    <col min="10241" max="10241" width="4.7109375" style="515" customWidth="1"/>
    <col min="10242" max="10242" width="13.42578125" style="515" customWidth="1"/>
    <col min="10243" max="10243" width="13.5703125" style="515" customWidth="1"/>
    <col min="10244" max="10244" width="10.7109375" style="515" customWidth="1"/>
    <col min="10245" max="10245" width="40" style="515" customWidth="1"/>
    <col min="10246" max="10246" width="11.7109375" style="515" customWidth="1"/>
    <col min="10247" max="10496" width="9.140625" style="515"/>
    <col min="10497" max="10497" width="4.7109375" style="515" customWidth="1"/>
    <col min="10498" max="10498" width="13.42578125" style="515" customWidth="1"/>
    <col min="10499" max="10499" width="13.5703125" style="515" customWidth="1"/>
    <col min="10500" max="10500" width="10.7109375" style="515" customWidth="1"/>
    <col min="10501" max="10501" width="40" style="515" customWidth="1"/>
    <col min="10502" max="10502" width="11.7109375" style="515" customWidth="1"/>
    <col min="10503" max="10752" width="9.140625" style="515"/>
    <col min="10753" max="10753" width="4.7109375" style="515" customWidth="1"/>
    <col min="10754" max="10754" width="13.42578125" style="515" customWidth="1"/>
    <col min="10755" max="10755" width="13.5703125" style="515" customWidth="1"/>
    <col min="10756" max="10756" width="10.7109375" style="515" customWidth="1"/>
    <col min="10757" max="10757" width="40" style="515" customWidth="1"/>
    <col min="10758" max="10758" width="11.7109375" style="515" customWidth="1"/>
    <col min="10759" max="11008" width="9.140625" style="515"/>
    <col min="11009" max="11009" width="4.7109375" style="515" customWidth="1"/>
    <col min="11010" max="11010" width="13.42578125" style="515" customWidth="1"/>
    <col min="11011" max="11011" width="13.5703125" style="515" customWidth="1"/>
    <col min="11012" max="11012" width="10.7109375" style="515" customWidth="1"/>
    <col min="11013" max="11013" width="40" style="515" customWidth="1"/>
    <col min="11014" max="11014" width="11.7109375" style="515" customWidth="1"/>
    <col min="11015" max="11264" width="9.140625" style="515"/>
    <col min="11265" max="11265" width="4.7109375" style="515" customWidth="1"/>
    <col min="11266" max="11266" width="13.42578125" style="515" customWidth="1"/>
    <col min="11267" max="11267" width="13.5703125" style="515" customWidth="1"/>
    <col min="11268" max="11268" width="10.7109375" style="515" customWidth="1"/>
    <col min="11269" max="11269" width="40" style="515" customWidth="1"/>
    <col min="11270" max="11270" width="11.7109375" style="515" customWidth="1"/>
    <col min="11271" max="11520" width="9.140625" style="515"/>
    <col min="11521" max="11521" width="4.7109375" style="515" customWidth="1"/>
    <col min="11522" max="11522" width="13.42578125" style="515" customWidth="1"/>
    <col min="11523" max="11523" width="13.5703125" style="515" customWidth="1"/>
    <col min="11524" max="11524" width="10.7109375" style="515" customWidth="1"/>
    <col min="11525" max="11525" width="40" style="515" customWidth="1"/>
    <col min="11526" max="11526" width="11.7109375" style="515" customWidth="1"/>
    <col min="11527" max="11776" width="9.140625" style="515"/>
    <col min="11777" max="11777" width="4.7109375" style="515" customWidth="1"/>
    <col min="11778" max="11778" width="13.42578125" style="515" customWidth="1"/>
    <col min="11779" max="11779" width="13.5703125" style="515" customWidth="1"/>
    <col min="11780" max="11780" width="10.7109375" style="515" customWidth="1"/>
    <col min="11781" max="11781" width="40" style="515" customWidth="1"/>
    <col min="11782" max="11782" width="11.7109375" style="515" customWidth="1"/>
    <col min="11783" max="12032" width="9.140625" style="515"/>
    <col min="12033" max="12033" width="4.7109375" style="515" customWidth="1"/>
    <col min="12034" max="12034" width="13.42578125" style="515" customWidth="1"/>
    <col min="12035" max="12035" width="13.5703125" style="515" customWidth="1"/>
    <col min="12036" max="12036" width="10.7109375" style="515" customWidth="1"/>
    <col min="12037" max="12037" width="40" style="515" customWidth="1"/>
    <col min="12038" max="12038" width="11.7109375" style="515" customWidth="1"/>
    <col min="12039" max="12288" width="9.140625" style="515"/>
    <col min="12289" max="12289" width="4.7109375" style="515" customWidth="1"/>
    <col min="12290" max="12290" width="13.42578125" style="515" customWidth="1"/>
    <col min="12291" max="12291" width="13.5703125" style="515" customWidth="1"/>
    <col min="12292" max="12292" width="10.7109375" style="515" customWidth="1"/>
    <col min="12293" max="12293" width="40" style="515" customWidth="1"/>
    <col min="12294" max="12294" width="11.7109375" style="515" customWidth="1"/>
    <col min="12295" max="12544" width="9.140625" style="515"/>
    <col min="12545" max="12545" width="4.7109375" style="515" customWidth="1"/>
    <col min="12546" max="12546" width="13.42578125" style="515" customWidth="1"/>
    <col min="12547" max="12547" width="13.5703125" style="515" customWidth="1"/>
    <col min="12548" max="12548" width="10.7109375" style="515" customWidth="1"/>
    <col min="12549" max="12549" width="40" style="515" customWidth="1"/>
    <col min="12550" max="12550" width="11.7109375" style="515" customWidth="1"/>
    <col min="12551" max="12800" width="9.140625" style="515"/>
    <col min="12801" max="12801" width="4.7109375" style="515" customWidth="1"/>
    <col min="12802" max="12802" width="13.42578125" style="515" customWidth="1"/>
    <col min="12803" max="12803" width="13.5703125" style="515" customWidth="1"/>
    <col min="12804" max="12804" width="10.7109375" style="515" customWidth="1"/>
    <col min="12805" max="12805" width="40" style="515" customWidth="1"/>
    <col min="12806" max="12806" width="11.7109375" style="515" customWidth="1"/>
    <col min="12807" max="13056" width="9.140625" style="515"/>
    <col min="13057" max="13057" width="4.7109375" style="515" customWidth="1"/>
    <col min="13058" max="13058" width="13.42578125" style="515" customWidth="1"/>
    <col min="13059" max="13059" width="13.5703125" style="515" customWidth="1"/>
    <col min="13060" max="13060" width="10.7109375" style="515" customWidth="1"/>
    <col min="13061" max="13061" width="40" style="515" customWidth="1"/>
    <col min="13062" max="13062" width="11.7109375" style="515" customWidth="1"/>
    <col min="13063" max="13312" width="9.140625" style="515"/>
    <col min="13313" max="13313" width="4.7109375" style="515" customWidth="1"/>
    <col min="13314" max="13314" width="13.42578125" style="515" customWidth="1"/>
    <col min="13315" max="13315" width="13.5703125" style="515" customWidth="1"/>
    <col min="13316" max="13316" width="10.7109375" style="515" customWidth="1"/>
    <col min="13317" max="13317" width="40" style="515" customWidth="1"/>
    <col min="13318" max="13318" width="11.7109375" style="515" customWidth="1"/>
    <col min="13319" max="13568" width="9.140625" style="515"/>
    <col min="13569" max="13569" width="4.7109375" style="515" customWidth="1"/>
    <col min="13570" max="13570" width="13.42578125" style="515" customWidth="1"/>
    <col min="13571" max="13571" width="13.5703125" style="515" customWidth="1"/>
    <col min="13572" max="13572" width="10.7109375" style="515" customWidth="1"/>
    <col min="13573" max="13573" width="40" style="515" customWidth="1"/>
    <col min="13574" max="13574" width="11.7109375" style="515" customWidth="1"/>
    <col min="13575" max="13824" width="9.140625" style="515"/>
    <col min="13825" max="13825" width="4.7109375" style="515" customWidth="1"/>
    <col min="13826" max="13826" width="13.42578125" style="515" customWidth="1"/>
    <col min="13827" max="13827" width="13.5703125" style="515" customWidth="1"/>
    <col min="13828" max="13828" width="10.7109375" style="515" customWidth="1"/>
    <col min="13829" max="13829" width="40" style="515" customWidth="1"/>
    <col min="13830" max="13830" width="11.7109375" style="515" customWidth="1"/>
    <col min="13831" max="14080" width="9.140625" style="515"/>
    <col min="14081" max="14081" width="4.7109375" style="515" customWidth="1"/>
    <col min="14082" max="14082" width="13.42578125" style="515" customWidth="1"/>
    <col min="14083" max="14083" width="13.5703125" style="515" customWidth="1"/>
    <col min="14084" max="14084" width="10.7109375" style="515" customWidth="1"/>
    <col min="14085" max="14085" width="40" style="515" customWidth="1"/>
    <col min="14086" max="14086" width="11.7109375" style="515" customWidth="1"/>
    <col min="14087" max="14336" width="9.140625" style="515"/>
    <col min="14337" max="14337" width="4.7109375" style="515" customWidth="1"/>
    <col min="14338" max="14338" width="13.42578125" style="515" customWidth="1"/>
    <col min="14339" max="14339" width="13.5703125" style="515" customWidth="1"/>
    <col min="14340" max="14340" width="10.7109375" style="515" customWidth="1"/>
    <col min="14341" max="14341" width="40" style="515" customWidth="1"/>
    <col min="14342" max="14342" width="11.7109375" style="515" customWidth="1"/>
    <col min="14343" max="14592" width="9.140625" style="515"/>
    <col min="14593" max="14593" width="4.7109375" style="515" customWidth="1"/>
    <col min="14594" max="14594" width="13.42578125" style="515" customWidth="1"/>
    <col min="14595" max="14595" width="13.5703125" style="515" customWidth="1"/>
    <col min="14596" max="14596" width="10.7109375" style="515" customWidth="1"/>
    <col min="14597" max="14597" width="40" style="515" customWidth="1"/>
    <col min="14598" max="14598" width="11.7109375" style="515" customWidth="1"/>
    <col min="14599" max="14848" width="9.140625" style="515"/>
    <col min="14849" max="14849" width="4.7109375" style="515" customWidth="1"/>
    <col min="14850" max="14850" width="13.42578125" style="515" customWidth="1"/>
    <col min="14851" max="14851" width="13.5703125" style="515" customWidth="1"/>
    <col min="14852" max="14852" width="10.7109375" style="515" customWidth="1"/>
    <col min="14853" max="14853" width="40" style="515" customWidth="1"/>
    <col min="14854" max="14854" width="11.7109375" style="515" customWidth="1"/>
    <col min="14855" max="15104" width="9.140625" style="515"/>
    <col min="15105" max="15105" width="4.7109375" style="515" customWidth="1"/>
    <col min="15106" max="15106" width="13.42578125" style="515" customWidth="1"/>
    <col min="15107" max="15107" width="13.5703125" style="515" customWidth="1"/>
    <col min="15108" max="15108" width="10.7109375" style="515" customWidth="1"/>
    <col min="15109" max="15109" width="40" style="515" customWidth="1"/>
    <col min="15110" max="15110" width="11.7109375" style="515" customWidth="1"/>
    <col min="15111" max="15360" width="9.140625" style="515"/>
    <col min="15361" max="15361" width="4.7109375" style="515" customWidth="1"/>
    <col min="15362" max="15362" width="13.42578125" style="515" customWidth="1"/>
    <col min="15363" max="15363" width="13.5703125" style="515" customWidth="1"/>
    <col min="15364" max="15364" width="10.7109375" style="515" customWidth="1"/>
    <col min="15365" max="15365" width="40" style="515" customWidth="1"/>
    <col min="15366" max="15366" width="11.7109375" style="515" customWidth="1"/>
    <col min="15367" max="15616" width="9.140625" style="515"/>
    <col min="15617" max="15617" width="4.7109375" style="515" customWidth="1"/>
    <col min="15618" max="15618" width="13.42578125" style="515" customWidth="1"/>
    <col min="15619" max="15619" width="13.5703125" style="515" customWidth="1"/>
    <col min="15620" max="15620" width="10.7109375" style="515" customWidth="1"/>
    <col min="15621" max="15621" width="40" style="515" customWidth="1"/>
    <col min="15622" max="15622" width="11.7109375" style="515" customWidth="1"/>
    <col min="15623" max="15872" width="9.140625" style="515"/>
    <col min="15873" max="15873" width="4.7109375" style="515" customWidth="1"/>
    <col min="15874" max="15874" width="13.42578125" style="515" customWidth="1"/>
    <col min="15875" max="15875" width="13.5703125" style="515" customWidth="1"/>
    <col min="15876" max="15876" width="10.7109375" style="515" customWidth="1"/>
    <col min="15877" max="15877" width="40" style="515" customWidth="1"/>
    <col min="15878" max="15878" width="11.7109375" style="515" customWidth="1"/>
    <col min="15879" max="16128" width="9.140625" style="515"/>
    <col min="16129" max="16129" width="4.7109375" style="515" customWidth="1"/>
    <col min="16130" max="16130" width="13.42578125" style="515" customWidth="1"/>
    <col min="16131" max="16131" width="13.5703125" style="515" customWidth="1"/>
    <col min="16132" max="16132" width="10.7109375" style="515" customWidth="1"/>
    <col min="16133" max="16133" width="40" style="515" customWidth="1"/>
    <col min="16134" max="16134" width="11.7109375" style="515" customWidth="1"/>
    <col min="16135" max="16384" width="9.140625" style="515"/>
  </cols>
  <sheetData>
    <row r="1" spans="1:6" ht="19.5" customHeight="1" x14ac:dyDescent="0.2">
      <c r="A1" s="1888" t="s">
        <v>696</v>
      </c>
      <c r="B1" s="1888"/>
      <c r="C1" s="1888"/>
      <c r="D1" s="1888"/>
      <c r="E1" s="1888"/>
      <c r="F1" s="1888"/>
    </row>
    <row r="2" spans="1:6" ht="19.5" customHeight="1" x14ac:dyDescent="0.2">
      <c r="A2" s="516"/>
      <c r="B2" s="517"/>
      <c r="C2" s="517"/>
      <c r="D2" s="517"/>
      <c r="E2" s="517"/>
      <c r="F2" s="517"/>
    </row>
    <row r="3" spans="1:6" ht="19.5" customHeight="1" x14ac:dyDescent="0.2">
      <c r="A3" s="1889" t="s">
        <v>703</v>
      </c>
      <c r="B3" s="1889"/>
      <c r="C3" s="1889"/>
      <c r="D3" s="1889"/>
      <c r="E3" s="1889"/>
      <c r="F3" s="1889"/>
    </row>
    <row r="4" spans="1:6" ht="19.5" customHeight="1" x14ac:dyDescent="0.2">
      <c r="A4" s="1890" t="s">
        <v>697</v>
      </c>
      <c r="B4" s="1890"/>
      <c r="C4" s="1890"/>
      <c r="D4" s="1890"/>
      <c r="E4" s="1890"/>
      <c r="F4" s="1890"/>
    </row>
    <row r="5" spans="1:6" ht="19.5" customHeight="1" x14ac:dyDescent="0.2">
      <c r="A5" s="518"/>
    </row>
    <row r="6" spans="1:6" s="521" customFormat="1" ht="76.5" customHeight="1" x14ac:dyDescent="0.2">
      <c r="A6" s="520" t="s">
        <v>8</v>
      </c>
      <c r="B6" s="520" t="s">
        <v>698</v>
      </c>
      <c r="C6" s="520" t="s">
        <v>699</v>
      </c>
      <c r="D6" s="520" t="s">
        <v>700</v>
      </c>
      <c r="E6" s="520" t="s">
        <v>701</v>
      </c>
      <c r="F6" s="520" t="s">
        <v>702</v>
      </c>
    </row>
    <row r="7" spans="1:6" ht="99" customHeight="1" x14ac:dyDescent="0.2">
      <c r="A7" s="520">
        <v>1</v>
      </c>
      <c r="B7" s="522"/>
      <c r="C7" s="523">
        <v>44953</v>
      </c>
      <c r="D7" s="522"/>
      <c r="E7" s="522"/>
      <c r="F7" s="524"/>
    </row>
    <row r="8" spans="1:6" ht="99" customHeight="1" x14ac:dyDescent="0.2">
      <c r="A8" s="520">
        <v>2</v>
      </c>
      <c r="B8" s="522"/>
      <c r="C8" s="524"/>
      <c r="D8" s="522"/>
      <c r="E8" s="522"/>
      <c r="F8" s="524"/>
    </row>
    <row r="9" spans="1:6" ht="99" customHeight="1" x14ac:dyDescent="0.2">
      <c r="A9" s="520">
        <v>3</v>
      </c>
      <c r="B9" s="522"/>
      <c r="C9" s="524"/>
      <c r="D9" s="522"/>
      <c r="E9" s="522"/>
      <c r="F9" s="524"/>
    </row>
  </sheetData>
  <mergeCells count="3">
    <mergeCell ref="A1:F1"/>
    <mergeCell ref="A3:F3"/>
    <mergeCell ref="A4:F4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9"/>
  <sheetViews>
    <sheetView view="pageBreakPreview" topLeftCell="A36" zoomScale="80" zoomScaleNormal="70" zoomScaleSheetLayoutView="80" workbookViewId="0">
      <selection activeCell="H28" sqref="H28"/>
    </sheetView>
  </sheetViews>
  <sheetFormatPr defaultColWidth="8.7109375" defaultRowHeight="15" x14ac:dyDescent="0.25"/>
  <cols>
    <col min="1" max="1" width="4.28515625" style="1644" customWidth="1"/>
    <col min="2" max="3" width="14.140625" style="1644" customWidth="1"/>
    <col min="4" max="4" width="14" style="1644" customWidth="1"/>
    <col min="5" max="5" width="12.140625" style="1644" customWidth="1"/>
    <col min="6" max="6" width="13.5703125" style="1644" customWidth="1"/>
    <col min="7" max="7" width="15.85546875" style="1644" customWidth="1"/>
    <col min="8" max="8" width="18.140625" style="60" customWidth="1"/>
    <col min="9" max="9" width="17.28515625" style="69" customWidth="1"/>
    <col min="10" max="10" width="17.5703125" style="69" customWidth="1"/>
    <col min="11" max="11" width="19.28515625" style="81" customWidth="1"/>
    <col min="12" max="13" width="18.7109375" style="70" customWidth="1"/>
    <col min="14" max="14" width="16.28515625" style="70" customWidth="1"/>
    <col min="15" max="15" width="13.140625" style="70" customWidth="1"/>
    <col min="16" max="16" width="7.7109375" style="70" customWidth="1"/>
    <col min="17" max="17" width="11.5703125" style="70" bestFit="1" customWidth="1"/>
    <col min="18" max="28" width="8.7109375" style="70"/>
    <col min="29" max="16384" width="8.7109375" style="61"/>
  </cols>
  <sheetData>
    <row r="1" spans="1:16" ht="19.5" customHeight="1" x14ac:dyDescent="0.25">
      <c r="A1" s="1967" t="s">
        <v>833</v>
      </c>
      <c r="B1" s="1967"/>
      <c r="C1" s="1967"/>
      <c r="D1" s="1967"/>
      <c r="E1" s="1967"/>
      <c r="F1" s="1967"/>
      <c r="G1" s="1967"/>
      <c r="H1" s="1967"/>
      <c r="I1" s="1967"/>
      <c r="J1" s="1967"/>
      <c r="L1" s="70" t="s">
        <v>2138</v>
      </c>
    </row>
    <row r="2" spans="1:16" ht="18.75" x14ac:dyDescent="0.25">
      <c r="A2" s="1592"/>
      <c r="B2" s="1592"/>
      <c r="C2" s="1592"/>
      <c r="D2" s="1592"/>
      <c r="E2" s="1592"/>
      <c r="F2" s="1592"/>
      <c r="G2" s="1592"/>
      <c r="H2" s="1592"/>
      <c r="I2" s="76"/>
      <c r="J2" s="76"/>
      <c r="K2" s="542" t="s">
        <v>1148</v>
      </c>
      <c r="L2" s="711">
        <v>13788055.939999999</v>
      </c>
      <c r="M2" s="711">
        <f>J36</f>
        <v>13788055.939999999</v>
      </c>
      <c r="N2" s="711">
        <f>L2-M2</f>
        <v>0</v>
      </c>
      <c r="O2" s="711" t="b">
        <f>L2=M2</f>
        <v>1</v>
      </c>
    </row>
    <row r="3" spans="1:16" ht="36.75" customHeight="1" x14ac:dyDescent="0.25">
      <c r="A3" s="1968" t="s">
        <v>2142</v>
      </c>
      <c r="B3" s="1968"/>
      <c r="C3" s="1968"/>
      <c r="D3" s="1968"/>
      <c r="E3" s="1968"/>
      <c r="F3" s="1968"/>
      <c r="G3" s="1968"/>
      <c r="H3" s="1968"/>
      <c r="I3" s="1968"/>
      <c r="J3" s="1968"/>
      <c r="K3" s="712" t="s">
        <v>1149</v>
      </c>
      <c r="L3" s="711">
        <v>161696.28</v>
      </c>
      <c r="M3" s="711">
        <f>J74+J116+J186+J224+J104+J90</f>
        <v>161696.28</v>
      </c>
      <c r="N3" s="711">
        <f>L3-M3</f>
        <v>0</v>
      </c>
      <c r="O3" s="711" t="b">
        <f>L3=M3</f>
        <v>1</v>
      </c>
    </row>
    <row r="4" spans="1:16" x14ac:dyDescent="0.25">
      <c r="A4" s="58"/>
      <c r="B4" s="58"/>
      <c r="C4" s="58"/>
      <c r="D4" s="58"/>
      <c r="E4" s="58"/>
      <c r="F4" s="58"/>
      <c r="G4" s="58"/>
      <c r="H4" s="58"/>
      <c r="I4" s="77"/>
      <c r="J4" s="77"/>
      <c r="K4" s="542" t="s">
        <v>836</v>
      </c>
      <c r="L4" s="711"/>
      <c r="M4" s="711">
        <f>J14</f>
        <v>0</v>
      </c>
      <c r="N4" s="711">
        <f>L4-M4</f>
        <v>0</v>
      </c>
      <c r="O4" s="711" t="b">
        <f>L4=M4</f>
        <v>1</v>
      </c>
      <c r="P4" s="1973" t="s">
        <v>837</v>
      </c>
    </row>
    <row r="5" spans="1:16" ht="19.5" customHeight="1" x14ac:dyDescent="0.25">
      <c r="A5" s="1643" t="s">
        <v>21</v>
      </c>
      <c r="B5" s="104"/>
      <c r="C5" s="104"/>
      <c r="D5" s="104"/>
      <c r="E5" s="104"/>
      <c r="F5" s="104"/>
      <c r="G5" s="104"/>
      <c r="H5" s="105"/>
      <c r="I5" s="106"/>
      <c r="J5" s="106"/>
      <c r="K5" s="542" t="s">
        <v>335</v>
      </c>
      <c r="L5" s="711"/>
      <c r="M5" s="711">
        <f>J559+J420+J386</f>
        <v>0</v>
      </c>
      <c r="N5" s="711">
        <f>L5-M5</f>
        <v>0</v>
      </c>
      <c r="O5" s="711" t="b">
        <f>L5=M5</f>
        <v>1</v>
      </c>
      <c r="P5" s="1973"/>
    </row>
    <row r="6" spans="1:16" ht="15.75" x14ac:dyDescent="0.25">
      <c r="A6" s="104"/>
      <c r="B6" s="104"/>
      <c r="C6" s="104"/>
      <c r="D6" s="104"/>
      <c r="E6" s="104"/>
      <c r="F6" s="104"/>
      <c r="G6" s="104"/>
      <c r="H6" s="105"/>
      <c r="I6" s="106"/>
      <c r="J6" s="106"/>
      <c r="K6" s="542"/>
      <c r="L6" s="711"/>
      <c r="M6" s="711"/>
      <c r="N6" s="711"/>
      <c r="O6" s="711"/>
    </row>
    <row r="7" spans="1:16" ht="19.5" customHeight="1" x14ac:dyDescent="0.25">
      <c r="A7" s="1643" t="s">
        <v>23</v>
      </c>
      <c r="B7" s="1643"/>
      <c r="C7" s="1643"/>
      <c r="D7" s="1643"/>
      <c r="E7" s="1643"/>
      <c r="F7" s="1643"/>
      <c r="G7" s="1643"/>
      <c r="H7" s="704"/>
      <c r="I7" s="107"/>
      <c r="J7" s="107"/>
      <c r="K7" s="712"/>
      <c r="L7" s="711"/>
      <c r="M7" s="711"/>
      <c r="N7" s="711"/>
      <c r="O7" s="711"/>
    </row>
    <row r="8" spans="1:16" ht="22.5" customHeight="1" x14ac:dyDescent="0.25">
      <c r="A8" s="1972" t="s">
        <v>2134</v>
      </c>
      <c r="B8" s="1972"/>
      <c r="C8" s="1972"/>
      <c r="D8" s="1972"/>
      <c r="E8" s="1972"/>
      <c r="F8" s="1972"/>
      <c r="G8" s="1972"/>
      <c r="H8" s="1972"/>
      <c r="I8" s="1972"/>
      <c r="J8" s="107">
        <f>J10+J11+J13+J14+J15</f>
        <v>13949752.220000001</v>
      </c>
      <c r="K8" s="82" t="b">
        <f>J8=J19</f>
        <v>1</v>
      </c>
      <c r="L8" s="1593"/>
      <c r="M8" s="1593"/>
      <c r="N8" s="1593"/>
      <c r="O8" s="1593"/>
      <c r="P8" s="1974"/>
    </row>
    <row r="9" spans="1:16" ht="31.5" customHeight="1" x14ac:dyDescent="0.25">
      <c r="A9" s="1975" t="s">
        <v>2260</v>
      </c>
      <c r="B9" s="1975"/>
      <c r="C9" s="1975"/>
      <c r="D9" s="1975"/>
      <c r="E9" s="1975"/>
      <c r="F9" s="1975"/>
      <c r="G9" s="1975"/>
      <c r="H9" s="1975"/>
      <c r="I9" s="1975"/>
      <c r="J9" s="107"/>
      <c r="K9" s="713"/>
      <c r="L9" s="1593"/>
      <c r="M9" s="1593"/>
      <c r="N9" s="1593"/>
      <c r="O9" s="1593"/>
      <c r="P9" s="1974"/>
    </row>
    <row r="10" spans="1:16" ht="22.5" customHeight="1" x14ac:dyDescent="0.25">
      <c r="A10" s="1976" t="s">
        <v>490</v>
      </c>
      <c r="B10" s="1976"/>
      <c r="C10" s="1976"/>
      <c r="D10" s="1976"/>
      <c r="E10" s="1976"/>
      <c r="F10" s="1976"/>
      <c r="G10" s="1976"/>
      <c r="H10" s="1976"/>
      <c r="I10" s="1976"/>
      <c r="J10" s="107">
        <f>L3</f>
        <v>161696.28</v>
      </c>
    </row>
    <row r="11" spans="1:16" ht="54" customHeight="1" x14ac:dyDescent="0.25">
      <c r="A11" s="1980" t="s">
        <v>838</v>
      </c>
      <c r="B11" s="1980"/>
      <c r="C11" s="1980"/>
      <c r="D11" s="1980"/>
      <c r="E11" s="1980"/>
      <c r="F11" s="1980"/>
      <c r="G11" s="1980"/>
      <c r="H11" s="1980"/>
      <c r="I11" s="1980"/>
      <c r="J11" s="107">
        <f>L2</f>
        <v>13788055.939999999</v>
      </c>
    </row>
    <row r="12" spans="1:16" ht="19.5" hidden="1" customHeight="1" x14ac:dyDescent="0.25">
      <c r="A12" s="1981" t="s">
        <v>286</v>
      </c>
      <c r="B12" s="1981"/>
      <c r="C12" s="1981"/>
      <c r="D12" s="1981"/>
      <c r="E12" s="1981"/>
      <c r="F12" s="1981"/>
      <c r="G12" s="1981"/>
      <c r="H12" s="1981"/>
      <c r="I12" s="1981"/>
      <c r="J12" s="85"/>
      <c r="K12" s="82"/>
    </row>
    <row r="13" spans="1:16" ht="19.5" hidden="1" customHeight="1" x14ac:dyDescent="0.25">
      <c r="A13" s="1982" t="s">
        <v>285</v>
      </c>
      <c r="B13" s="1982"/>
      <c r="C13" s="1982"/>
      <c r="D13" s="1982"/>
      <c r="E13" s="1982"/>
      <c r="F13" s="1982"/>
      <c r="G13" s="1982"/>
      <c r="H13" s="1982"/>
      <c r="I13" s="1982"/>
      <c r="J13" s="85">
        <f>L5</f>
        <v>0</v>
      </c>
    </row>
    <row r="14" spans="1:16" ht="45" hidden="1" customHeight="1" x14ac:dyDescent="0.25">
      <c r="A14" s="1983" t="s">
        <v>287</v>
      </c>
      <c r="B14" s="1983"/>
      <c r="C14" s="1983"/>
      <c r="D14" s="1983"/>
      <c r="E14" s="1983"/>
      <c r="F14" s="1983"/>
      <c r="G14" s="1983"/>
      <c r="H14" s="1983"/>
      <c r="I14" s="1983"/>
      <c r="J14" s="85">
        <f>L4</f>
        <v>0</v>
      </c>
    </row>
    <row r="15" spans="1:16" ht="58.5" hidden="1" customHeight="1" x14ac:dyDescent="0.25">
      <c r="A15" s="1983" t="s">
        <v>839</v>
      </c>
      <c r="B15" s="1983"/>
      <c r="C15" s="1983"/>
      <c r="D15" s="1983"/>
      <c r="E15" s="1983"/>
      <c r="F15" s="1983"/>
      <c r="G15" s="1983"/>
      <c r="H15" s="1983"/>
      <c r="I15" s="1983"/>
      <c r="J15" s="85"/>
    </row>
    <row r="16" spans="1:16" x14ac:dyDescent="0.25">
      <c r="H16" s="69"/>
    </row>
    <row r="17" spans="1:28" x14ac:dyDescent="0.25">
      <c r="A17" s="1645" t="s">
        <v>25</v>
      </c>
    </row>
    <row r="18" spans="1:28" x14ac:dyDescent="0.25">
      <c r="A18" s="1645"/>
      <c r="L18" s="108" t="s">
        <v>305</v>
      </c>
      <c r="M18" s="108" t="s">
        <v>236</v>
      </c>
    </row>
    <row r="19" spans="1:28" ht="30" customHeight="1" x14ac:dyDescent="0.25">
      <c r="A19" s="1645" t="s">
        <v>145</v>
      </c>
      <c r="E19" s="1984" t="s">
        <v>490</v>
      </c>
      <c r="F19" s="1985"/>
      <c r="G19" s="1985"/>
      <c r="H19" s="1985"/>
      <c r="I19" s="1985"/>
      <c r="J19" s="85">
        <f>J20</f>
        <v>13949752.220000001</v>
      </c>
      <c r="K19" s="82" t="b">
        <f>J19=J642</f>
        <v>1</v>
      </c>
      <c r="L19" s="108">
        <f>J25+J61+J87+J221</f>
        <v>13949752.220000001</v>
      </c>
      <c r="M19" s="108">
        <f>J27+J73+J103+J223+J89</f>
        <v>13949752.220000001</v>
      </c>
    </row>
    <row r="20" spans="1:28" x14ac:dyDescent="0.25">
      <c r="A20" s="1645" t="s">
        <v>29</v>
      </c>
      <c r="B20" s="1645"/>
      <c r="C20" s="1645"/>
      <c r="D20" s="1645"/>
      <c r="E20" s="394">
        <v>4</v>
      </c>
      <c r="J20" s="85">
        <f>J22+J85</f>
        <v>13949752.220000001</v>
      </c>
      <c r="L20" s="108" t="b">
        <f>L19=J8</f>
        <v>1</v>
      </c>
      <c r="M20" s="108" t="b">
        <f>M19=J8</f>
        <v>1</v>
      </c>
    </row>
    <row r="22" spans="1:28" x14ac:dyDescent="0.25">
      <c r="A22" s="1644" t="s">
        <v>158</v>
      </c>
      <c r="J22" s="69">
        <f>J25+J61</f>
        <v>13788055.939999999</v>
      </c>
    </row>
    <row r="23" spans="1:28" hidden="1" x14ac:dyDescent="0.25">
      <c r="A23" s="1644" t="s">
        <v>312</v>
      </c>
    </row>
    <row r="25" spans="1:28" s="87" customFormat="1" ht="14.25" x14ac:dyDescent="0.25">
      <c r="A25" s="1645" t="s">
        <v>147</v>
      </c>
      <c r="B25" s="1645"/>
      <c r="C25" s="1645"/>
      <c r="D25" s="1645"/>
      <c r="E25" s="86" t="s">
        <v>65</v>
      </c>
      <c r="F25" s="1645"/>
      <c r="G25" s="1645"/>
      <c r="H25" s="95"/>
      <c r="I25" s="85"/>
      <c r="J25" s="85">
        <f>J27+J38+J48</f>
        <v>13788055.939999999</v>
      </c>
      <c r="K25" s="17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354"/>
      <c r="Z25" s="354"/>
      <c r="AA25" s="354"/>
      <c r="AB25" s="354"/>
    </row>
    <row r="26" spans="1:28" x14ac:dyDescent="0.25">
      <c r="A26" s="1645"/>
      <c r="J26" s="85"/>
    </row>
    <row r="27" spans="1:28" s="70" customFormat="1" x14ac:dyDescent="0.25">
      <c r="A27" s="1645" t="s">
        <v>63</v>
      </c>
      <c r="B27" s="1644"/>
      <c r="C27" s="1644"/>
      <c r="D27" s="1644"/>
      <c r="E27" s="86" t="s">
        <v>64</v>
      </c>
      <c r="F27" s="1644"/>
      <c r="G27" s="1644"/>
      <c r="H27" s="60"/>
      <c r="I27" s="69"/>
      <c r="J27" s="99">
        <f>J36</f>
        <v>13788055.939999999</v>
      </c>
      <c r="K27" s="81"/>
    </row>
    <row r="28" spans="1:28" s="70" customFormat="1" x14ac:dyDescent="0.25">
      <c r="A28" s="1645" t="s">
        <v>26</v>
      </c>
      <c r="B28" s="1645"/>
      <c r="C28" s="1645"/>
      <c r="D28" s="1645"/>
      <c r="E28" s="86" t="s">
        <v>842</v>
      </c>
      <c r="F28" s="1644"/>
      <c r="G28" s="1644"/>
      <c r="H28" s="60"/>
      <c r="I28" s="69"/>
      <c r="J28" s="85">
        <f>J36</f>
        <v>13788055.939999999</v>
      </c>
      <c r="K28" s="81"/>
    </row>
    <row r="29" spans="1:28" s="70" customFormat="1" x14ac:dyDescent="0.25">
      <c r="A29" s="1645" t="s">
        <v>27</v>
      </c>
      <c r="B29" s="1645"/>
      <c r="C29" s="1645"/>
      <c r="D29" s="1645"/>
      <c r="E29" s="71" t="s">
        <v>1837</v>
      </c>
      <c r="F29" s="1644"/>
      <c r="G29" s="1644"/>
      <c r="H29" s="60"/>
      <c r="I29" s="69"/>
      <c r="J29" s="69"/>
      <c r="K29" s="81"/>
    </row>
    <row r="30" spans="1:28" s="70" customFormat="1" x14ac:dyDescent="0.25">
      <c r="A30" s="1644" t="s">
        <v>313</v>
      </c>
      <c r="B30" s="1644"/>
      <c r="C30" s="1644"/>
      <c r="D30" s="1644"/>
      <c r="E30" s="1644"/>
      <c r="F30" s="1644"/>
      <c r="G30" s="1644"/>
      <c r="H30" s="60"/>
      <c r="I30" s="69"/>
      <c r="J30" s="69"/>
      <c r="K30" s="81"/>
    </row>
    <row r="31" spans="1:28" s="70" customFormat="1" ht="30" customHeight="1" x14ac:dyDescent="0.25">
      <c r="A31" s="1581" t="s">
        <v>8</v>
      </c>
      <c r="B31" s="1977" t="s">
        <v>35</v>
      </c>
      <c r="C31" s="1978"/>
      <c r="D31" s="1978"/>
      <c r="E31" s="1978"/>
      <c r="F31" s="1978"/>
      <c r="G31" s="1978"/>
      <c r="H31" s="1978"/>
      <c r="I31" s="1979"/>
      <c r="J31" s="1588" t="s">
        <v>256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</row>
    <row r="32" spans="1:28" s="70" customFormat="1" hidden="1" x14ac:dyDescent="0.25">
      <c r="A32" s="1630">
        <v>1</v>
      </c>
      <c r="B32" s="1969" t="s">
        <v>288</v>
      </c>
      <c r="C32" s="1970"/>
      <c r="D32" s="1970"/>
      <c r="E32" s="1970"/>
      <c r="F32" s="1970"/>
      <c r="G32" s="1970"/>
      <c r="H32" s="1970"/>
      <c r="I32" s="1971"/>
      <c r="J32" s="1588">
        <f>J33/12</f>
        <v>1149004.6599999999</v>
      </c>
      <c r="K32" s="1601"/>
      <c r="L32" s="97"/>
      <c r="M32" s="98"/>
      <c r="N32" s="98"/>
      <c r="O32" s="98"/>
      <c r="P32" s="98"/>
      <c r="Q32" s="98"/>
      <c r="R32" s="98"/>
      <c r="S32" s="98"/>
      <c r="T32" s="98"/>
    </row>
    <row r="33" spans="1:20" s="70" customFormat="1" ht="15.75" customHeight="1" x14ac:dyDescent="0.25">
      <c r="A33" s="1630">
        <v>1</v>
      </c>
      <c r="B33" s="1969" t="s">
        <v>841</v>
      </c>
      <c r="C33" s="1970"/>
      <c r="D33" s="1970"/>
      <c r="E33" s="1970"/>
      <c r="F33" s="1970"/>
      <c r="G33" s="1970"/>
      <c r="H33" s="1970"/>
      <c r="I33" s="1971"/>
      <c r="J33" s="1588">
        <v>13788055.939999999</v>
      </c>
      <c r="K33" s="1601"/>
      <c r="L33" s="97"/>
      <c r="M33" s="98"/>
      <c r="N33" s="98"/>
      <c r="O33" s="98"/>
      <c r="P33" s="98"/>
      <c r="Q33" s="98"/>
      <c r="R33" s="98"/>
      <c r="S33" s="98"/>
      <c r="T33" s="98"/>
    </row>
    <row r="34" spans="1:20" s="70" customFormat="1" ht="30" hidden="1" customHeight="1" x14ac:dyDescent="0.25">
      <c r="A34" s="1630">
        <f>A33+1</f>
        <v>2</v>
      </c>
      <c r="B34" s="1969" t="s">
        <v>290</v>
      </c>
      <c r="C34" s="1970"/>
      <c r="D34" s="1970"/>
      <c r="E34" s="1970"/>
      <c r="F34" s="1970"/>
      <c r="G34" s="1970"/>
      <c r="H34" s="1970"/>
      <c r="I34" s="1971"/>
      <c r="J34" s="1588"/>
      <c r="K34" s="1601"/>
      <c r="L34" s="97"/>
      <c r="M34" s="98"/>
      <c r="N34" s="98"/>
      <c r="O34" s="98"/>
      <c r="P34" s="98"/>
      <c r="Q34" s="98"/>
      <c r="R34" s="98"/>
      <c r="S34" s="98"/>
      <c r="T34" s="98"/>
    </row>
    <row r="35" spans="1:20" s="70" customFormat="1" ht="30" hidden="1" customHeight="1" x14ac:dyDescent="0.25">
      <c r="A35" s="1630">
        <f>A34+1</f>
        <v>3</v>
      </c>
      <c r="B35" s="1969" t="s">
        <v>291</v>
      </c>
      <c r="C35" s="1970"/>
      <c r="D35" s="1970"/>
      <c r="E35" s="1970"/>
      <c r="F35" s="1970"/>
      <c r="G35" s="1970"/>
      <c r="H35" s="1970"/>
      <c r="I35" s="1971"/>
      <c r="J35" s="1588"/>
      <c r="K35" s="1601"/>
      <c r="L35" s="97"/>
      <c r="M35" s="98"/>
      <c r="N35" s="98"/>
      <c r="O35" s="98"/>
      <c r="P35" s="98"/>
      <c r="Q35" s="98"/>
      <c r="R35" s="98"/>
      <c r="S35" s="98"/>
      <c r="T35" s="98"/>
    </row>
    <row r="36" spans="1:20" s="70" customFormat="1" x14ac:dyDescent="0.25">
      <c r="A36" s="1946" t="s">
        <v>39</v>
      </c>
      <c r="B36" s="1947"/>
      <c r="C36" s="1947"/>
      <c r="D36" s="1947"/>
      <c r="E36" s="1947"/>
      <c r="F36" s="1947"/>
      <c r="G36" s="1947"/>
      <c r="H36" s="1947"/>
      <c r="I36" s="1948"/>
      <c r="J36" s="1589">
        <f>SUM(J33:J35)</f>
        <v>13788055.939999999</v>
      </c>
      <c r="K36" s="347">
        <v>3926870.22</v>
      </c>
      <c r="L36" s="392">
        <f>J36-K36</f>
        <v>9861185.7200000007</v>
      </c>
      <c r="M36" s="98"/>
      <c r="N36" s="98"/>
      <c r="O36" s="98"/>
      <c r="P36" s="98"/>
      <c r="Q36" s="98"/>
      <c r="R36" s="98"/>
      <c r="S36" s="98"/>
      <c r="T36" s="98"/>
    </row>
    <row r="37" spans="1:20" s="70" customFormat="1" x14ac:dyDescent="0.25">
      <c r="A37" s="1644"/>
      <c r="B37" s="1644"/>
      <c r="C37" s="1644"/>
      <c r="D37" s="1644"/>
      <c r="E37" s="1644"/>
      <c r="F37" s="1644"/>
      <c r="G37" s="1644"/>
      <c r="H37" s="60"/>
      <c r="I37" s="69"/>
      <c r="J37" s="69"/>
      <c r="K37" s="81"/>
    </row>
    <row r="38" spans="1:20" s="70" customFormat="1" hidden="1" x14ac:dyDescent="0.25">
      <c r="A38" s="1645" t="s">
        <v>63</v>
      </c>
      <c r="B38" s="1645"/>
      <c r="C38" s="61"/>
      <c r="D38" s="61"/>
      <c r="E38" s="1645" t="s">
        <v>66</v>
      </c>
      <c r="F38" s="1644"/>
      <c r="G38" s="1644"/>
      <c r="H38" s="60"/>
      <c r="I38" s="69"/>
      <c r="J38" s="99">
        <f>J46</f>
        <v>0</v>
      </c>
      <c r="K38" s="81"/>
    </row>
    <row r="39" spans="1:20" s="70" customFormat="1" hidden="1" x14ac:dyDescent="0.25">
      <c r="A39" s="1645" t="s">
        <v>26</v>
      </c>
      <c r="B39" s="1645"/>
      <c r="C39" s="61"/>
      <c r="D39" s="61"/>
      <c r="E39" s="1645" t="s">
        <v>840</v>
      </c>
      <c r="F39" s="1644"/>
      <c r="G39" s="1644"/>
      <c r="H39" s="60"/>
      <c r="I39" s="69"/>
      <c r="J39" s="85">
        <f>J46</f>
        <v>0</v>
      </c>
      <c r="K39" s="81"/>
    </row>
    <row r="40" spans="1:20" s="70" customFormat="1" hidden="1" x14ac:dyDescent="0.25">
      <c r="A40" s="1645" t="s">
        <v>27</v>
      </c>
      <c r="B40" s="1645"/>
      <c r="C40" s="61"/>
      <c r="D40" s="61"/>
      <c r="E40" s="1645" t="s">
        <v>138</v>
      </c>
      <c r="F40" s="1644"/>
      <c r="G40" s="1644"/>
      <c r="H40" s="60"/>
      <c r="I40" s="69"/>
      <c r="J40" s="69"/>
      <c r="K40" s="81"/>
    </row>
    <row r="41" spans="1:20" s="70" customFormat="1" hidden="1" x14ac:dyDescent="0.25">
      <c r="A41" s="1645"/>
      <c r="B41" s="1645"/>
      <c r="C41" s="61"/>
      <c r="D41" s="61"/>
      <c r="E41" s="1645"/>
      <c r="F41" s="1644"/>
      <c r="G41" s="1644"/>
      <c r="H41" s="60"/>
      <c r="I41" s="69"/>
      <c r="J41" s="69"/>
      <c r="K41" s="81"/>
    </row>
    <row r="42" spans="1:20" s="70" customFormat="1" ht="19.5" hidden="1" customHeight="1" x14ac:dyDescent="0.25">
      <c r="A42" s="1644" t="s">
        <v>322</v>
      </c>
      <c r="B42" s="1644"/>
      <c r="C42" s="1644"/>
      <c r="D42" s="1644"/>
      <c r="E42" s="1644"/>
      <c r="F42" s="1644"/>
      <c r="G42" s="1644"/>
      <c r="H42" s="60"/>
      <c r="I42" s="69"/>
      <c r="J42" s="69"/>
      <c r="K42" s="81"/>
    </row>
    <row r="43" spans="1:20" s="70" customFormat="1" ht="19.5" hidden="1" customHeight="1" x14ac:dyDescent="0.25">
      <c r="A43" s="1898" t="s">
        <v>8</v>
      </c>
      <c r="B43" s="1963" t="s">
        <v>35</v>
      </c>
      <c r="C43" s="1964"/>
      <c r="D43" s="1964"/>
      <c r="E43" s="1964"/>
      <c r="F43" s="1898" t="s">
        <v>843</v>
      </c>
      <c r="G43" s="1898"/>
      <c r="H43" s="1898"/>
      <c r="I43" s="1898"/>
      <c r="J43" s="1898"/>
      <c r="K43" s="81"/>
    </row>
    <row r="44" spans="1:20" s="70" customFormat="1" ht="45" hidden="1" customHeight="1" x14ac:dyDescent="0.25">
      <c r="A44" s="1898"/>
      <c r="B44" s="1965"/>
      <c r="C44" s="1966"/>
      <c r="D44" s="1966"/>
      <c r="E44" s="1966"/>
      <c r="F44" s="1954" t="s">
        <v>259</v>
      </c>
      <c r="G44" s="1954"/>
      <c r="H44" s="1588" t="s">
        <v>255</v>
      </c>
      <c r="I44" s="1588" t="s">
        <v>36</v>
      </c>
      <c r="J44" s="1588" t="s">
        <v>256</v>
      </c>
      <c r="K44" s="81"/>
    </row>
    <row r="45" spans="1:20" s="70" customFormat="1" hidden="1" x14ac:dyDescent="0.25">
      <c r="A45" s="1581">
        <v>1</v>
      </c>
      <c r="B45" s="1921" t="s">
        <v>37</v>
      </c>
      <c r="C45" s="1922"/>
      <c r="D45" s="1922"/>
      <c r="E45" s="1922"/>
      <c r="F45" s="1954" t="s">
        <v>82</v>
      </c>
      <c r="G45" s="1954"/>
      <c r="H45" s="59" t="s">
        <v>82</v>
      </c>
      <c r="I45" s="59" t="s">
        <v>82</v>
      </c>
      <c r="J45" s="1588"/>
      <c r="K45" s="81"/>
      <c r="L45" s="340"/>
      <c r="M45" s="340"/>
    </row>
    <row r="46" spans="1:20" s="70" customFormat="1" hidden="1" x14ac:dyDescent="0.25">
      <c r="A46" s="1946" t="s">
        <v>39</v>
      </c>
      <c r="B46" s="1947"/>
      <c r="C46" s="1947"/>
      <c r="D46" s="1947"/>
      <c r="E46" s="1947"/>
      <c r="F46" s="1955" t="s">
        <v>5</v>
      </c>
      <c r="G46" s="1955"/>
      <c r="H46" s="1589" t="s">
        <v>5</v>
      </c>
      <c r="I46" s="1589" t="s">
        <v>5</v>
      </c>
      <c r="J46" s="1589">
        <f>SUM(J43:J45)</f>
        <v>0</v>
      </c>
      <c r="K46" s="344"/>
    </row>
    <row r="47" spans="1:20" s="70" customFormat="1" ht="19.5" hidden="1" customHeight="1" x14ac:dyDescent="0.25">
      <c r="A47" s="1644"/>
      <c r="B47" s="1644"/>
      <c r="C47" s="1644"/>
      <c r="D47" s="1644"/>
      <c r="E47" s="1644"/>
      <c r="F47" s="1644"/>
      <c r="G47" s="1644"/>
      <c r="H47" s="60"/>
      <c r="I47" s="69"/>
      <c r="J47" s="69"/>
      <c r="K47" s="81"/>
    </row>
    <row r="48" spans="1:20" s="70" customFormat="1" hidden="1" x14ac:dyDescent="0.25">
      <c r="A48" s="1645" t="s">
        <v>63</v>
      </c>
      <c r="B48" s="1645"/>
      <c r="C48" s="61"/>
      <c r="D48" s="61"/>
      <c r="E48" s="1645" t="s">
        <v>66</v>
      </c>
      <c r="F48" s="1644"/>
      <c r="G48" s="1644"/>
      <c r="H48" s="60"/>
      <c r="I48" s="69"/>
      <c r="J48" s="99">
        <f>J56</f>
        <v>0</v>
      </c>
      <c r="K48" s="81"/>
    </row>
    <row r="49" spans="1:11" s="70" customFormat="1" hidden="1" x14ac:dyDescent="0.25">
      <c r="A49" s="1645" t="s">
        <v>26</v>
      </c>
      <c r="B49" s="1645"/>
      <c r="C49" s="61"/>
      <c r="D49" s="61"/>
      <c r="E49" s="1645" t="s">
        <v>840</v>
      </c>
      <c r="F49" s="1644"/>
      <c r="G49" s="1644"/>
      <c r="H49" s="60"/>
      <c r="I49" s="69"/>
      <c r="J49" s="85">
        <f>J56</f>
        <v>0</v>
      </c>
      <c r="K49" s="81"/>
    </row>
    <row r="50" spans="1:11" hidden="1" x14ac:dyDescent="0.25">
      <c r="A50" s="1645" t="s">
        <v>27</v>
      </c>
      <c r="B50" s="1645"/>
      <c r="C50" s="61"/>
      <c r="D50" s="61"/>
      <c r="E50" s="1645" t="s">
        <v>67</v>
      </c>
    </row>
    <row r="51" spans="1:11" hidden="1" x14ac:dyDescent="0.25">
      <c r="A51" s="1645"/>
      <c r="B51" s="1645"/>
      <c r="C51" s="61"/>
      <c r="D51" s="61"/>
      <c r="E51" s="1645"/>
    </row>
    <row r="52" spans="1:11" ht="19.5" hidden="1" customHeight="1" x14ac:dyDescent="0.25">
      <c r="A52" s="1644" t="s">
        <v>322</v>
      </c>
    </row>
    <row r="53" spans="1:11" ht="19.5" hidden="1" customHeight="1" x14ac:dyDescent="0.25">
      <c r="A53" s="1898" t="s">
        <v>8</v>
      </c>
      <c r="B53" s="1963" t="s">
        <v>35</v>
      </c>
      <c r="C53" s="1964"/>
      <c r="D53" s="1964"/>
      <c r="E53" s="1964"/>
      <c r="F53" s="1898" t="s">
        <v>843</v>
      </c>
      <c r="G53" s="1898"/>
      <c r="H53" s="1898"/>
      <c r="I53" s="1898"/>
      <c r="J53" s="1898"/>
    </row>
    <row r="54" spans="1:11" ht="45" hidden="1" customHeight="1" x14ac:dyDescent="0.25">
      <c r="A54" s="1898"/>
      <c r="B54" s="1965"/>
      <c r="C54" s="1966"/>
      <c r="D54" s="1966"/>
      <c r="E54" s="1966"/>
      <c r="F54" s="1954" t="s">
        <v>259</v>
      </c>
      <c r="G54" s="1954"/>
      <c r="H54" s="1588" t="s">
        <v>255</v>
      </c>
      <c r="I54" s="1588" t="s">
        <v>36</v>
      </c>
      <c r="J54" s="1588" t="s">
        <v>256</v>
      </c>
    </row>
    <row r="55" spans="1:11" hidden="1" x14ac:dyDescent="0.25">
      <c r="A55" s="1581">
        <v>1</v>
      </c>
      <c r="B55" s="1921" t="s">
        <v>37</v>
      </c>
      <c r="C55" s="1922"/>
      <c r="D55" s="1922"/>
      <c r="E55" s="1922"/>
      <c r="F55" s="1954" t="s">
        <v>82</v>
      </c>
      <c r="G55" s="1954"/>
      <c r="H55" s="1588" t="s">
        <v>82</v>
      </c>
      <c r="I55" s="1588" t="s">
        <v>82</v>
      </c>
      <c r="J55" s="1588"/>
    </row>
    <row r="56" spans="1:11" hidden="1" x14ac:dyDescent="0.25">
      <c r="A56" s="1946" t="s">
        <v>39</v>
      </c>
      <c r="B56" s="1947"/>
      <c r="C56" s="1947"/>
      <c r="D56" s="1947"/>
      <c r="E56" s="1947"/>
      <c r="F56" s="1955" t="s">
        <v>5</v>
      </c>
      <c r="G56" s="1955"/>
      <c r="H56" s="1589" t="s">
        <v>5</v>
      </c>
      <c r="I56" s="1589" t="s">
        <v>5</v>
      </c>
      <c r="J56" s="1589">
        <f>SUM(J53:J55)</f>
        <v>0</v>
      </c>
      <c r="K56" s="344"/>
    </row>
    <row r="57" spans="1:11" ht="19.5" hidden="1" customHeight="1" x14ac:dyDescent="0.25"/>
    <row r="58" spans="1:11" hidden="1" x14ac:dyDescent="0.25">
      <c r="A58" s="1644" t="s">
        <v>1743</v>
      </c>
    </row>
    <row r="59" spans="1:11" ht="19.5" hidden="1" customHeight="1" x14ac:dyDescent="0.25">
      <c r="A59" s="1644" t="s">
        <v>41</v>
      </c>
    </row>
    <row r="60" spans="1:11" ht="19.5" hidden="1" customHeight="1" x14ac:dyDescent="0.25"/>
    <row r="61" spans="1:11" hidden="1" x14ac:dyDescent="0.25">
      <c r="A61" s="1645" t="s">
        <v>147</v>
      </c>
      <c r="B61" s="1645"/>
      <c r="C61" s="1645"/>
      <c r="D61" s="1645"/>
      <c r="E61" s="86" t="s">
        <v>68</v>
      </c>
      <c r="J61" s="85">
        <f>J73</f>
        <v>0</v>
      </c>
    </row>
    <row r="62" spans="1:11" hidden="1" x14ac:dyDescent="0.25">
      <c r="E62" s="72"/>
    </row>
    <row r="63" spans="1:11" hidden="1" x14ac:dyDescent="0.25">
      <c r="A63" s="1645" t="s">
        <v>26</v>
      </c>
      <c r="B63" s="1645"/>
      <c r="C63" s="1645"/>
      <c r="D63" s="1645"/>
      <c r="E63" s="71" t="s">
        <v>28</v>
      </c>
    </row>
    <row r="64" spans="1:11" ht="19.5" hidden="1" customHeight="1" x14ac:dyDescent="0.25">
      <c r="A64" s="1645" t="s">
        <v>27</v>
      </c>
      <c r="B64" s="1645"/>
      <c r="C64" s="1645"/>
      <c r="D64" s="1645"/>
      <c r="E64" s="71" t="s">
        <v>67</v>
      </c>
    </row>
    <row r="65" spans="1:28" ht="19.5" hidden="1" customHeight="1" x14ac:dyDescent="0.25">
      <c r="A65" s="1645" t="s">
        <v>63</v>
      </c>
      <c r="B65" s="1645"/>
      <c r="C65" s="1645"/>
      <c r="D65" s="1645"/>
      <c r="E65" s="71" t="s">
        <v>69</v>
      </c>
    </row>
    <row r="66" spans="1:28" s="81" customFormat="1" ht="19.5" hidden="1" customHeight="1" x14ac:dyDescent="0.25">
      <c r="A66" s="1644"/>
      <c r="B66" s="1644"/>
      <c r="C66" s="1644"/>
      <c r="D66" s="1644"/>
      <c r="E66" s="72"/>
      <c r="F66" s="1644"/>
      <c r="G66" s="1644"/>
      <c r="H66" s="60"/>
      <c r="I66" s="69"/>
      <c r="J66" s="69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s="81" customFormat="1" ht="19.5" hidden="1" customHeight="1" x14ac:dyDescent="0.25">
      <c r="A67" s="1898" t="s">
        <v>8</v>
      </c>
      <c r="B67" s="1956" t="s">
        <v>35</v>
      </c>
      <c r="C67" s="1916"/>
      <c r="D67" s="1916"/>
      <c r="E67" s="1916"/>
      <c r="F67" s="1957"/>
      <c r="G67" s="1899" t="s">
        <v>843</v>
      </c>
      <c r="H67" s="1900"/>
      <c r="I67" s="1900"/>
      <c r="J67" s="1901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s="81" customFormat="1" ht="91.5" hidden="1" customHeight="1" x14ac:dyDescent="0.25">
      <c r="A68" s="1898"/>
      <c r="B68" s="1918"/>
      <c r="C68" s="1919"/>
      <c r="D68" s="1919"/>
      <c r="E68" s="1919"/>
      <c r="F68" s="1920"/>
      <c r="G68" s="1588" t="s">
        <v>259</v>
      </c>
      <c r="H68" s="1581" t="s">
        <v>844</v>
      </c>
      <c r="I68" s="1588" t="s">
        <v>845</v>
      </c>
      <c r="J68" s="1588" t="s">
        <v>256</v>
      </c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s="81" customFormat="1" ht="19.5" hidden="1" customHeight="1" x14ac:dyDescent="0.25">
      <c r="A69" s="1630">
        <v>1</v>
      </c>
      <c r="B69" s="1921" t="s">
        <v>116</v>
      </c>
      <c r="C69" s="1922"/>
      <c r="D69" s="1922"/>
      <c r="E69" s="1922"/>
      <c r="F69" s="1923"/>
      <c r="G69" s="1588"/>
      <c r="H69" s="1588"/>
      <c r="I69" s="1588"/>
      <c r="J69" s="1588">
        <f>G69*H69*I69</f>
        <v>0</v>
      </c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s="81" customFormat="1" ht="19.5" hidden="1" customHeight="1" x14ac:dyDescent="0.25">
      <c r="A70" s="1630">
        <f>A69+1</f>
        <v>2</v>
      </c>
      <c r="B70" s="1921"/>
      <c r="C70" s="1922"/>
      <c r="D70" s="1922"/>
      <c r="E70" s="1922"/>
      <c r="F70" s="1923"/>
      <c r="G70" s="1588"/>
      <c r="H70" s="1588"/>
      <c r="I70" s="1588"/>
      <c r="J70" s="1588">
        <f>G70*H70*I70</f>
        <v>0</v>
      </c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s="81" customFormat="1" ht="19.5" hidden="1" customHeight="1" x14ac:dyDescent="0.25">
      <c r="A71" s="1946" t="s">
        <v>39</v>
      </c>
      <c r="B71" s="1947"/>
      <c r="C71" s="1947"/>
      <c r="D71" s="1947"/>
      <c r="E71" s="1947"/>
      <c r="F71" s="1948"/>
      <c r="G71" s="1589" t="s">
        <v>5</v>
      </c>
      <c r="H71" s="1589" t="s">
        <v>5</v>
      </c>
      <c r="I71" s="1589" t="s">
        <v>5</v>
      </c>
      <c r="J71" s="1589">
        <f>SUM(J69:J70)</f>
        <v>0</v>
      </c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s="81" customFormat="1" ht="17.25" hidden="1" customHeight="1" x14ac:dyDescent="0.25">
      <c r="A72" s="1644"/>
      <c r="B72" s="1644"/>
      <c r="C72" s="1644"/>
      <c r="D72" s="1644"/>
      <c r="E72" s="1644"/>
      <c r="F72" s="1644"/>
      <c r="G72" s="1644"/>
      <c r="H72" s="60"/>
      <c r="I72" s="69"/>
      <c r="J72" s="69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idden="1" x14ac:dyDescent="0.25">
      <c r="A73" s="1645" t="s">
        <v>63</v>
      </c>
      <c r="E73" s="71" t="s">
        <v>73</v>
      </c>
      <c r="G73" s="60"/>
      <c r="H73" s="90"/>
      <c r="I73" s="60"/>
      <c r="J73" s="85">
        <f>J74</f>
        <v>0</v>
      </c>
      <c r="K73" s="1648"/>
      <c r="L73" s="1648"/>
      <c r="M73" s="1648"/>
      <c r="N73" s="1648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idden="1" x14ac:dyDescent="0.25">
      <c r="A74" s="1645" t="s">
        <v>26</v>
      </c>
      <c r="E74" s="71" t="s">
        <v>693</v>
      </c>
      <c r="G74" s="60"/>
      <c r="H74" s="90"/>
      <c r="I74" s="60"/>
      <c r="J74" s="85">
        <f>J80</f>
        <v>0</v>
      </c>
      <c r="K74" s="1648"/>
      <c r="L74" s="1648"/>
      <c r="M74" s="1648"/>
      <c r="N74" s="1648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idden="1" x14ac:dyDescent="0.25">
      <c r="A75" s="1645" t="s">
        <v>27</v>
      </c>
      <c r="E75" s="71" t="s">
        <v>91</v>
      </c>
      <c r="G75" s="60"/>
      <c r="H75" s="90"/>
      <c r="I75" s="60"/>
      <c r="J75" s="60"/>
      <c r="K75" s="1648"/>
      <c r="L75" s="1648"/>
      <c r="M75" s="1648"/>
      <c r="N75" s="1648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33.75" hidden="1" customHeight="1" x14ac:dyDescent="0.25">
      <c r="A76" s="1943" t="s">
        <v>319</v>
      </c>
      <c r="B76" s="1943"/>
      <c r="C76" s="1943"/>
      <c r="D76" s="1943"/>
      <c r="E76" s="1943"/>
      <c r="F76" s="1943"/>
      <c r="G76" s="1943"/>
      <c r="H76" s="1943"/>
      <c r="I76" s="1943"/>
      <c r="J76" s="1943"/>
      <c r="L76" s="1648"/>
      <c r="M76" s="1648"/>
      <c r="N76" s="1648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9.5" hidden="1" customHeight="1" x14ac:dyDescent="0.25">
      <c r="A77" s="1898" t="s">
        <v>8</v>
      </c>
      <c r="B77" s="1914" t="s">
        <v>35</v>
      </c>
      <c r="C77" s="1916"/>
      <c r="D77" s="1916"/>
      <c r="E77" s="1916"/>
      <c r="F77" s="1916"/>
      <c r="G77" s="1916"/>
      <c r="H77" s="1959"/>
      <c r="I77" s="1960"/>
      <c r="J77" s="1898" t="s">
        <v>256</v>
      </c>
      <c r="L77" s="81"/>
      <c r="M77" s="1648"/>
      <c r="N77" s="1648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2.75" hidden="1" customHeight="1" x14ac:dyDescent="0.25">
      <c r="A78" s="1898"/>
      <c r="B78" s="1918"/>
      <c r="C78" s="1919"/>
      <c r="D78" s="1919"/>
      <c r="E78" s="1919"/>
      <c r="F78" s="1919"/>
      <c r="G78" s="1919"/>
      <c r="H78" s="1961"/>
      <c r="I78" s="1962"/>
      <c r="J78" s="1958"/>
      <c r="K78" s="1648"/>
      <c r="L78" s="1648"/>
      <c r="M78" s="1648"/>
      <c r="N78" s="1648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idden="1" x14ac:dyDescent="0.25">
      <c r="A79" s="1630">
        <v>1</v>
      </c>
      <c r="B79" s="1921" t="s">
        <v>101</v>
      </c>
      <c r="C79" s="1922"/>
      <c r="D79" s="1922"/>
      <c r="E79" s="1922"/>
      <c r="F79" s="1922"/>
      <c r="G79" s="1922"/>
      <c r="H79" s="1922"/>
      <c r="I79" s="1923"/>
      <c r="J79" s="1588"/>
      <c r="K79" s="1648"/>
      <c r="L79" s="1648"/>
      <c r="M79" s="1648"/>
      <c r="N79" s="1648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idden="1" x14ac:dyDescent="0.25">
      <c r="A80" s="1946" t="s">
        <v>39</v>
      </c>
      <c r="B80" s="1947"/>
      <c r="C80" s="1947"/>
      <c r="D80" s="1947"/>
      <c r="E80" s="1947"/>
      <c r="F80" s="1947"/>
      <c r="G80" s="1947"/>
      <c r="H80" s="1947"/>
      <c r="I80" s="1948"/>
      <c r="J80" s="1589">
        <f>SUM(J79:J79)</f>
        <v>0</v>
      </c>
      <c r="K80" s="344"/>
      <c r="L80" s="81"/>
      <c r="M80" s="1648"/>
      <c r="N80" s="1648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s="81" customFormat="1" hidden="1" x14ac:dyDescent="0.25">
      <c r="A81" s="1644"/>
      <c r="B81" s="1644"/>
      <c r="C81" s="1644"/>
      <c r="D81" s="1644"/>
      <c r="E81" s="1644"/>
      <c r="F81" s="1644"/>
      <c r="G81" s="1644"/>
      <c r="H81" s="60"/>
      <c r="I81" s="69"/>
      <c r="J81" s="69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s="81" customFormat="1" x14ac:dyDescent="0.25">
      <c r="A82" s="1644" t="s">
        <v>51</v>
      </c>
      <c r="B82" s="1644"/>
      <c r="C82" s="1644"/>
      <c r="D82" s="1644"/>
      <c r="E82" s="1644"/>
      <c r="F82" s="1644"/>
      <c r="G82" s="1644"/>
      <c r="H82" s="60"/>
      <c r="I82" s="69"/>
      <c r="J82" s="69">
        <v>0</v>
      </c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s="81" customFormat="1" x14ac:dyDescent="0.25">
      <c r="A83" s="1644" t="s">
        <v>52</v>
      </c>
      <c r="B83" s="1644"/>
      <c r="C83" s="1644"/>
      <c r="D83" s="1644"/>
      <c r="E83" s="1644"/>
      <c r="F83" s="1644"/>
      <c r="G83" s="1644"/>
      <c r="H83" s="60"/>
      <c r="I83" s="69"/>
      <c r="J83" s="69">
        <v>0</v>
      </c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s="81" customFormat="1" x14ac:dyDescent="0.25">
      <c r="A84" s="1644" t="s">
        <v>241</v>
      </c>
      <c r="B84" s="1644"/>
      <c r="C84" s="1644"/>
      <c r="D84" s="1644"/>
      <c r="E84" s="1644"/>
      <c r="F84" s="1644"/>
      <c r="G84" s="1644"/>
      <c r="H84" s="60"/>
      <c r="I84" s="69"/>
      <c r="J84" s="69">
        <v>0</v>
      </c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6.5" customHeight="1" x14ac:dyDescent="0.25">
      <c r="A85" s="1644" t="s">
        <v>242</v>
      </c>
      <c r="J85" s="69">
        <f>J87+J221</f>
        <v>161696.28</v>
      </c>
    </row>
    <row r="87" spans="1:28" x14ac:dyDescent="0.25">
      <c r="A87" s="1645" t="s">
        <v>147</v>
      </c>
      <c r="B87" s="1645"/>
      <c r="C87" s="1645"/>
      <c r="D87" s="1645"/>
      <c r="E87" s="86" t="s">
        <v>71</v>
      </c>
      <c r="J87" s="85">
        <f>J115+J185+J103+J89</f>
        <v>161696.28</v>
      </c>
    </row>
    <row r="88" spans="1:28" s="70" customFormat="1" hidden="1" x14ac:dyDescent="0.25">
      <c r="A88" s="1644"/>
      <c r="B88" s="1644"/>
      <c r="C88" s="1644"/>
      <c r="D88" s="1644"/>
      <c r="E88" s="72"/>
      <c r="F88" s="1644"/>
      <c r="G88" s="1644"/>
      <c r="H88" s="60"/>
      <c r="I88" s="69"/>
      <c r="J88" s="69"/>
      <c r="K88" s="81"/>
    </row>
    <row r="89" spans="1:28" s="70" customFormat="1" x14ac:dyDescent="0.25">
      <c r="A89" s="1645" t="s">
        <v>63</v>
      </c>
      <c r="B89" s="72"/>
      <c r="C89" s="72"/>
      <c r="D89" s="61"/>
      <c r="E89" s="71" t="s">
        <v>70</v>
      </c>
      <c r="F89" s="1644"/>
      <c r="G89" s="1644"/>
      <c r="H89" s="60"/>
      <c r="I89" s="69"/>
      <c r="J89" s="85">
        <f>J90</f>
        <v>161696.28</v>
      </c>
      <c r="K89" s="81"/>
    </row>
    <row r="90" spans="1:28" s="70" customFormat="1" x14ac:dyDescent="0.25">
      <c r="A90" s="1645" t="s">
        <v>26</v>
      </c>
      <c r="B90" s="72"/>
      <c r="C90" s="72"/>
      <c r="D90" s="61"/>
      <c r="E90" s="71" t="s">
        <v>693</v>
      </c>
      <c r="F90" s="1644"/>
      <c r="G90" s="1644"/>
      <c r="H90" s="60"/>
      <c r="I90" s="69"/>
      <c r="J90" s="85">
        <f>J91+J153+J162</f>
        <v>161696.28</v>
      </c>
      <c r="K90" s="81"/>
    </row>
    <row r="91" spans="1:28" s="70" customFormat="1" x14ac:dyDescent="0.25">
      <c r="A91" s="1645" t="s">
        <v>27</v>
      </c>
      <c r="B91" s="72"/>
      <c r="C91" s="72"/>
      <c r="D91" s="61"/>
      <c r="E91" s="71" t="s">
        <v>1830</v>
      </c>
      <c r="F91" s="1644"/>
      <c r="G91" s="1644"/>
      <c r="H91" s="60"/>
      <c r="I91" s="69"/>
      <c r="J91" s="85">
        <f>J99</f>
        <v>161696.28</v>
      </c>
      <c r="K91" s="81"/>
    </row>
    <row r="92" spans="1:28" s="70" customFormat="1" x14ac:dyDescent="0.25">
      <c r="A92" s="1" t="s">
        <v>1140</v>
      </c>
      <c r="B92" s="1"/>
      <c r="C92" s="1"/>
      <c r="D92" s="1"/>
      <c r="E92" s="1"/>
      <c r="F92" s="1"/>
      <c r="G92" s="1"/>
      <c r="H92" s="4"/>
      <c r="I92" s="4"/>
      <c r="J92" s="4"/>
      <c r="K92" s="81"/>
    </row>
    <row r="93" spans="1:28" s="70" customFormat="1" x14ac:dyDescent="0.25">
      <c r="A93" s="1898" t="s">
        <v>8</v>
      </c>
      <c r="B93" s="1898" t="s">
        <v>35</v>
      </c>
      <c r="C93" s="1898"/>
      <c r="D93" s="1898"/>
      <c r="E93" s="1898"/>
      <c r="F93" s="1898"/>
      <c r="G93" s="1898" t="s">
        <v>1827</v>
      </c>
      <c r="H93" s="1898"/>
      <c r="I93" s="1898"/>
      <c r="J93" s="1898"/>
      <c r="K93" s="81"/>
    </row>
    <row r="94" spans="1:28" s="70" customFormat="1" ht="43.5" customHeight="1" x14ac:dyDescent="0.25">
      <c r="A94" s="1898"/>
      <c r="B94" s="1898"/>
      <c r="C94" s="1898"/>
      <c r="D94" s="1898"/>
      <c r="E94" s="1898"/>
      <c r="F94" s="1898"/>
      <c r="G94" s="1581" t="s">
        <v>1141</v>
      </c>
      <c r="H94" s="1581" t="s">
        <v>1142</v>
      </c>
      <c r="I94" s="1581" t="s">
        <v>1143</v>
      </c>
      <c r="J94" s="1581" t="s">
        <v>256</v>
      </c>
      <c r="K94" s="81"/>
    </row>
    <row r="95" spans="1:28" s="70" customFormat="1" ht="13.5" hidden="1" customHeight="1" x14ac:dyDescent="0.25">
      <c r="A95" s="1902" t="s">
        <v>1876</v>
      </c>
      <c r="B95" s="1903"/>
      <c r="C95" s="1903"/>
      <c r="D95" s="1903"/>
      <c r="E95" s="1903"/>
      <c r="F95" s="1903"/>
      <c r="G95" s="1903"/>
      <c r="H95" s="1903"/>
      <c r="I95" s="1903"/>
      <c r="J95" s="1904"/>
      <c r="K95" s="81"/>
    </row>
    <row r="96" spans="1:28" s="70" customFormat="1" x14ac:dyDescent="0.25">
      <c r="A96" s="1651">
        <v>1</v>
      </c>
      <c r="B96" s="1909" t="s">
        <v>2139</v>
      </c>
      <c r="C96" s="1910"/>
      <c r="D96" s="1910"/>
      <c r="E96" s="1910"/>
      <c r="F96" s="1910"/>
      <c r="G96" s="1652">
        <v>1</v>
      </c>
      <c r="H96" s="59">
        <v>1488</v>
      </c>
      <c r="I96" s="1588">
        <v>160.65</v>
      </c>
      <c r="J96" s="1588">
        <f>H96*I96</f>
        <v>239047.2</v>
      </c>
      <c r="K96" s="81"/>
    </row>
    <row r="97" spans="1:28" s="70" customFormat="1" x14ac:dyDescent="0.25">
      <c r="A97" s="1951" t="s">
        <v>39</v>
      </c>
      <c r="B97" s="1951"/>
      <c r="C97" s="1951"/>
      <c r="D97" s="1951"/>
      <c r="E97" s="1951"/>
      <c r="F97" s="1951"/>
      <c r="G97" s="1951"/>
      <c r="H97" s="1951"/>
      <c r="I97" s="1951"/>
      <c r="J97" s="1589">
        <f>SUM(J96:J96)</f>
        <v>239047.2</v>
      </c>
      <c r="K97" s="81"/>
    </row>
    <row r="98" spans="1:28" s="70" customFormat="1" ht="13.5" customHeight="1" x14ac:dyDescent="0.25">
      <c r="A98" s="1952" t="s">
        <v>514</v>
      </c>
      <c r="B98" s="1952"/>
      <c r="C98" s="1952"/>
      <c r="D98" s="1952"/>
      <c r="E98" s="1952"/>
      <c r="F98" s="1952"/>
      <c r="G98" s="1952"/>
      <c r="H98" s="1952"/>
      <c r="I98" s="1952"/>
      <c r="J98" s="1363"/>
      <c r="K98" s="81"/>
    </row>
    <row r="99" spans="1:28" s="70" customFormat="1" ht="30.75" customHeight="1" x14ac:dyDescent="0.25">
      <c r="A99" s="1953" t="s">
        <v>2141</v>
      </c>
      <c r="B99" s="1953"/>
      <c r="C99" s="1953"/>
      <c r="D99" s="1953"/>
      <c r="E99" s="1953"/>
      <c r="F99" s="1953"/>
      <c r="G99" s="1953"/>
      <c r="H99" s="1953"/>
      <c r="I99" s="1953"/>
      <c r="J99" s="1363">
        <v>161696.28</v>
      </c>
      <c r="K99" s="81"/>
    </row>
    <row r="100" spans="1:28" s="70" customFormat="1" ht="30.75" customHeight="1" x14ac:dyDescent="0.25">
      <c r="A100" s="1953" t="s">
        <v>2140</v>
      </c>
      <c r="B100" s="1953"/>
      <c r="C100" s="1953"/>
      <c r="D100" s="1953"/>
      <c r="E100" s="1953"/>
      <c r="F100" s="1953"/>
      <c r="G100" s="1953"/>
      <c r="H100" s="1953"/>
      <c r="I100" s="1953"/>
      <c r="J100" s="1363">
        <f>J97-J99</f>
        <v>77350.92</v>
      </c>
      <c r="K100" s="81"/>
    </row>
    <row r="101" spans="1:28" s="70" customFormat="1" x14ac:dyDescent="0.25">
      <c r="A101" s="63"/>
      <c r="B101" s="63"/>
      <c r="C101" s="63"/>
      <c r="D101" s="63"/>
      <c r="E101" s="64"/>
      <c r="F101" s="64"/>
      <c r="G101" s="64"/>
      <c r="H101" s="64"/>
      <c r="I101" s="64"/>
      <c r="J101" s="64"/>
      <c r="K101" s="81"/>
    </row>
    <row r="102" spans="1:28" s="70" customFormat="1" ht="18.75" hidden="1" customHeight="1" x14ac:dyDescent="0.25">
      <c r="A102" s="1644" t="s">
        <v>54</v>
      </c>
      <c r="B102" s="1644"/>
      <c r="C102" s="1644"/>
      <c r="D102" s="1644"/>
      <c r="E102" s="1644"/>
      <c r="F102" s="1644"/>
      <c r="G102" s="1644"/>
      <c r="H102" s="60"/>
      <c r="I102" s="69"/>
      <c r="J102" s="69"/>
      <c r="K102" s="81"/>
    </row>
    <row r="103" spans="1:28" s="70" customFormat="1" hidden="1" x14ac:dyDescent="0.25">
      <c r="A103" s="1645" t="s">
        <v>63</v>
      </c>
      <c r="B103" s="72"/>
      <c r="C103" s="75"/>
      <c r="D103" s="75"/>
      <c r="E103" s="71" t="s">
        <v>77</v>
      </c>
      <c r="F103" s="1644"/>
      <c r="G103" s="1644"/>
      <c r="H103" s="60"/>
      <c r="I103" s="69"/>
      <c r="J103" s="85">
        <f>J104</f>
        <v>0</v>
      </c>
      <c r="K103" s="81"/>
    </row>
    <row r="104" spans="1:28" s="70" customFormat="1" hidden="1" x14ac:dyDescent="0.25">
      <c r="A104" s="1645" t="s">
        <v>26</v>
      </c>
      <c r="B104" s="72"/>
      <c r="C104" s="75"/>
      <c r="D104" s="75"/>
      <c r="E104" s="71" t="s">
        <v>693</v>
      </c>
      <c r="F104" s="1644"/>
      <c r="G104" s="1644"/>
      <c r="H104" s="60"/>
      <c r="I104" s="69"/>
      <c r="J104" s="85">
        <f>J111</f>
        <v>0</v>
      </c>
      <c r="K104" s="81"/>
    </row>
    <row r="105" spans="1:28" s="70" customFormat="1" ht="16.5" hidden="1" customHeight="1" x14ac:dyDescent="0.25">
      <c r="A105" s="1645" t="s">
        <v>27</v>
      </c>
      <c r="B105" s="72"/>
      <c r="C105" s="75"/>
      <c r="D105" s="75"/>
      <c r="E105" s="71" t="s">
        <v>1477</v>
      </c>
      <c r="F105" s="1644"/>
      <c r="G105" s="1644"/>
      <c r="H105" s="60"/>
      <c r="I105" s="69"/>
      <c r="J105" s="69"/>
      <c r="K105" s="714"/>
      <c r="L105" s="99"/>
      <c r="M105" s="99"/>
      <c r="N105" s="99"/>
    </row>
    <row r="106" spans="1:28" s="70" customFormat="1" ht="14.25" hidden="1" customHeight="1" x14ac:dyDescent="0.25">
      <c r="A106" s="1645"/>
      <c r="B106" s="72"/>
      <c r="C106" s="75"/>
      <c r="D106" s="75"/>
      <c r="E106" s="71"/>
      <c r="F106" s="1644"/>
      <c r="G106" s="1644"/>
      <c r="H106" s="60"/>
      <c r="I106" s="69"/>
      <c r="J106" s="69"/>
      <c r="K106" s="714"/>
      <c r="L106" s="99"/>
      <c r="M106" s="99"/>
      <c r="N106" s="99"/>
    </row>
    <row r="107" spans="1:28" hidden="1" x14ac:dyDescent="0.25">
      <c r="A107" s="1644" t="s">
        <v>306</v>
      </c>
      <c r="K107" s="174"/>
      <c r="L107" s="81"/>
      <c r="M107" s="81"/>
    </row>
    <row r="108" spans="1:28" hidden="1" x14ac:dyDescent="0.25">
      <c r="A108" s="1898" t="s">
        <v>8</v>
      </c>
      <c r="B108" s="1926" t="s">
        <v>1</v>
      </c>
      <c r="C108" s="1927"/>
      <c r="D108" s="1927"/>
      <c r="E108" s="1927"/>
      <c r="F108" s="1928" t="s">
        <v>1664</v>
      </c>
      <c r="G108" s="1899" t="s">
        <v>1476</v>
      </c>
      <c r="H108" s="1911"/>
      <c r="I108" s="1911"/>
      <c r="J108" s="1912"/>
    </row>
    <row r="109" spans="1:28" ht="47.25" hidden="1" customHeight="1" x14ac:dyDescent="0.25">
      <c r="A109" s="1898"/>
      <c r="B109" s="1927"/>
      <c r="C109" s="1927"/>
      <c r="D109" s="1927"/>
      <c r="E109" s="1927"/>
      <c r="F109" s="1906"/>
      <c r="G109" s="1581" t="s">
        <v>515</v>
      </c>
      <c r="H109" s="1581" t="s">
        <v>55</v>
      </c>
      <c r="I109" s="1588" t="s">
        <v>265</v>
      </c>
      <c r="J109" s="1588" t="s">
        <v>256</v>
      </c>
    </row>
    <row r="110" spans="1:28" ht="30" hidden="1" customHeight="1" x14ac:dyDescent="0.25">
      <c r="A110" s="1630">
        <v>1</v>
      </c>
      <c r="B110" s="1929" t="s">
        <v>1269</v>
      </c>
      <c r="C110" s="1930"/>
      <c r="D110" s="1930"/>
      <c r="E110" s="1930"/>
      <c r="F110" s="1653" t="s">
        <v>1646</v>
      </c>
      <c r="G110" s="1640" t="s">
        <v>1479</v>
      </c>
      <c r="H110" s="1654"/>
      <c r="I110" s="1655">
        <v>821.56799999999998</v>
      </c>
      <c r="J110" s="1588">
        <f>H110*I110</f>
        <v>0</v>
      </c>
      <c r="K110" s="1656"/>
      <c r="L110" s="1657"/>
      <c r="M110" s="2"/>
      <c r="N110" s="1658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idden="1" x14ac:dyDescent="0.25">
      <c r="A111" s="1895" t="s">
        <v>39</v>
      </c>
      <c r="B111" s="1895"/>
      <c r="C111" s="1895"/>
      <c r="D111" s="1895"/>
      <c r="E111" s="1895"/>
      <c r="F111" s="1895"/>
      <c r="G111" s="1895"/>
      <c r="H111" s="1659">
        <f>SUM(H110:H110)</f>
        <v>0</v>
      </c>
      <c r="I111" s="1589" t="s">
        <v>82</v>
      </c>
      <c r="J111" s="1589">
        <f>SUM(J110:J110)</f>
        <v>0</v>
      </c>
      <c r="K111" s="1656"/>
      <c r="L111" s="365"/>
      <c r="M111" s="354"/>
      <c r="N111" s="1658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5.75" hidden="1" customHeight="1" x14ac:dyDescent="0.25">
      <c r="A112" s="1950"/>
      <c r="B112" s="1950"/>
      <c r="C112" s="1950"/>
      <c r="D112" s="1950"/>
      <c r="E112" s="1950"/>
      <c r="F112" s="1950"/>
      <c r="G112" s="1950"/>
      <c r="H112" s="1950"/>
      <c r="I112" s="1950"/>
      <c r="J112" s="109"/>
      <c r="K112" s="83"/>
      <c r="L112" s="79"/>
    </row>
    <row r="113" spans="1:28" ht="19.5" hidden="1" customHeight="1" x14ac:dyDescent="0.25">
      <c r="A113" s="1644" t="s">
        <v>848</v>
      </c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idden="1" x14ac:dyDescent="0.25">
      <c r="A114" s="1644" t="s">
        <v>849</v>
      </c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idden="1" x14ac:dyDescent="0.25">
      <c r="A115" s="1645" t="s">
        <v>63</v>
      </c>
      <c r="B115" s="72"/>
      <c r="C115" s="75"/>
      <c r="D115" s="75"/>
      <c r="E115" s="71" t="s">
        <v>78</v>
      </c>
      <c r="J115" s="85">
        <f>J116</f>
        <v>0</v>
      </c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idden="1" x14ac:dyDescent="0.25">
      <c r="A116" s="1645" t="s">
        <v>26</v>
      </c>
      <c r="B116" s="72"/>
      <c r="C116" s="75"/>
      <c r="D116" s="75"/>
      <c r="E116" s="71" t="s">
        <v>693</v>
      </c>
      <c r="J116" s="85">
        <f>J175</f>
        <v>0</v>
      </c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7.25" hidden="1" customHeight="1" x14ac:dyDescent="0.25">
      <c r="A117" s="1645" t="s">
        <v>27</v>
      </c>
      <c r="B117" s="72"/>
      <c r="C117" s="75"/>
      <c r="D117" s="75"/>
      <c r="E117" s="71" t="s">
        <v>91</v>
      </c>
      <c r="K117" s="1647"/>
      <c r="L117" s="99"/>
      <c r="M117" s="99"/>
      <c r="N117" s="99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idden="1" x14ac:dyDescent="0.25">
      <c r="A118" s="1644" t="s">
        <v>850</v>
      </c>
      <c r="E118" s="73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idden="1" x14ac:dyDescent="0.25">
      <c r="A119" s="1898" t="s">
        <v>8</v>
      </c>
      <c r="B119" s="1898" t="s">
        <v>1</v>
      </c>
      <c r="C119" s="1898"/>
      <c r="D119" s="1898"/>
      <c r="E119" s="1898"/>
      <c r="F119" s="1898"/>
      <c r="G119" s="1899" t="s">
        <v>843</v>
      </c>
      <c r="H119" s="1900"/>
      <c r="I119" s="1900"/>
      <c r="J119" s="190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45" hidden="1" x14ac:dyDescent="0.25">
      <c r="A120" s="1898"/>
      <c r="B120" s="1898"/>
      <c r="C120" s="1898"/>
      <c r="D120" s="1898"/>
      <c r="E120" s="1898"/>
      <c r="F120" s="1898"/>
      <c r="G120" s="1581" t="s">
        <v>270</v>
      </c>
      <c r="H120" s="1581" t="s">
        <v>266</v>
      </c>
      <c r="I120" s="1588" t="s">
        <v>254</v>
      </c>
      <c r="J120" s="1588" t="s">
        <v>256</v>
      </c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idden="1" x14ac:dyDescent="0.25">
      <c r="A121" s="1630">
        <v>1</v>
      </c>
      <c r="B121" s="1909" t="s">
        <v>851</v>
      </c>
      <c r="C121" s="1909"/>
      <c r="D121" s="1909"/>
      <c r="E121" s="1909"/>
      <c r="F121" s="1909"/>
      <c r="G121" s="1588"/>
      <c r="H121" s="1588"/>
      <c r="I121" s="59"/>
      <c r="J121" s="1588">
        <f>G121*H121*I121</f>
        <v>0</v>
      </c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idden="1" x14ac:dyDescent="0.25">
      <c r="A122" s="1630">
        <f>A121+1</f>
        <v>2</v>
      </c>
      <c r="B122" s="1909" t="s">
        <v>852</v>
      </c>
      <c r="C122" s="1909"/>
      <c r="D122" s="1909"/>
      <c r="E122" s="1909"/>
      <c r="F122" s="1909"/>
      <c r="G122" s="1588"/>
      <c r="H122" s="1588"/>
      <c r="I122" s="59"/>
      <c r="J122" s="1588">
        <f>G122*H122*I122</f>
        <v>0</v>
      </c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idden="1" x14ac:dyDescent="0.25">
      <c r="A123" s="1895" t="s">
        <v>39</v>
      </c>
      <c r="B123" s="1895"/>
      <c r="C123" s="1895"/>
      <c r="D123" s="1895"/>
      <c r="E123" s="1895"/>
      <c r="F123" s="1895"/>
      <c r="G123" s="1589" t="s">
        <v>5</v>
      </c>
      <c r="H123" s="1589" t="s">
        <v>5</v>
      </c>
      <c r="I123" s="1589" t="s">
        <v>5</v>
      </c>
      <c r="J123" s="1589">
        <f>SUM(J121:J122)</f>
        <v>0</v>
      </c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idden="1" x14ac:dyDescent="0.25"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idden="1" x14ac:dyDescent="0.25">
      <c r="A125" s="1644" t="s">
        <v>323</v>
      </c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idden="1" x14ac:dyDescent="0.25">
      <c r="A126" s="1898" t="s">
        <v>8</v>
      </c>
      <c r="B126" s="1898" t="s">
        <v>1</v>
      </c>
      <c r="C126" s="1898"/>
      <c r="D126" s="1898"/>
      <c r="E126" s="1898"/>
      <c r="F126" s="1898" t="s">
        <v>271</v>
      </c>
      <c r="G126" s="1899" t="s">
        <v>843</v>
      </c>
      <c r="H126" s="1900"/>
      <c r="I126" s="1900"/>
      <c r="J126" s="1901"/>
      <c r="K126" s="61" t="s">
        <v>372</v>
      </c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30" hidden="1" x14ac:dyDescent="0.25">
      <c r="A127" s="1898"/>
      <c r="B127" s="1898"/>
      <c r="C127" s="1898"/>
      <c r="D127" s="1898"/>
      <c r="E127" s="1898"/>
      <c r="F127" s="1898"/>
      <c r="G127" s="1581" t="s">
        <v>267</v>
      </c>
      <c r="H127" s="1581" t="s">
        <v>252</v>
      </c>
      <c r="I127" s="1588" t="s">
        <v>253</v>
      </c>
      <c r="J127" s="1588" t="s">
        <v>256</v>
      </c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30" hidden="1" customHeight="1" x14ac:dyDescent="0.25">
      <c r="A128" s="1630">
        <v>1</v>
      </c>
      <c r="B128" s="1909" t="s">
        <v>853</v>
      </c>
      <c r="C128" s="1909"/>
      <c r="D128" s="1909"/>
      <c r="E128" s="1909"/>
      <c r="F128" s="59">
        <v>550</v>
      </c>
      <c r="G128" s="1588">
        <v>5.34</v>
      </c>
      <c r="H128" s="59">
        <v>1</v>
      </c>
      <c r="I128" s="59">
        <v>3</v>
      </c>
      <c r="J128" s="1588"/>
      <c r="K128" s="1949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idden="1" x14ac:dyDescent="0.25">
      <c r="A129" s="1630">
        <v>2</v>
      </c>
      <c r="B129" s="1909" t="s">
        <v>854</v>
      </c>
      <c r="C129" s="1909"/>
      <c r="D129" s="1909"/>
      <c r="E129" s="1909"/>
      <c r="F129" s="123">
        <v>516.5</v>
      </c>
      <c r="G129" s="1588">
        <v>5.34</v>
      </c>
      <c r="H129" s="59">
        <v>2</v>
      </c>
      <c r="I129" s="59">
        <v>1</v>
      </c>
      <c r="J129" s="1588"/>
      <c r="K129" s="1949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29.25" hidden="1" customHeight="1" x14ac:dyDescent="0.25">
      <c r="A130" s="1630">
        <v>2</v>
      </c>
      <c r="B130" s="1909" t="s">
        <v>855</v>
      </c>
      <c r="C130" s="1909"/>
      <c r="D130" s="1909"/>
      <c r="E130" s="1909"/>
      <c r="F130" s="103"/>
      <c r="G130" s="1588">
        <v>12.02</v>
      </c>
      <c r="H130" s="59">
        <v>2</v>
      </c>
      <c r="I130" s="59">
        <v>1</v>
      </c>
      <c r="J130" s="1588"/>
      <c r="K130" s="1949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29.25" hidden="1" customHeight="1" x14ac:dyDescent="0.25">
      <c r="A131" s="1630">
        <v>3</v>
      </c>
      <c r="B131" s="1909" t="s">
        <v>856</v>
      </c>
      <c r="C131" s="1909"/>
      <c r="D131" s="1909"/>
      <c r="E131" s="1909"/>
      <c r="F131" s="123">
        <v>942.5</v>
      </c>
      <c r="G131" s="1588">
        <v>4.5999999999999996</v>
      </c>
      <c r="H131" s="59">
        <v>3</v>
      </c>
      <c r="I131" s="59">
        <v>4</v>
      </c>
      <c r="J131" s="1588"/>
      <c r="K131" s="9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idden="1" x14ac:dyDescent="0.25">
      <c r="A132" s="1946" t="s">
        <v>39</v>
      </c>
      <c r="B132" s="1947"/>
      <c r="C132" s="1947"/>
      <c r="D132" s="1947"/>
      <c r="E132" s="1947"/>
      <c r="F132" s="1948"/>
      <c r="G132" s="1589" t="s">
        <v>5</v>
      </c>
      <c r="H132" s="1589" t="s">
        <v>5</v>
      </c>
      <c r="I132" s="1589" t="s">
        <v>5</v>
      </c>
      <c r="J132" s="1589">
        <f>SUM(J128:J131)</f>
        <v>0</v>
      </c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idden="1" x14ac:dyDescent="0.25"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idden="1" x14ac:dyDescent="0.25">
      <c r="A134" s="1644" t="s">
        <v>857</v>
      </c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idden="1" x14ac:dyDescent="0.25">
      <c r="A135" s="1898" t="s">
        <v>8</v>
      </c>
      <c r="B135" s="1898" t="s">
        <v>1</v>
      </c>
      <c r="C135" s="1898"/>
      <c r="D135" s="1898"/>
      <c r="E135" s="1898"/>
      <c r="F135" s="1898" t="s">
        <v>272</v>
      </c>
      <c r="G135" s="1899" t="s">
        <v>843</v>
      </c>
      <c r="H135" s="1900"/>
      <c r="I135" s="1900"/>
      <c r="J135" s="190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45" hidden="1" customHeight="1" x14ac:dyDescent="0.25">
      <c r="A136" s="1898"/>
      <c r="B136" s="1898"/>
      <c r="C136" s="1898"/>
      <c r="D136" s="1898"/>
      <c r="E136" s="1898"/>
      <c r="F136" s="1898"/>
      <c r="G136" s="1581" t="s">
        <v>248</v>
      </c>
      <c r="H136" s="1581" t="s">
        <v>251</v>
      </c>
      <c r="I136" s="1588" t="s">
        <v>268</v>
      </c>
      <c r="J136" s="1588" t="s">
        <v>256</v>
      </c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idden="1" x14ac:dyDescent="0.25">
      <c r="A137" s="1630">
        <v>1</v>
      </c>
      <c r="B137" s="1909" t="s">
        <v>858</v>
      </c>
      <c r="C137" s="1909"/>
      <c r="D137" s="1909"/>
      <c r="E137" s="1909"/>
      <c r="F137" s="1581" t="s">
        <v>108</v>
      </c>
      <c r="G137" s="59">
        <v>1</v>
      </c>
      <c r="H137" s="59">
        <v>12</v>
      </c>
      <c r="I137" s="1588">
        <v>1700</v>
      </c>
      <c r="J137" s="1588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idden="1" x14ac:dyDescent="0.25">
      <c r="A138" s="1630">
        <f>A137+1</f>
        <v>2</v>
      </c>
      <c r="B138" s="1909" t="s">
        <v>859</v>
      </c>
      <c r="C138" s="1909"/>
      <c r="D138" s="1909"/>
      <c r="E138" s="1909"/>
      <c r="F138" s="1581" t="s">
        <v>108</v>
      </c>
      <c r="G138" s="59">
        <v>1</v>
      </c>
      <c r="H138" s="59">
        <v>12</v>
      </c>
      <c r="I138" s="1588">
        <v>683.32</v>
      </c>
      <c r="J138" s="1588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idden="1" x14ac:dyDescent="0.25">
      <c r="A139" s="1630">
        <v>1</v>
      </c>
      <c r="B139" s="1909" t="s">
        <v>860</v>
      </c>
      <c r="C139" s="1909"/>
      <c r="D139" s="1909"/>
      <c r="E139" s="1909"/>
      <c r="F139" s="1581" t="s">
        <v>108</v>
      </c>
      <c r="G139" s="59"/>
      <c r="H139" s="59">
        <v>1</v>
      </c>
      <c r="I139" s="1588">
        <v>2960.5</v>
      </c>
      <c r="J139" s="1588">
        <f>G139*H139*I139</f>
        <v>0</v>
      </c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idden="1" x14ac:dyDescent="0.25">
      <c r="A140" s="1630">
        <f>A139+1</f>
        <v>2</v>
      </c>
      <c r="B140" s="660" t="s">
        <v>294</v>
      </c>
      <c r="C140" s="661"/>
      <c r="D140" s="661"/>
      <c r="E140" s="661"/>
      <c r="F140" s="1581" t="s">
        <v>108</v>
      </c>
      <c r="G140" s="59">
        <v>1</v>
      </c>
      <c r="H140" s="59">
        <v>12</v>
      </c>
      <c r="I140" s="1588">
        <v>430.51</v>
      </c>
      <c r="J140" s="1588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idden="1" x14ac:dyDescent="0.25">
      <c r="A141" s="933">
        <v>5</v>
      </c>
      <c r="B141" s="1921" t="s">
        <v>861</v>
      </c>
      <c r="C141" s="1922"/>
      <c r="D141" s="1922"/>
      <c r="E141" s="1922"/>
      <c r="F141" s="1581" t="s">
        <v>108</v>
      </c>
      <c r="G141" s="59"/>
      <c r="H141" s="59"/>
      <c r="I141" s="1588"/>
      <c r="J141" s="1588">
        <f>G141*H141*I141</f>
        <v>0</v>
      </c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27" hidden="1" customHeight="1" x14ac:dyDescent="0.25">
      <c r="A142" s="1630">
        <v>1</v>
      </c>
      <c r="B142" s="1909" t="s">
        <v>862</v>
      </c>
      <c r="C142" s="1909"/>
      <c r="D142" s="1909"/>
      <c r="E142" s="1909"/>
      <c r="F142" s="1581" t="s">
        <v>108</v>
      </c>
      <c r="G142" s="59"/>
      <c r="H142" s="59"/>
      <c r="I142" s="1588"/>
      <c r="J142" s="1588">
        <f>G142*H142*I142</f>
        <v>0</v>
      </c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idden="1" x14ac:dyDescent="0.25">
      <c r="A143" s="1630">
        <v>2</v>
      </c>
      <c r="B143" s="1909" t="s">
        <v>863</v>
      </c>
      <c r="C143" s="1909"/>
      <c r="D143" s="1909"/>
      <c r="E143" s="1909"/>
      <c r="F143" s="1581" t="s">
        <v>864</v>
      </c>
      <c r="G143" s="59"/>
      <c r="H143" s="59"/>
      <c r="I143" s="1588"/>
      <c r="J143" s="1588">
        <f>G143*H143*I143</f>
        <v>0</v>
      </c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idden="1" x14ac:dyDescent="0.25">
      <c r="A144" s="1630">
        <f>A143+1</f>
        <v>3</v>
      </c>
      <c r="B144" s="1909" t="s">
        <v>295</v>
      </c>
      <c r="C144" s="1909"/>
      <c r="D144" s="1909"/>
      <c r="E144" s="1909"/>
      <c r="F144" s="1581" t="s">
        <v>108</v>
      </c>
      <c r="G144" s="59">
        <v>1</v>
      </c>
      <c r="H144" s="59">
        <v>10</v>
      </c>
      <c r="I144" s="1588">
        <v>5000</v>
      </c>
      <c r="J144" s="1588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idden="1" x14ac:dyDescent="0.25">
      <c r="A145" s="1895" t="s">
        <v>39</v>
      </c>
      <c r="B145" s="1895"/>
      <c r="C145" s="1895"/>
      <c r="D145" s="1895"/>
      <c r="E145" s="1895"/>
      <c r="F145" s="1895"/>
      <c r="G145" s="1589" t="s">
        <v>5</v>
      </c>
      <c r="H145" s="1589" t="s">
        <v>5</v>
      </c>
      <c r="I145" s="1589" t="s">
        <v>5</v>
      </c>
      <c r="J145" s="1589">
        <f>SUM(J137:J144)</f>
        <v>0</v>
      </c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idden="1" x14ac:dyDescent="0.25"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idden="1" x14ac:dyDescent="0.25">
      <c r="A147" s="1644" t="s">
        <v>865</v>
      </c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9.5" hidden="1" customHeight="1" x14ac:dyDescent="0.25">
      <c r="A148" s="1898" t="s">
        <v>8</v>
      </c>
      <c r="B148" s="1898" t="s">
        <v>35</v>
      </c>
      <c r="C148" s="1898"/>
      <c r="D148" s="1898"/>
      <c r="E148" s="1898"/>
      <c r="F148" s="1898"/>
      <c r="G148" s="1898"/>
      <c r="H148" s="1899" t="s">
        <v>843</v>
      </c>
      <c r="I148" s="1900"/>
      <c r="J148" s="190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30" hidden="1" customHeight="1" x14ac:dyDescent="0.25">
      <c r="A149" s="1898"/>
      <c r="B149" s="1898"/>
      <c r="C149" s="1898"/>
      <c r="D149" s="1898"/>
      <c r="E149" s="1898"/>
      <c r="F149" s="1898"/>
      <c r="G149" s="1898"/>
      <c r="H149" s="1581" t="s">
        <v>248</v>
      </c>
      <c r="I149" s="1588" t="s">
        <v>269</v>
      </c>
      <c r="J149" s="1588" t="s">
        <v>256</v>
      </c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idden="1" x14ac:dyDescent="0.25">
      <c r="A150" s="62" t="s">
        <v>244</v>
      </c>
      <c r="B150" s="1891" t="s">
        <v>60</v>
      </c>
      <c r="C150" s="1891"/>
      <c r="D150" s="1891"/>
      <c r="E150" s="1891"/>
      <c r="F150" s="1891"/>
      <c r="G150" s="1891"/>
      <c r="H150" s="1588" t="s">
        <v>5</v>
      </c>
      <c r="I150" s="1588" t="s">
        <v>5</v>
      </c>
      <c r="J150" s="1588" t="s">
        <v>5</v>
      </c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idden="1" x14ac:dyDescent="0.25">
      <c r="A151" s="62" t="s">
        <v>47</v>
      </c>
      <c r="B151" s="1891" t="s">
        <v>866</v>
      </c>
      <c r="C151" s="1891"/>
      <c r="D151" s="1891"/>
      <c r="E151" s="1891"/>
      <c r="F151" s="1891"/>
      <c r="G151" s="1891"/>
      <c r="H151" s="1588"/>
      <c r="I151" s="1588"/>
      <c r="J151" s="1588">
        <f>H151*I151</f>
        <v>0</v>
      </c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idden="1" x14ac:dyDescent="0.25">
      <c r="A152" s="62" t="s">
        <v>281</v>
      </c>
      <c r="B152" s="1892" t="s">
        <v>867</v>
      </c>
      <c r="C152" s="1893"/>
      <c r="D152" s="1893"/>
      <c r="E152" s="1893"/>
      <c r="F152" s="1893"/>
      <c r="G152" s="1894"/>
      <c r="H152" s="1588" t="s">
        <v>5</v>
      </c>
      <c r="I152" s="1588" t="s">
        <v>5</v>
      </c>
      <c r="J152" s="1588" t="s">
        <v>5</v>
      </c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idden="1" x14ac:dyDescent="0.25">
      <c r="A153" s="62" t="s">
        <v>868</v>
      </c>
      <c r="B153" s="1891" t="s">
        <v>866</v>
      </c>
      <c r="C153" s="1891"/>
      <c r="D153" s="1891"/>
      <c r="E153" s="1891"/>
      <c r="F153" s="1891"/>
      <c r="G153" s="1891"/>
      <c r="H153" s="1588"/>
      <c r="I153" s="1588"/>
      <c r="J153" s="1588">
        <f>H153*I153</f>
        <v>0</v>
      </c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idden="1" x14ac:dyDescent="0.25">
      <c r="A154" s="1895" t="s">
        <v>39</v>
      </c>
      <c r="B154" s="1895"/>
      <c r="C154" s="1895"/>
      <c r="D154" s="1895"/>
      <c r="E154" s="1895"/>
      <c r="F154" s="1895"/>
      <c r="G154" s="1895"/>
      <c r="H154" s="1589" t="s">
        <v>5</v>
      </c>
      <c r="I154" s="1589" t="s">
        <v>5</v>
      </c>
      <c r="J154" s="1589">
        <f>SUM(J151:J153)</f>
        <v>0</v>
      </c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9.5" hidden="1" customHeight="1" x14ac:dyDescent="0.25"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32.25" hidden="1" customHeight="1" x14ac:dyDescent="0.25">
      <c r="A156" s="1896" t="s">
        <v>869</v>
      </c>
      <c r="B156" s="1897"/>
      <c r="C156" s="1897"/>
      <c r="D156" s="1897"/>
      <c r="E156" s="1897"/>
      <c r="F156" s="1897"/>
      <c r="G156" s="1897"/>
      <c r="H156" s="1897"/>
      <c r="I156" s="1897"/>
      <c r="J156" s="1897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9.5" hidden="1" customHeight="1" x14ac:dyDescent="0.25">
      <c r="A157" s="1898" t="s">
        <v>8</v>
      </c>
      <c r="B157" s="1898" t="s">
        <v>35</v>
      </c>
      <c r="C157" s="1898"/>
      <c r="D157" s="1898"/>
      <c r="E157" s="1898"/>
      <c r="F157" s="1898"/>
      <c r="G157" s="1898"/>
      <c r="H157" s="1899" t="s">
        <v>843</v>
      </c>
      <c r="I157" s="1900"/>
      <c r="J157" s="190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30" hidden="1" x14ac:dyDescent="0.25">
      <c r="A158" s="1898"/>
      <c r="B158" s="1898"/>
      <c r="C158" s="1898"/>
      <c r="D158" s="1898"/>
      <c r="E158" s="1898"/>
      <c r="F158" s="1898"/>
      <c r="G158" s="1898"/>
      <c r="H158" s="1581" t="s">
        <v>870</v>
      </c>
      <c r="I158" s="1581" t="s">
        <v>296</v>
      </c>
      <c r="J158" s="1581" t="s">
        <v>297</v>
      </c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idden="1" x14ac:dyDescent="0.25">
      <c r="A159" s="62" t="s">
        <v>244</v>
      </c>
      <c r="B159" s="1891" t="s">
        <v>871</v>
      </c>
      <c r="C159" s="1891"/>
      <c r="D159" s="1891"/>
      <c r="E159" s="1891"/>
      <c r="F159" s="1891"/>
      <c r="G159" s="1891"/>
      <c r="H159" s="1588"/>
      <c r="I159" s="1588"/>
      <c r="J159" s="1588">
        <f>H159*I159</f>
        <v>0</v>
      </c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idden="1" x14ac:dyDescent="0.25">
      <c r="A160" s="62" t="s">
        <v>281</v>
      </c>
      <c r="B160" s="1892" t="s">
        <v>872</v>
      </c>
      <c r="C160" s="1893"/>
      <c r="D160" s="1893"/>
      <c r="E160" s="1893"/>
      <c r="F160" s="1893"/>
      <c r="G160" s="1894"/>
      <c r="H160" s="1588"/>
      <c r="I160" s="1588"/>
      <c r="J160" s="1588">
        <f>H160*I160</f>
        <v>0</v>
      </c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idden="1" x14ac:dyDescent="0.25">
      <c r="A161" s="1895" t="s">
        <v>39</v>
      </c>
      <c r="B161" s="1895"/>
      <c r="C161" s="1895"/>
      <c r="D161" s="1895"/>
      <c r="E161" s="1895"/>
      <c r="F161" s="1895"/>
      <c r="G161" s="1895"/>
      <c r="H161" s="1589" t="s">
        <v>5</v>
      </c>
      <c r="I161" s="1589" t="s">
        <v>5</v>
      </c>
      <c r="J161" s="1589">
        <f>SUM(J159:J160)</f>
        <v>0</v>
      </c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idden="1" x14ac:dyDescent="0.25"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9.5" hidden="1" customHeight="1" x14ac:dyDescent="0.25">
      <c r="A163" s="1644" t="s">
        <v>873</v>
      </c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idden="1" x14ac:dyDescent="0.25">
      <c r="A164" s="1898" t="s">
        <v>8</v>
      </c>
      <c r="B164" s="1898" t="s">
        <v>35</v>
      </c>
      <c r="C164" s="1898"/>
      <c r="D164" s="1898"/>
      <c r="E164" s="1898"/>
      <c r="F164" s="1898"/>
      <c r="G164" s="1898"/>
      <c r="H164" s="1899" t="s">
        <v>843</v>
      </c>
      <c r="I164" s="1900"/>
      <c r="J164" s="1901"/>
      <c r="K164" s="61" t="s">
        <v>371</v>
      </c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45" hidden="1" customHeight="1" x14ac:dyDescent="0.25">
      <c r="A165" s="1898"/>
      <c r="B165" s="1898"/>
      <c r="C165" s="1898"/>
      <c r="D165" s="1898"/>
      <c r="E165" s="1898"/>
      <c r="F165" s="1898"/>
      <c r="G165" s="1898"/>
      <c r="H165" s="1581" t="s">
        <v>874</v>
      </c>
      <c r="I165" s="1588" t="s">
        <v>875</v>
      </c>
      <c r="J165" s="1588" t="s">
        <v>256</v>
      </c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idden="1" x14ac:dyDescent="0.25">
      <c r="A166" s="1630">
        <v>1</v>
      </c>
      <c r="B166" s="1909" t="s">
        <v>876</v>
      </c>
      <c r="C166" s="1909"/>
      <c r="D166" s="1909"/>
      <c r="E166" s="1909"/>
      <c r="F166" s="1909"/>
      <c r="G166" s="1909"/>
      <c r="H166" s="59">
        <v>2</v>
      </c>
      <c r="I166" s="1588">
        <v>21000</v>
      </c>
      <c r="J166" s="1588"/>
      <c r="K166" s="61"/>
      <c r="L166" s="61"/>
      <c r="M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idden="1" x14ac:dyDescent="0.25">
      <c r="A167" s="1895" t="s">
        <v>39</v>
      </c>
      <c r="B167" s="1895"/>
      <c r="C167" s="1895"/>
      <c r="D167" s="1895"/>
      <c r="E167" s="1895"/>
      <c r="F167" s="1895"/>
      <c r="G167" s="1895"/>
      <c r="H167" s="1589" t="s">
        <v>5</v>
      </c>
      <c r="I167" s="1589" t="s">
        <v>5</v>
      </c>
      <c r="J167" s="1589">
        <f>SUM(J166:J166)</f>
        <v>0</v>
      </c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4.25" hidden="1" customHeight="1" x14ac:dyDescent="0.25">
      <c r="A168" s="1908" t="s">
        <v>308</v>
      </c>
      <c r="B168" s="1908"/>
      <c r="C168" s="1908"/>
      <c r="D168" s="1908"/>
      <c r="E168" s="1908"/>
      <c r="F168" s="1908"/>
      <c r="G168" s="1908"/>
      <c r="H168" s="1908"/>
      <c r="I168" s="1635"/>
      <c r="J168" s="98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idden="1" x14ac:dyDescent="0.25">
      <c r="A169" s="1898" t="s">
        <v>8</v>
      </c>
      <c r="B169" s="1898" t="s">
        <v>1</v>
      </c>
      <c r="C169" s="1898"/>
      <c r="D169" s="1898"/>
      <c r="E169" s="1898"/>
      <c r="F169" s="1898" t="s">
        <v>736</v>
      </c>
      <c r="G169" s="1898" t="s">
        <v>735</v>
      </c>
      <c r="H169" s="1898" t="s">
        <v>735</v>
      </c>
      <c r="I169" s="1898"/>
      <c r="J169" s="1898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46.5" hidden="1" customHeight="1" x14ac:dyDescent="0.25">
      <c r="A170" s="1898"/>
      <c r="B170" s="1898"/>
      <c r="C170" s="1898"/>
      <c r="D170" s="1898"/>
      <c r="E170" s="1898"/>
      <c r="F170" s="1898"/>
      <c r="G170" s="1581" t="s">
        <v>1137</v>
      </c>
      <c r="H170" s="1581" t="s">
        <v>1135</v>
      </c>
      <c r="I170" s="1581" t="s">
        <v>1136</v>
      </c>
      <c r="J170" s="1581" t="s">
        <v>256</v>
      </c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33.75" hidden="1" customHeight="1" x14ac:dyDescent="0.25">
      <c r="A171" s="1625">
        <v>1</v>
      </c>
      <c r="B171" s="1907" t="s">
        <v>1133</v>
      </c>
      <c r="C171" s="1908"/>
      <c r="D171" s="1908"/>
      <c r="E171" s="1908"/>
      <c r="F171" s="1625" t="s">
        <v>108</v>
      </c>
      <c r="G171" s="1625"/>
      <c r="H171" s="1665">
        <v>11</v>
      </c>
      <c r="I171" s="801">
        <v>3000</v>
      </c>
      <c r="J171" s="1591">
        <f>G171*H171*I171</f>
        <v>0</v>
      </c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32.25" hidden="1" customHeight="1" x14ac:dyDescent="0.25">
      <c r="A172" s="1625">
        <v>2</v>
      </c>
      <c r="B172" s="1907" t="s">
        <v>1133</v>
      </c>
      <c r="C172" s="1908"/>
      <c r="D172" s="1908"/>
      <c r="E172" s="1908"/>
      <c r="F172" s="1625" t="s">
        <v>108</v>
      </c>
      <c r="G172" s="1625"/>
      <c r="H172" s="1665">
        <v>11</v>
      </c>
      <c r="I172" s="801">
        <v>7000</v>
      </c>
      <c r="J172" s="1591">
        <f>G172*H172*I172</f>
        <v>0</v>
      </c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14.25" hidden="1" customHeight="1" x14ac:dyDescent="0.25">
      <c r="A173" s="1946" t="s">
        <v>39</v>
      </c>
      <c r="B173" s="1947"/>
      <c r="C173" s="1947"/>
      <c r="D173" s="1947"/>
      <c r="E173" s="1947"/>
      <c r="F173" s="1947"/>
      <c r="G173" s="1947"/>
      <c r="H173" s="1947"/>
      <c r="I173" s="1948"/>
      <c r="J173" s="1589">
        <f>SUM(J171:J172)</f>
        <v>0</v>
      </c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14.25" hidden="1" customHeight="1" x14ac:dyDescent="0.25">
      <c r="A174" s="1924" t="s">
        <v>514</v>
      </c>
      <c r="B174" s="1925"/>
      <c r="C174" s="1925"/>
      <c r="D174" s="1925"/>
      <c r="E174" s="1925"/>
      <c r="F174" s="1925"/>
      <c r="G174" s="1925"/>
      <c r="H174" s="1925"/>
      <c r="I174" s="1925"/>
      <c r="J174" s="1925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hidden="1" x14ac:dyDescent="0.25">
      <c r="A175" s="1913" t="s">
        <v>1134</v>
      </c>
      <c r="B175" s="1913"/>
      <c r="C175" s="1913"/>
      <c r="D175" s="1913"/>
      <c r="E175" s="1913"/>
      <c r="F175" s="1913"/>
      <c r="G175" s="1913"/>
      <c r="H175" s="1913"/>
      <c r="I175" s="1913"/>
      <c r="J175" s="1594"/>
      <c r="K175" s="344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idden="1" x14ac:dyDescent="0.25">
      <c r="A176" s="1913" t="s">
        <v>153</v>
      </c>
      <c r="B176" s="1913"/>
      <c r="C176" s="1913"/>
      <c r="D176" s="1913"/>
      <c r="E176" s="1913"/>
      <c r="F176" s="1913"/>
      <c r="G176" s="1913"/>
      <c r="H176" s="1913"/>
      <c r="I176" s="1913"/>
      <c r="J176" s="1594"/>
      <c r="K176" s="344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:28" hidden="1" x14ac:dyDescent="0.25">
      <c r="A177" s="1891" t="s">
        <v>619</v>
      </c>
      <c r="B177" s="1891"/>
      <c r="C177" s="1891"/>
      <c r="D177" s="1891"/>
      <c r="E177" s="1891"/>
      <c r="F177" s="1891"/>
      <c r="G177" s="1891"/>
      <c r="H177" s="1891"/>
      <c r="I177" s="1891"/>
      <c r="J177" s="1588">
        <f>J173-J175-J176-J178</f>
        <v>0</v>
      </c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:28" ht="14.25" hidden="1" customHeight="1" x14ac:dyDescent="0.25"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:28" ht="15" hidden="1" customHeight="1" x14ac:dyDescent="0.25">
      <c r="A179" s="1644" t="s">
        <v>308</v>
      </c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:28" ht="51.75" hidden="1" customHeight="1" x14ac:dyDescent="0.25">
      <c r="A180" s="1581" t="s">
        <v>8</v>
      </c>
      <c r="B180" s="1898" t="s">
        <v>1</v>
      </c>
      <c r="C180" s="1898"/>
      <c r="D180" s="1898"/>
      <c r="E180" s="1898"/>
      <c r="F180" s="1581" t="s">
        <v>272</v>
      </c>
      <c r="G180" s="1581" t="s">
        <v>248</v>
      </c>
      <c r="H180" s="1581" t="s">
        <v>251</v>
      </c>
      <c r="I180" s="1588" t="s">
        <v>268</v>
      </c>
      <c r="J180" s="1588" t="s">
        <v>256</v>
      </c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:28" ht="48.75" hidden="1" customHeight="1" x14ac:dyDescent="0.25">
      <c r="A181" s="1630">
        <v>1</v>
      </c>
      <c r="B181" s="1909" t="s">
        <v>877</v>
      </c>
      <c r="C181" s="1909"/>
      <c r="D181" s="1909"/>
      <c r="E181" s="1909"/>
      <c r="F181" s="1581" t="s">
        <v>108</v>
      </c>
      <c r="G181" s="59"/>
      <c r="H181" s="59"/>
      <c r="I181" s="1588"/>
      <c r="J181" s="1588">
        <f>G181*H181*I181</f>
        <v>0</v>
      </c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:28" hidden="1" x14ac:dyDescent="0.25">
      <c r="A182" s="1946" t="s">
        <v>39</v>
      </c>
      <c r="B182" s="1947"/>
      <c r="C182" s="1947"/>
      <c r="D182" s="1947"/>
      <c r="E182" s="1947"/>
      <c r="F182" s="1947"/>
      <c r="G182" s="1947"/>
      <c r="H182" s="1947"/>
      <c r="I182" s="1948"/>
      <c r="J182" s="1589">
        <f>SUM(J181:J181)</f>
        <v>0</v>
      </c>
      <c r="K182" s="61">
        <v>78078.070000000007</v>
      </c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:28" ht="0.75" hidden="1" customHeight="1" x14ac:dyDescent="0.25"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hidden="1" x14ac:dyDescent="0.25"/>
    <row r="185" spans="1:28" hidden="1" x14ac:dyDescent="0.25">
      <c r="A185" s="1645" t="s">
        <v>63</v>
      </c>
      <c r="B185" s="72"/>
      <c r="C185" s="75"/>
      <c r="D185" s="75"/>
      <c r="E185" s="71" t="s">
        <v>70</v>
      </c>
      <c r="J185" s="85">
        <f>J186</f>
        <v>0</v>
      </c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:28" hidden="1" x14ac:dyDescent="0.25">
      <c r="A186" s="1645" t="s">
        <v>26</v>
      </c>
      <c r="B186" s="72"/>
      <c r="C186" s="75"/>
      <c r="D186" s="75"/>
      <c r="E186" s="71" t="s">
        <v>693</v>
      </c>
      <c r="J186" s="85">
        <f>J196+J207+J217</f>
        <v>0</v>
      </c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8" hidden="1" x14ac:dyDescent="0.25">
      <c r="A187" s="1645" t="s">
        <v>27</v>
      </c>
      <c r="B187" s="72"/>
      <c r="C187" s="75"/>
      <c r="D187" s="75"/>
      <c r="E187" s="71" t="s">
        <v>91</v>
      </c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:28" hidden="1" x14ac:dyDescent="0.25">
      <c r="A188" s="1" t="s">
        <v>1140</v>
      </c>
      <c r="B188" s="1"/>
      <c r="C188" s="1"/>
      <c r="D188" s="1"/>
      <c r="E188" s="1"/>
      <c r="F188" s="1"/>
      <c r="G188" s="1"/>
      <c r="H188" s="4"/>
      <c r="I188" s="4"/>
      <c r="J188" s="4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1:28" hidden="1" x14ac:dyDescent="0.25">
      <c r="A189" s="1898" t="s">
        <v>8</v>
      </c>
      <c r="B189" s="1898" t="s">
        <v>35</v>
      </c>
      <c r="C189" s="1898"/>
      <c r="D189" s="1898"/>
      <c r="E189" s="1898"/>
      <c r="F189" s="1898"/>
      <c r="G189" s="1898" t="s">
        <v>735</v>
      </c>
      <c r="H189" s="1898"/>
      <c r="I189" s="1898"/>
      <c r="J189" s="1898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</row>
    <row r="190" spans="1:28" ht="45" hidden="1" x14ac:dyDescent="0.25">
      <c r="A190" s="1898"/>
      <c r="B190" s="1898"/>
      <c r="C190" s="1898"/>
      <c r="D190" s="1898"/>
      <c r="E190" s="1898"/>
      <c r="F190" s="1898"/>
      <c r="G190" s="1581" t="s">
        <v>1141</v>
      </c>
      <c r="H190" s="1581" t="s">
        <v>1142</v>
      </c>
      <c r="I190" s="1581" t="s">
        <v>1143</v>
      </c>
      <c r="J190" s="1581" t="s">
        <v>256</v>
      </c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1:28" hidden="1" x14ac:dyDescent="0.25">
      <c r="A191" s="1902" t="s">
        <v>1144</v>
      </c>
      <c r="B191" s="1903"/>
      <c r="C191" s="1903"/>
      <c r="D191" s="1903"/>
      <c r="E191" s="1903"/>
      <c r="F191" s="1903"/>
      <c r="G191" s="1903"/>
      <c r="H191" s="1903"/>
      <c r="I191" s="1903"/>
      <c r="J191" s="1904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</row>
    <row r="192" spans="1:28" ht="29.25" hidden="1" customHeight="1" x14ac:dyDescent="0.25">
      <c r="A192" s="1905">
        <v>1</v>
      </c>
      <c r="B192" s="1909" t="s">
        <v>1145</v>
      </c>
      <c r="C192" s="1910"/>
      <c r="D192" s="1910"/>
      <c r="E192" s="1910"/>
      <c r="F192" s="1910"/>
      <c r="G192" s="1652"/>
      <c r="H192" s="59"/>
      <c r="I192" s="1588">
        <v>117</v>
      </c>
      <c r="J192" s="1588">
        <f>H192*I192</f>
        <v>0</v>
      </c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</row>
    <row r="193" spans="1:28" ht="30" hidden="1" customHeight="1" x14ac:dyDescent="0.25">
      <c r="A193" s="1906"/>
      <c r="B193" s="1909" t="s">
        <v>1146</v>
      </c>
      <c r="C193" s="1910"/>
      <c r="D193" s="1910"/>
      <c r="E193" s="1910"/>
      <c r="F193" s="1910"/>
      <c r="G193" s="1652"/>
      <c r="H193" s="59"/>
      <c r="I193" s="1588">
        <v>117</v>
      </c>
      <c r="J193" s="1588">
        <f>H193*I193</f>
        <v>0</v>
      </c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</row>
    <row r="194" spans="1:28" hidden="1" x14ac:dyDescent="0.25">
      <c r="A194" s="1895" t="s">
        <v>39</v>
      </c>
      <c r="B194" s="1895"/>
      <c r="C194" s="1895"/>
      <c r="D194" s="1895"/>
      <c r="E194" s="1895"/>
      <c r="F194" s="1895"/>
      <c r="G194" s="1895"/>
      <c r="H194" s="1895"/>
      <c r="I194" s="1895"/>
      <c r="J194" s="1589">
        <f>SUM(J192:J193)</f>
        <v>0</v>
      </c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</row>
    <row r="195" spans="1:28" ht="14.25" hidden="1" customHeight="1" x14ac:dyDescent="0.25">
      <c r="A195" s="1924" t="s">
        <v>514</v>
      </c>
      <c r="B195" s="1925"/>
      <c r="C195" s="1925"/>
      <c r="D195" s="1925"/>
      <c r="E195" s="1925"/>
      <c r="F195" s="1925"/>
      <c r="G195" s="1925"/>
      <c r="H195" s="1925"/>
      <c r="I195" s="1925"/>
      <c r="J195" s="1925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</row>
    <row r="196" spans="1:28" ht="14.25" hidden="1" customHeight="1" x14ac:dyDescent="0.25">
      <c r="A196" s="1913" t="s">
        <v>1134</v>
      </c>
      <c r="B196" s="1913"/>
      <c r="C196" s="1913"/>
      <c r="D196" s="1913"/>
      <c r="E196" s="1913"/>
      <c r="F196" s="1913"/>
      <c r="G196" s="1913"/>
      <c r="H196" s="1913"/>
      <c r="I196" s="1913"/>
      <c r="J196" s="1594"/>
      <c r="K196" s="344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</row>
    <row r="197" spans="1:28" ht="14.25" hidden="1" customHeight="1" x14ac:dyDescent="0.25">
      <c r="A197" s="1913" t="s">
        <v>153</v>
      </c>
      <c r="B197" s="1913"/>
      <c r="C197" s="1913"/>
      <c r="D197" s="1913"/>
      <c r="E197" s="1913"/>
      <c r="F197" s="1913"/>
      <c r="G197" s="1913"/>
      <c r="H197" s="1913"/>
      <c r="I197" s="1913"/>
      <c r="J197" s="1594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</row>
    <row r="198" spans="1:28" ht="14.25" hidden="1" customHeight="1" x14ac:dyDescent="0.25">
      <c r="A198" s="1891" t="s">
        <v>619</v>
      </c>
      <c r="B198" s="1891"/>
      <c r="C198" s="1891"/>
      <c r="D198" s="1891"/>
      <c r="E198" s="1891"/>
      <c r="F198" s="1891"/>
      <c r="G198" s="1891"/>
      <c r="H198" s="1891"/>
      <c r="I198" s="1891"/>
      <c r="J198" s="1588"/>
      <c r="K198" s="344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</row>
    <row r="199" spans="1:28" ht="14.25" hidden="1" customHeight="1" x14ac:dyDescent="0.25">
      <c r="A199" s="1891" t="s">
        <v>1147</v>
      </c>
      <c r="B199" s="1891"/>
      <c r="C199" s="1891"/>
      <c r="D199" s="1891"/>
      <c r="E199" s="1891"/>
      <c r="F199" s="1891"/>
      <c r="G199" s="1891"/>
      <c r="H199" s="1891"/>
      <c r="I199" s="1891"/>
      <c r="J199" s="360">
        <f>J194-J196-J197-J198</f>
        <v>0</v>
      </c>
      <c r="K199" s="344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</row>
    <row r="200" spans="1:28" ht="14.25" hidden="1" customHeight="1" x14ac:dyDescent="0.25">
      <c r="A200" s="1635"/>
      <c r="B200" s="1635"/>
      <c r="C200" s="1635"/>
      <c r="D200" s="1635"/>
      <c r="E200" s="1635"/>
      <c r="F200" s="1635"/>
      <c r="G200" s="1635"/>
      <c r="H200" s="1635"/>
      <c r="I200" s="1635"/>
      <c r="J200" s="98"/>
      <c r="K200" s="344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</row>
    <row r="201" spans="1:28" hidden="1" x14ac:dyDescent="0.25">
      <c r="A201" s="1644" t="s">
        <v>310</v>
      </c>
      <c r="G201" s="60"/>
      <c r="H201" s="69"/>
      <c r="J201" s="1660"/>
    </row>
    <row r="202" spans="1:28" ht="15" hidden="1" customHeight="1" x14ac:dyDescent="0.25">
      <c r="A202" s="1914" t="s">
        <v>35</v>
      </c>
      <c r="B202" s="1915"/>
      <c r="C202" s="1915"/>
      <c r="D202" s="1916"/>
      <c r="E202" s="1915"/>
      <c r="F202" s="1917"/>
      <c r="G202" s="1898" t="s">
        <v>61</v>
      </c>
      <c r="H202" s="1899" t="s">
        <v>735</v>
      </c>
      <c r="I202" s="1900"/>
      <c r="J202" s="1901"/>
    </row>
    <row r="203" spans="1:28" ht="36" hidden="1" customHeight="1" x14ac:dyDescent="0.25">
      <c r="A203" s="1918"/>
      <c r="B203" s="1919"/>
      <c r="C203" s="1919"/>
      <c r="D203" s="1919"/>
      <c r="E203" s="1919"/>
      <c r="F203" s="1920"/>
      <c r="G203" s="1898"/>
      <c r="H203" s="1581" t="s">
        <v>248</v>
      </c>
      <c r="I203" s="1588" t="s">
        <v>264</v>
      </c>
      <c r="J203" s="1588" t="s">
        <v>256</v>
      </c>
    </row>
    <row r="204" spans="1:28" ht="30" hidden="1" customHeight="1" x14ac:dyDescent="0.25">
      <c r="A204" s="1921" t="s">
        <v>1138</v>
      </c>
      <c r="B204" s="1922"/>
      <c r="C204" s="1922"/>
      <c r="D204" s="1922"/>
      <c r="E204" s="1922"/>
      <c r="F204" s="1923"/>
      <c r="G204" s="1588" t="s">
        <v>108</v>
      </c>
      <c r="H204" s="59"/>
      <c r="I204" s="1588">
        <v>5000</v>
      </c>
      <c r="J204" s="1588">
        <f>H204*I204</f>
        <v>0</v>
      </c>
    </row>
    <row r="205" spans="1:28" hidden="1" x14ac:dyDescent="0.25">
      <c r="A205" s="1895" t="s">
        <v>39</v>
      </c>
      <c r="B205" s="1895"/>
      <c r="C205" s="1895"/>
      <c r="D205" s="1895"/>
      <c r="E205" s="1895"/>
      <c r="F205" s="1895"/>
      <c r="G205" s="1895"/>
      <c r="H205" s="1895"/>
      <c r="I205" s="1895"/>
      <c r="J205" s="1589">
        <f>SUM(J204:J204)</f>
        <v>0</v>
      </c>
    </row>
    <row r="206" spans="1:28" ht="15" hidden="1" customHeight="1" x14ac:dyDescent="0.25">
      <c r="A206" s="1924" t="s">
        <v>514</v>
      </c>
      <c r="B206" s="1925"/>
      <c r="C206" s="1925"/>
      <c r="D206" s="1925"/>
      <c r="E206" s="1925"/>
      <c r="F206" s="1925"/>
      <c r="G206" s="1925"/>
      <c r="H206" s="1925"/>
      <c r="I206" s="1925"/>
      <c r="J206" s="1925"/>
      <c r="K206" s="355"/>
      <c r="L206" s="340"/>
    </row>
    <row r="207" spans="1:28" hidden="1" x14ac:dyDescent="0.25">
      <c r="A207" s="1913" t="s">
        <v>1134</v>
      </c>
      <c r="B207" s="1913"/>
      <c r="C207" s="1913"/>
      <c r="D207" s="1913"/>
      <c r="E207" s="1913"/>
      <c r="F207" s="1913"/>
      <c r="G207" s="1913"/>
      <c r="H207" s="1913"/>
      <c r="I207" s="1913"/>
      <c r="J207" s="1594"/>
      <c r="K207" s="344"/>
      <c r="L207" s="1661"/>
    </row>
    <row r="208" spans="1:28" hidden="1" x14ac:dyDescent="0.25">
      <c r="A208" s="1913" t="s">
        <v>153</v>
      </c>
      <c r="B208" s="1913"/>
      <c r="C208" s="1913"/>
      <c r="D208" s="1913"/>
      <c r="E208" s="1913"/>
      <c r="F208" s="1913"/>
      <c r="G208" s="1913"/>
      <c r="H208" s="1913"/>
      <c r="I208" s="1913"/>
      <c r="J208" s="1594"/>
      <c r="K208" s="344"/>
      <c r="L208" s="1661"/>
    </row>
    <row r="209" spans="1:28" hidden="1" x14ac:dyDescent="0.25">
      <c r="A209" s="1891" t="s">
        <v>619</v>
      </c>
      <c r="B209" s="1891"/>
      <c r="C209" s="1891"/>
      <c r="D209" s="1891"/>
      <c r="E209" s="1891"/>
      <c r="F209" s="1891"/>
      <c r="G209" s="1891"/>
      <c r="H209" s="1891"/>
      <c r="I209" s="1891"/>
      <c r="J209" s="1588">
        <f>J205-J207-J208</f>
        <v>0</v>
      </c>
    </row>
    <row r="210" spans="1:28" hidden="1" x14ac:dyDescent="0.25">
      <c r="A210" s="1635"/>
      <c r="B210" s="1635"/>
      <c r="C210" s="1635"/>
      <c r="D210" s="1635"/>
      <c r="E210" s="1635"/>
      <c r="F210" s="1635"/>
      <c r="G210" s="1635"/>
      <c r="H210" s="1635"/>
      <c r="I210" s="1635"/>
      <c r="J210" s="98"/>
    </row>
    <row r="211" spans="1:28" hidden="1" x14ac:dyDescent="0.25">
      <c r="A211" s="1644" t="s">
        <v>310</v>
      </c>
      <c r="G211" s="60"/>
      <c r="H211" s="69"/>
      <c r="J211" s="1660"/>
    </row>
    <row r="212" spans="1:28" ht="15" hidden="1" customHeight="1" x14ac:dyDescent="0.25">
      <c r="A212" s="1914" t="s">
        <v>35</v>
      </c>
      <c r="B212" s="1915"/>
      <c r="C212" s="1915"/>
      <c r="D212" s="1916"/>
      <c r="E212" s="1915"/>
      <c r="F212" s="1917"/>
      <c r="G212" s="1898" t="s">
        <v>61</v>
      </c>
      <c r="H212" s="1899" t="s">
        <v>735</v>
      </c>
      <c r="I212" s="1900"/>
      <c r="J212" s="1901"/>
    </row>
    <row r="213" spans="1:28" ht="32.25" hidden="1" customHeight="1" x14ac:dyDescent="0.25">
      <c r="A213" s="1918"/>
      <c r="B213" s="1919"/>
      <c r="C213" s="1919"/>
      <c r="D213" s="1919"/>
      <c r="E213" s="1919"/>
      <c r="F213" s="1920"/>
      <c r="G213" s="1898"/>
      <c r="H213" s="1581" t="s">
        <v>248</v>
      </c>
      <c r="I213" s="1588" t="s">
        <v>264</v>
      </c>
      <c r="J213" s="1588" t="s">
        <v>256</v>
      </c>
    </row>
    <row r="214" spans="1:28" ht="30.75" hidden="1" customHeight="1" x14ac:dyDescent="0.25">
      <c r="A214" s="1921" t="s">
        <v>1139</v>
      </c>
      <c r="B214" s="1922"/>
      <c r="C214" s="1922"/>
      <c r="D214" s="1922"/>
      <c r="E214" s="1922"/>
      <c r="F214" s="1923"/>
      <c r="G214" s="1588" t="s">
        <v>108</v>
      </c>
      <c r="H214" s="59"/>
      <c r="I214" s="1588">
        <v>6000</v>
      </c>
      <c r="J214" s="1588">
        <f>H214*I214</f>
        <v>0</v>
      </c>
    </row>
    <row r="215" spans="1:28" hidden="1" x14ac:dyDescent="0.25">
      <c r="A215" s="1895" t="s">
        <v>39</v>
      </c>
      <c r="B215" s="1895"/>
      <c r="C215" s="1895"/>
      <c r="D215" s="1895"/>
      <c r="E215" s="1895"/>
      <c r="F215" s="1895"/>
      <c r="G215" s="1895"/>
      <c r="H215" s="1895"/>
      <c r="I215" s="1895"/>
      <c r="J215" s="1589">
        <f>SUM(J214:J214)</f>
        <v>0</v>
      </c>
    </row>
    <row r="216" spans="1:28" ht="15" hidden="1" customHeight="1" x14ac:dyDescent="0.25">
      <c r="A216" s="1924" t="s">
        <v>514</v>
      </c>
      <c r="B216" s="1925"/>
      <c r="C216" s="1925"/>
      <c r="D216" s="1925"/>
      <c r="E216" s="1925"/>
      <c r="F216" s="1925"/>
      <c r="G216" s="1925"/>
      <c r="H216" s="1925"/>
      <c r="I216" s="1925"/>
      <c r="J216" s="1925"/>
      <c r="K216" s="355"/>
      <c r="L216" s="340"/>
    </row>
    <row r="217" spans="1:28" hidden="1" x14ac:dyDescent="0.25">
      <c r="A217" s="1913" t="s">
        <v>1134</v>
      </c>
      <c r="B217" s="1913"/>
      <c r="C217" s="1913"/>
      <c r="D217" s="1913"/>
      <c r="E217" s="1913"/>
      <c r="F217" s="1913"/>
      <c r="G217" s="1913"/>
      <c r="H217" s="1913"/>
      <c r="I217" s="1913"/>
      <c r="J217" s="1594"/>
      <c r="K217" s="344"/>
      <c r="L217" s="1661"/>
    </row>
    <row r="218" spans="1:28" hidden="1" x14ac:dyDescent="0.25">
      <c r="A218" s="1913" t="s">
        <v>153</v>
      </c>
      <c r="B218" s="1913"/>
      <c r="C218" s="1913"/>
      <c r="D218" s="1913"/>
      <c r="E218" s="1913"/>
      <c r="F218" s="1913"/>
      <c r="G218" s="1913"/>
      <c r="H218" s="1913"/>
      <c r="I218" s="1913"/>
      <c r="J218" s="1594"/>
      <c r="K218" s="344"/>
      <c r="L218" s="1661"/>
    </row>
    <row r="219" spans="1:28" hidden="1" x14ac:dyDescent="0.25">
      <c r="A219" s="1891" t="s">
        <v>619</v>
      </c>
      <c r="B219" s="1891"/>
      <c r="C219" s="1891"/>
      <c r="D219" s="1891"/>
      <c r="E219" s="1891"/>
      <c r="F219" s="1891"/>
      <c r="G219" s="1891"/>
      <c r="H219" s="1891"/>
      <c r="I219" s="1891"/>
      <c r="J219" s="1588">
        <f>J215-J217-J218</f>
        <v>0</v>
      </c>
    </row>
    <row r="220" spans="1:28" ht="14.25" hidden="1" customHeight="1" x14ac:dyDescent="0.25">
      <c r="K220" s="718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</row>
    <row r="221" spans="1:28" hidden="1" x14ac:dyDescent="0.25">
      <c r="A221" s="1645" t="s">
        <v>147</v>
      </c>
      <c r="B221" s="1645"/>
      <c r="C221" s="1645"/>
      <c r="D221" s="1645"/>
      <c r="E221" s="86" t="s">
        <v>1725</v>
      </c>
      <c r="J221" s="85">
        <f>J223</f>
        <v>0</v>
      </c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</row>
    <row r="222" spans="1:28" hidden="1" x14ac:dyDescent="0.25">
      <c r="A222" s="63"/>
      <c r="B222" s="63"/>
      <c r="C222" s="63"/>
      <c r="D222" s="63"/>
      <c r="E222" s="63"/>
      <c r="F222" s="63"/>
      <c r="G222" s="64"/>
      <c r="H222" s="64"/>
      <c r="I222" s="64"/>
      <c r="J222" s="64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</row>
    <row r="223" spans="1:28" hidden="1" x14ac:dyDescent="0.25">
      <c r="A223" s="1645" t="s">
        <v>63</v>
      </c>
      <c r="B223" s="72"/>
      <c r="C223" s="61"/>
      <c r="D223" s="61"/>
      <c r="E223" s="71" t="s">
        <v>77</v>
      </c>
      <c r="J223" s="85">
        <f>J224</f>
        <v>0</v>
      </c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</row>
    <row r="224" spans="1:28" hidden="1" x14ac:dyDescent="0.25">
      <c r="A224" s="1645" t="s">
        <v>26</v>
      </c>
      <c r="B224" s="72"/>
      <c r="C224" s="61"/>
      <c r="D224" s="61"/>
      <c r="E224" s="71" t="s">
        <v>693</v>
      </c>
      <c r="J224" s="85">
        <f>J230</f>
        <v>0</v>
      </c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</row>
    <row r="225" spans="1:28" hidden="1" x14ac:dyDescent="0.25">
      <c r="A225" s="1645" t="s">
        <v>27</v>
      </c>
      <c r="B225" s="72"/>
      <c r="C225" s="61"/>
      <c r="D225" s="61"/>
      <c r="E225" s="71" t="s">
        <v>1477</v>
      </c>
      <c r="K225" s="87"/>
      <c r="M225" s="354"/>
      <c r="N225" s="354"/>
      <c r="O225" s="354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</row>
    <row r="226" spans="1:28" hidden="1" x14ac:dyDescent="0.25">
      <c r="A226" s="1644" t="s">
        <v>306</v>
      </c>
      <c r="K226" s="354"/>
      <c r="L226" s="714"/>
      <c r="M226" s="1662"/>
      <c r="N226" s="355"/>
      <c r="O226" s="354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</row>
    <row r="227" spans="1:28" ht="15" hidden="1" customHeight="1" x14ac:dyDescent="0.25">
      <c r="A227" s="1898" t="s">
        <v>8</v>
      </c>
      <c r="B227" s="1926" t="s">
        <v>1</v>
      </c>
      <c r="C227" s="1927"/>
      <c r="D227" s="1927"/>
      <c r="E227" s="1927"/>
      <c r="F227" s="1928" t="s">
        <v>1664</v>
      </c>
      <c r="G227" s="1899" t="s">
        <v>1476</v>
      </c>
      <c r="H227" s="1911"/>
      <c r="I227" s="1911"/>
      <c r="J227" s="1912"/>
      <c r="K227" s="87"/>
      <c r="L227" s="714"/>
      <c r="M227" s="1662"/>
      <c r="N227" s="354"/>
      <c r="O227" s="354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</row>
    <row r="228" spans="1:28" ht="45" hidden="1" x14ac:dyDescent="0.25">
      <c r="A228" s="1898"/>
      <c r="B228" s="1927"/>
      <c r="C228" s="1927"/>
      <c r="D228" s="1927"/>
      <c r="E228" s="1927"/>
      <c r="F228" s="1906"/>
      <c r="G228" s="1581" t="s">
        <v>515</v>
      </c>
      <c r="H228" s="1581" t="s">
        <v>55</v>
      </c>
      <c r="I228" s="1588" t="s">
        <v>265</v>
      </c>
      <c r="J228" s="1588" t="s">
        <v>256</v>
      </c>
      <c r="K228" s="87"/>
      <c r="L228" s="714"/>
      <c r="M228" s="1662"/>
      <c r="N228" s="354"/>
      <c r="O228" s="354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</row>
    <row r="229" spans="1:28" ht="29.25" hidden="1" customHeight="1" x14ac:dyDescent="0.25">
      <c r="A229" s="1630">
        <v>1</v>
      </c>
      <c r="B229" s="1929" t="s">
        <v>83</v>
      </c>
      <c r="C229" s="1930"/>
      <c r="D229" s="1930"/>
      <c r="E229" s="1930"/>
      <c r="F229" s="1175" t="s">
        <v>1673</v>
      </c>
      <c r="G229" s="1640" t="s">
        <v>1479</v>
      </c>
      <c r="H229" s="103"/>
      <c r="I229" s="875">
        <v>8.0115239999999996</v>
      </c>
      <c r="J229" s="1588">
        <f>H229*I229</f>
        <v>0</v>
      </c>
      <c r="K229" s="87"/>
      <c r="L229" s="1663"/>
      <c r="M229" s="1662"/>
      <c r="N229" s="354"/>
      <c r="O229" s="354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</row>
    <row r="230" spans="1:28" hidden="1" x14ac:dyDescent="0.25">
      <c r="A230" s="1944" t="s">
        <v>39</v>
      </c>
      <c r="B230" s="1945"/>
      <c r="C230" s="1945"/>
      <c r="D230" s="1945"/>
      <c r="E230" s="1945"/>
      <c r="F230" s="1945"/>
      <c r="G230" s="1912" t="s">
        <v>82</v>
      </c>
      <c r="H230" s="1664">
        <f>SUM(H229:H229)</f>
        <v>0</v>
      </c>
      <c r="I230" s="1589" t="s">
        <v>82</v>
      </c>
      <c r="J230" s="1589">
        <f>SUM(J229:J229)</f>
        <v>0</v>
      </c>
      <c r="K230" s="87"/>
      <c r="L230" s="87"/>
      <c r="M230" s="354"/>
      <c r="N230" s="354"/>
      <c r="O230" s="354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</row>
    <row r="231" spans="1:28" hidden="1" x14ac:dyDescent="0.25">
      <c r="A231" s="1387"/>
      <c r="B231" s="1387"/>
      <c r="C231" s="1387"/>
      <c r="D231" s="1387"/>
      <c r="E231" s="1387"/>
      <c r="F231" s="1387"/>
      <c r="G231" s="1387"/>
      <c r="H231" s="1387"/>
      <c r="I231" s="1387"/>
      <c r="J231" s="782"/>
      <c r="K231" s="87"/>
      <c r="L231" s="87"/>
      <c r="M231" s="354"/>
      <c r="N231" s="354"/>
      <c r="O231" s="354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</row>
    <row r="232" spans="1:28" s="70" customFormat="1" ht="15" hidden="1" customHeight="1" x14ac:dyDescent="0.25">
      <c r="A232" s="1898" t="s">
        <v>8</v>
      </c>
      <c r="B232" s="1898" t="s">
        <v>35</v>
      </c>
      <c r="C232" s="1898"/>
      <c r="D232" s="1898"/>
      <c r="E232" s="1898"/>
      <c r="F232" s="1898"/>
      <c r="G232" s="1898" t="s">
        <v>61</v>
      </c>
      <c r="H232" s="1899" t="s">
        <v>843</v>
      </c>
      <c r="I232" s="1900"/>
      <c r="J232" s="1901"/>
      <c r="K232" s="61" t="s">
        <v>371</v>
      </c>
    </row>
    <row r="233" spans="1:28" s="70" customFormat="1" ht="30" hidden="1" x14ac:dyDescent="0.25">
      <c r="A233" s="1898"/>
      <c r="B233" s="1898"/>
      <c r="C233" s="1898"/>
      <c r="D233" s="1898"/>
      <c r="E233" s="1898"/>
      <c r="F233" s="1898"/>
      <c r="G233" s="1898"/>
      <c r="H233" s="1581" t="s">
        <v>248</v>
      </c>
      <c r="I233" s="1588" t="s">
        <v>264</v>
      </c>
      <c r="J233" s="1588" t="s">
        <v>256</v>
      </c>
      <c r="K233" s="81"/>
    </row>
    <row r="234" spans="1:28" s="70" customFormat="1" hidden="1" x14ac:dyDescent="0.25">
      <c r="A234" s="1630">
        <v>1</v>
      </c>
      <c r="B234" s="1909" t="s">
        <v>878</v>
      </c>
      <c r="C234" s="1909"/>
      <c r="D234" s="1909"/>
      <c r="E234" s="1909"/>
      <c r="F234" s="1909"/>
      <c r="G234" s="1588" t="s">
        <v>88</v>
      </c>
      <c r="H234" s="59">
        <v>12</v>
      </c>
      <c r="I234" s="1588">
        <v>16104</v>
      </c>
      <c r="J234" s="1588"/>
      <c r="K234" s="81"/>
    </row>
    <row r="235" spans="1:28" s="70" customFormat="1" hidden="1" x14ac:dyDescent="0.25">
      <c r="A235" s="1630">
        <v>2</v>
      </c>
      <c r="B235" s="1909" t="s">
        <v>87</v>
      </c>
      <c r="C235" s="1909"/>
      <c r="D235" s="1909"/>
      <c r="E235" s="1909"/>
      <c r="F235" s="1909"/>
      <c r="G235" s="1588" t="s">
        <v>298</v>
      </c>
      <c r="H235" s="59">
        <v>248</v>
      </c>
      <c r="I235" s="1588">
        <v>130.25</v>
      </c>
      <c r="J235" s="1588"/>
      <c r="K235" s="81"/>
    </row>
    <row r="236" spans="1:28" s="70" customFormat="1" hidden="1" x14ac:dyDescent="0.25">
      <c r="A236" s="1895" t="s">
        <v>39</v>
      </c>
      <c r="B236" s="1895"/>
      <c r="C236" s="1895"/>
      <c r="D236" s="1895"/>
      <c r="E236" s="1895"/>
      <c r="F236" s="1895"/>
      <c r="G236" s="1895"/>
      <c r="H236" s="1589" t="s">
        <v>5</v>
      </c>
      <c r="I236" s="1589" t="s">
        <v>5</v>
      </c>
      <c r="J236" s="1589">
        <f>SUM(J234:J235)</f>
        <v>0</v>
      </c>
      <c r="K236" s="81"/>
    </row>
    <row r="237" spans="1:28" hidden="1" x14ac:dyDescent="0.25"/>
    <row r="238" spans="1:28" s="70" customFormat="1" hidden="1" x14ac:dyDescent="0.25">
      <c r="A238" s="1644" t="s">
        <v>318</v>
      </c>
      <c r="B238" s="1644"/>
      <c r="C238" s="1644"/>
      <c r="D238" s="1644"/>
      <c r="E238" s="1644"/>
      <c r="F238" s="1644"/>
      <c r="G238" s="1644"/>
      <c r="H238" s="60"/>
      <c r="I238" s="69"/>
      <c r="J238" s="69"/>
      <c r="K238" s="81"/>
    </row>
    <row r="239" spans="1:28" s="70" customFormat="1" hidden="1" x14ac:dyDescent="0.25">
      <c r="A239" s="1898" t="s">
        <v>8</v>
      </c>
      <c r="B239" s="1898" t="s">
        <v>35</v>
      </c>
      <c r="C239" s="1898"/>
      <c r="D239" s="1898"/>
      <c r="E239" s="1898"/>
      <c r="F239" s="1898"/>
      <c r="G239" s="1898" t="s">
        <v>61</v>
      </c>
      <c r="H239" s="1899" t="s">
        <v>843</v>
      </c>
      <c r="I239" s="1900"/>
      <c r="J239" s="1901"/>
      <c r="K239" s="61"/>
    </row>
    <row r="240" spans="1:28" s="70" customFormat="1" ht="30" hidden="1" x14ac:dyDescent="0.25">
      <c r="A240" s="1898"/>
      <c r="B240" s="1898"/>
      <c r="C240" s="1898"/>
      <c r="D240" s="1898"/>
      <c r="E240" s="1898"/>
      <c r="F240" s="1898"/>
      <c r="G240" s="1898"/>
      <c r="H240" s="1581" t="s">
        <v>248</v>
      </c>
      <c r="I240" s="1588" t="s">
        <v>264</v>
      </c>
      <c r="J240" s="1588" t="s">
        <v>256</v>
      </c>
      <c r="K240" s="81"/>
    </row>
    <row r="241" spans="1:28" s="70" customFormat="1" hidden="1" x14ac:dyDescent="0.25">
      <c r="A241" s="1630">
        <v>1</v>
      </c>
      <c r="B241" s="1909" t="s">
        <v>522</v>
      </c>
      <c r="C241" s="1909"/>
      <c r="D241" s="1909"/>
      <c r="E241" s="1909"/>
      <c r="F241" s="1909"/>
      <c r="G241" s="1588" t="s">
        <v>299</v>
      </c>
      <c r="H241" s="59">
        <v>205</v>
      </c>
      <c r="I241" s="1588">
        <v>2914</v>
      </c>
      <c r="J241" s="1588"/>
      <c r="K241" s="61" t="s">
        <v>879</v>
      </c>
    </row>
    <row r="242" spans="1:28" ht="15" hidden="1" customHeight="1" x14ac:dyDescent="0.25">
      <c r="A242" s="1630">
        <v>2</v>
      </c>
      <c r="B242" s="1909" t="s">
        <v>300</v>
      </c>
      <c r="C242" s="1909"/>
      <c r="D242" s="1909"/>
      <c r="E242" s="1909"/>
      <c r="F242" s="1909"/>
      <c r="G242" s="1588" t="s">
        <v>299</v>
      </c>
      <c r="H242" s="59">
        <v>80</v>
      </c>
      <c r="I242" s="1588">
        <v>324.10000000000002</v>
      </c>
      <c r="J242" s="1588"/>
      <c r="K242" s="61" t="s">
        <v>371</v>
      </c>
    </row>
    <row r="243" spans="1:28" hidden="1" x14ac:dyDescent="0.25">
      <c r="A243" s="1895" t="s">
        <v>39</v>
      </c>
      <c r="B243" s="1895"/>
      <c r="C243" s="1895"/>
      <c r="D243" s="1895"/>
      <c r="E243" s="1895"/>
      <c r="F243" s="1895"/>
      <c r="G243" s="1895"/>
      <c r="H243" s="1589" t="s">
        <v>5</v>
      </c>
      <c r="I243" s="1589" t="s">
        <v>5</v>
      </c>
      <c r="J243" s="1589">
        <f>SUM(J241:J242)</f>
        <v>0</v>
      </c>
    </row>
    <row r="244" spans="1:28" hidden="1" x14ac:dyDescent="0.25">
      <c r="A244" s="1940" t="s">
        <v>30</v>
      </c>
      <c r="B244" s="1941"/>
      <c r="C244" s="1941"/>
      <c r="D244" s="1941"/>
      <c r="E244" s="1941"/>
      <c r="F244" s="1941"/>
      <c r="G244" s="1941"/>
      <c r="H244" s="1941"/>
      <c r="I244" s="1942"/>
      <c r="J244" s="658"/>
      <c r="K244" s="102"/>
      <c r="L244" s="102"/>
      <c r="M244" s="2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</row>
    <row r="245" spans="1:28" hidden="1" x14ac:dyDescent="0.25">
      <c r="A245" s="1939" t="s">
        <v>153</v>
      </c>
      <c r="B245" s="1939"/>
      <c r="C245" s="1939"/>
      <c r="D245" s="1939"/>
      <c r="E245" s="1939"/>
      <c r="F245" s="1939"/>
      <c r="G245" s="1939"/>
      <c r="H245" s="1939"/>
      <c r="I245" s="1939"/>
      <c r="J245" s="658">
        <f>J243-J247</f>
        <v>0</v>
      </c>
    </row>
    <row r="246" spans="1:28" hidden="1" x14ac:dyDescent="0.25">
      <c r="A246" s="1939" t="s">
        <v>154</v>
      </c>
      <c r="B246" s="1939"/>
      <c r="C246" s="1939"/>
      <c r="D246" s="1939"/>
      <c r="E246" s="1939"/>
      <c r="F246" s="1939"/>
      <c r="G246" s="1939"/>
      <c r="H246" s="1939"/>
      <c r="I246" s="1939"/>
      <c r="J246" s="80"/>
    </row>
    <row r="247" spans="1:28" ht="15" hidden="1" customHeight="1" x14ac:dyDescent="0.25">
      <c r="A247" s="1939" t="s">
        <v>155</v>
      </c>
      <c r="B247" s="1939"/>
      <c r="C247" s="1939"/>
      <c r="D247" s="1939"/>
      <c r="E247" s="1939"/>
      <c r="F247" s="1939"/>
      <c r="G247" s="1939"/>
      <c r="H247" s="1939"/>
      <c r="I247" s="1939"/>
      <c r="J247" s="80"/>
    </row>
    <row r="248" spans="1:28" hidden="1" x14ac:dyDescent="0.25">
      <c r="A248" s="63"/>
      <c r="B248" s="63"/>
      <c r="C248" s="63"/>
      <c r="D248" s="63"/>
      <c r="E248" s="63"/>
      <c r="F248" s="63"/>
      <c r="G248" s="63"/>
      <c r="H248" s="64"/>
      <c r="I248" s="64"/>
      <c r="J248" s="64"/>
    </row>
    <row r="249" spans="1:28" hidden="1" x14ac:dyDescent="0.25">
      <c r="A249" s="1943" t="s">
        <v>880</v>
      </c>
      <c r="B249" s="1943"/>
      <c r="C249" s="1943"/>
      <c r="D249" s="1943"/>
      <c r="E249" s="1943"/>
      <c r="F249" s="1943"/>
      <c r="G249" s="1943"/>
      <c r="H249" s="1943"/>
      <c r="I249" s="1943"/>
      <c r="J249" s="1943"/>
    </row>
    <row r="250" spans="1:28" hidden="1" x14ac:dyDescent="0.25">
      <c r="A250" s="1898" t="s">
        <v>8</v>
      </c>
      <c r="B250" s="1898" t="s">
        <v>35</v>
      </c>
      <c r="C250" s="1898"/>
      <c r="D250" s="1898"/>
      <c r="E250" s="1898"/>
      <c r="F250" s="1898"/>
      <c r="G250" s="1898"/>
      <c r="H250" s="1899" t="s">
        <v>351</v>
      </c>
      <c r="I250" s="1900"/>
      <c r="J250" s="1901"/>
      <c r="K250" s="81" t="s">
        <v>371</v>
      </c>
    </row>
    <row r="251" spans="1:28" ht="60" hidden="1" x14ac:dyDescent="0.25">
      <c r="A251" s="1898"/>
      <c r="B251" s="1898"/>
      <c r="C251" s="1898"/>
      <c r="D251" s="1898"/>
      <c r="E251" s="1898"/>
      <c r="F251" s="1898"/>
      <c r="G251" s="1898"/>
      <c r="H251" s="96" t="s">
        <v>263</v>
      </c>
      <c r="I251" s="1581" t="s">
        <v>276</v>
      </c>
      <c r="J251" s="1581" t="s">
        <v>256</v>
      </c>
    </row>
    <row r="252" spans="1:28" ht="36" hidden="1" customHeight="1" x14ac:dyDescent="0.25">
      <c r="A252" s="1630">
        <v>1</v>
      </c>
      <c r="B252" s="1909" t="s">
        <v>881</v>
      </c>
      <c r="C252" s="1909"/>
      <c r="D252" s="1909"/>
      <c r="E252" s="1909"/>
      <c r="F252" s="1909"/>
      <c r="G252" s="1909"/>
      <c r="H252" s="65"/>
      <c r="I252" s="59"/>
      <c r="J252" s="1588">
        <f>H252*I252</f>
        <v>0</v>
      </c>
    </row>
    <row r="253" spans="1:28" hidden="1" x14ac:dyDescent="0.25">
      <c r="A253" s="1895" t="s">
        <v>39</v>
      </c>
      <c r="B253" s="1895"/>
      <c r="C253" s="1895"/>
      <c r="D253" s="1895"/>
      <c r="E253" s="1895"/>
      <c r="F253" s="1895"/>
      <c r="G253" s="1895"/>
      <c r="H253" s="100" t="s">
        <v>5</v>
      </c>
      <c r="I253" s="1589" t="s">
        <v>5</v>
      </c>
      <c r="J253" s="1589">
        <f>SUM(J252:J252)</f>
        <v>0</v>
      </c>
    </row>
    <row r="254" spans="1:28" hidden="1" x14ac:dyDescent="0.25">
      <c r="A254" s="63"/>
      <c r="B254" s="63"/>
      <c r="C254" s="63"/>
      <c r="D254" s="63"/>
      <c r="E254" s="63"/>
      <c r="F254" s="63"/>
      <c r="G254" s="64"/>
      <c r="H254" s="64"/>
      <c r="I254" s="64"/>
      <c r="J254" s="64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</row>
    <row r="255" spans="1:28" hidden="1" x14ac:dyDescent="0.25">
      <c r="A255" s="1644" t="s">
        <v>865</v>
      </c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</row>
    <row r="256" spans="1:28" ht="19.5" hidden="1" customHeight="1" x14ac:dyDescent="0.25">
      <c r="A256" s="1898" t="s">
        <v>8</v>
      </c>
      <c r="B256" s="1898" t="s">
        <v>35</v>
      </c>
      <c r="C256" s="1898"/>
      <c r="D256" s="1898"/>
      <c r="E256" s="1898"/>
      <c r="F256" s="1898"/>
      <c r="G256" s="1898"/>
      <c r="H256" s="1899" t="s">
        <v>843</v>
      </c>
      <c r="I256" s="1900"/>
      <c r="J256" s="190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</row>
    <row r="257" spans="1:28" ht="30" hidden="1" customHeight="1" x14ac:dyDescent="0.25">
      <c r="A257" s="1898"/>
      <c r="B257" s="1898"/>
      <c r="C257" s="1898"/>
      <c r="D257" s="1898"/>
      <c r="E257" s="1898"/>
      <c r="F257" s="1898"/>
      <c r="G257" s="1898"/>
      <c r="H257" s="1581" t="s">
        <v>248</v>
      </c>
      <c r="I257" s="1588" t="s">
        <v>269</v>
      </c>
      <c r="J257" s="1588" t="s">
        <v>256</v>
      </c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</row>
    <row r="258" spans="1:28" hidden="1" x14ac:dyDescent="0.25">
      <c r="A258" s="62" t="s">
        <v>244</v>
      </c>
      <c r="B258" s="1891" t="s">
        <v>60</v>
      </c>
      <c r="C258" s="1891"/>
      <c r="D258" s="1891"/>
      <c r="E258" s="1891"/>
      <c r="F258" s="1891"/>
      <c r="G258" s="1891"/>
      <c r="H258" s="1588" t="s">
        <v>5</v>
      </c>
      <c r="I258" s="1588" t="s">
        <v>5</v>
      </c>
      <c r="J258" s="1588" t="s">
        <v>5</v>
      </c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</row>
    <row r="259" spans="1:28" hidden="1" x14ac:dyDescent="0.25">
      <c r="A259" s="62" t="s">
        <v>47</v>
      </c>
      <c r="B259" s="1891" t="s">
        <v>866</v>
      </c>
      <c r="C259" s="1891"/>
      <c r="D259" s="1891"/>
      <c r="E259" s="1891"/>
      <c r="F259" s="1891"/>
      <c r="G259" s="1891"/>
      <c r="H259" s="1588"/>
      <c r="I259" s="1588"/>
      <c r="J259" s="1588">
        <f>H259*I259</f>
        <v>0</v>
      </c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</row>
    <row r="260" spans="1:28" hidden="1" x14ac:dyDescent="0.25">
      <c r="A260" s="62" t="s">
        <v>281</v>
      </c>
      <c r="B260" s="1892" t="s">
        <v>867</v>
      </c>
      <c r="C260" s="1893"/>
      <c r="D260" s="1893"/>
      <c r="E260" s="1893"/>
      <c r="F260" s="1893"/>
      <c r="G260" s="1894"/>
      <c r="H260" s="1588" t="s">
        <v>5</v>
      </c>
      <c r="I260" s="1588" t="s">
        <v>5</v>
      </c>
      <c r="J260" s="1588" t="s">
        <v>5</v>
      </c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</row>
    <row r="261" spans="1:28" hidden="1" x14ac:dyDescent="0.25">
      <c r="A261" s="62" t="s">
        <v>868</v>
      </c>
      <c r="B261" s="1891" t="s">
        <v>866</v>
      </c>
      <c r="C261" s="1891"/>
      <c r="D261" s="1891"/>
      <c r="E261" s="1891"/>
      <c r="F261" s="1891"/>
      <c r="G261" s="1891"/>
      <c r="H261" s="1588"/>
      <c r="I261" s="1588"/>
      <c r="J261" s="1588">
        <f>H261*I261</f>
        <v>0</v>
      </c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</row>
    <row r="262" spans="1:28" hidden="1" x14ac:dyDescent="0.25">
      <c r="A262" s="1895" t="s">
        <v>39</v>
      </c>
      <c r="B262" s="1895"/>
      <c r="C262" s="1895"/>
      <c r="D262" s="1895"/>
      <c r="E262" s="1895"/>
      <c r="F262" s="1895"/>
      <c r="G262" s="1895"/>
      <c r="H262" s="1589" t="s">
        <v>5</v>
      </c>
      <c r="I262" s="1589" t="s">
        <v>5</v>
      </c>
      <c r="J262" s="1589">
        <f>SUM(J259:J261)</f>
        <v>0</v>
      </c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</row>
    <row r="263" spans="1:28" ht="19.5" hidden="1" customHeight="1" x14ac:dyDescent="0.25"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</row>
    <row r="264" spans="1:28" ht="32.25" hidden="1" customHeight="1" x14ac:dyDescent="0.25">
      <c r="A264" s="1896" t="s">
        <v>869</v>
      </c>
      <c r="B264" s="1897"/>
      <c r="C264" s="1897"/>
      <c r="D264" s="1897"/>
      <c r="E264" s="1897"/>
      <c r="F264" s="1897"/>
      <c r="G264" s="1897"/>
      <c r="H264" s="1897"/>
      <c r="I264" s="1897"/>
      <c r="J264" s="1897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</row>
    <row r="265" spans="1:28" ht="19.5" hidden="1" customHeight="1" x14ac:dyDescent="0.25">
      <c r="A265" s="1898" t="s">
        <v>8</v>
      </c>
      <c r="B265" s="1898" t="s">
        <v>35</v>
      </c>
      <c r="C265" s="1898"/>
      <c r="D265" s="1898"/>
      <c r="E265" s="1898"/>
      <c r="F265" s="1898"/>
      <c r="G265" s="1898"/>
      <c r="H265" s="1899" t="s">
        <v>843</v>
      </c>
      <c r="I265" s="1900"/>
      <c r="J265" s="190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</row>
    <row r="266" spans="1:28" ht="30" hidden="1" x14ac:dyDescent="0.25">
      <c r="A266" s="1898"/>
      <c r="B266" s="1898"/>
      <c r="C266" s="1898"/>
      <c r="D266" s="1898"/>
      <c r="E266" s="1898"/>
      <c r="F266" s="1898"/>
      <c r="G266" s="1898"/>
      <c r="H266" s="1581" t="s">
        <v>870</v>
      </c>
      <c r="I266" s="1581" t="s">
        <v>296</v>
      </c>
      <c r="J266" s="1581" t="s">
        <v>297</v>
      </c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</row>
    <row r="267" spans="1:28" hidden="1" x14ac:dyDescent="0.25">
      <c r="A267" s="62" t="s">
        <v>244</v>
      </c>
      <c r="B267" s="1891" t="s">
        <v>871</v>
      </c>
      <c r="C267" s="1891"/>
      <c r="D267" s="1891"/>
      <c r="E267" s="1891"/>
      <c r="F267" s="1891"/>
      <c r="G267" s="1891"/>
      <c r="H267" s="1588"/>
      <c r="I267" s="1588"/>
      <c r="J267" s="1588">
        <f>H267*I267</f>
        <v>0</v>
      </c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</row>
    <row r="268" spans="1:28" hidden="1" x14ac:dyDescent="0.25">
      <c r="A268" s="62" t="s">
        <v>281</v>
      </c>
      <c r="B268" s="1892" t="s">
        <v>872</v>
      </c>
      <c r="C268" s="1893"/>
      <c r="D268" s="1893"/>
      <c r="E268" s="1893"/>
      <c r="F268" s="1893"/>
      <c r="G268" s="1894"/>
      <c r="H268" s="1588"/>
      <c r="I268" s="1588"/>
      <c r="J268" s="1588">
        <f>H268*I268</f>
        <v>0</v>
      </c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</row>
    <row r="269" spans="1:28" hidden="1" x14ac:dyDescent="0.25">
      <c r="A269" s="1895" t="s">
        <v>39</v>
      </c>
      <c r="B269" s="1895"/>
      <c r="C269" s="1895"/>
      <c r="D269" s="1895"/>
      <c r="E269" s="1895"/>
      <c r="F269" s="1895"/>
      <c r="G269" s="1895"/>
      <c r="H269" s="1589" t="s">
        <v>5</v>
      </c>
      <c r="I269" s="1589" t="s">
        <v>5</v>
      </c>
      <c r="J269" s="1589">
        <f>SUM(J267:J268)</f>
        <v>0</v>
      </c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</row>
    <row r="270" spans="1:28" hidden="1" x14ac:dyDescent="0.25"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</row>
    <row r="271" spans="1:28" ht="19.5" hidden="1" customHeight="1" x14ac:dyDescent="0.25">
      <c r="A271" s="1644" t="s">
        <v>873</v>
      </c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</row>
    <row r="272" spans="1:28" hidden="1" x14ac:dyDescent="0.25">
      <c r="A272" s="1898" t="s">
        <v>8</v>
      </c>
      <c r="B272" s="1898" t="s">
        <v>35</v>
      </c>
      <c r="C272" s="1898"/>
      <c r="D272" s="1898"/>
      <c r="E272" s="1898"/>
      <c r="F272" s="1898"/>
      <c r="G272" s="1898"/>
      <c r="H272" s="1899" t="s">
        <v>843</v>
      </c>
      <c r="I272" s="1900"/>
      <c r="J272" s="1901"/>
      <c r="K272" s="61" t="s">
        <v>371</v>
      </c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</row>
    <row r="273" spans="1:28" ht="45" hidden="1" customHeight="1" x14ac:dyDescent="0.25">
      <c r="A273" s="1898"/>
      <c r="B273" s="1898"/>
      <c r="C273" s="1898"/>
      <c r="D273" s="1898"/>
      <c r="E273" s="1898"/>
      <c r="F273" s="1898"/>
      <c r="G273" s="1898"/>
      <c r="H273" s="1581" t="s">
        <v>874</v>
      </c>
      <c r="I273" s="1588" t="s">
        <v>875</v>
      </c>
      <c r="J273" s="1588" t="s">
        <v>256</v>
      </c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</row>
    <row r="274" spans="1:28" hidden="1" x14ac:dyDescent="0.25">
      <c r="A274" s="1630">
        <v>1</v>
      </c>
      <c r="B274" s="1909" t="s">
        <v>882</v>
      </c>
      <c r="C274" s="1909"/>
      <c r="D274" s="1909"/>
      <c r="E274" s="1909"/>
      <c r="F274" s="1909"/>
      <c r="G274" s="1909"/>
      <c r="H274" s="59">
        <v>2</v>
      </c>
      <c r="I274" s="1588">
        <f>9250+4343.8</f>
        <v>13593.8</v>
      </c>
      <c r="J274" s="1588"/>
      <c r="K274" s="61"/>
      <c r="L274" s="61"/>
      <c r="M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</row>
    <row r="275" spans="1:28" hidden="1" x14ac:dyDescent="0.25">
      <c r="A275" s="1895" t="s">
        <v>39</v>
      </c>
      <c r="B275" s="1895"/>
      <c r="C275" s="1895"/>
      <c r="D275" s="1895"/>
      <c r="E275" s="1895"/>
      <c r="F275" s="1895"/>
      <c r="G275" s="1895"/>
      <c r="H275" s="1589" t="s">
        <v>5</v>
      </c>
      <c r="I275" s="1589" t="s">
        <v>5</v>
      </c>
      <c r="J275" s="1589">
        <f>SUM(J274:J274)</f>
        <v>0</v>
      </c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</row>
    <row r="276" spans="1:28" hidden="1" x14ac:dyDescent="0.25"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</row>
    <row r="277" spans="1:28" hidden="1" x14ac:dyDescent="0.25">
      <c r="A277" s="1644" t="s">
        <v>883</v>
      </c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</row>
    <row r="278" spans="1:28" hidden="1" x14ac:dyDescent="0.25"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</row>
    <row r="279" spans="1:28" hidden="1" x14ac:dyDescent="0.25">
      <c r="A279" s="1645" t="s">
        <v>63</v>
      </c>
      <c r="B279" s="72"/>
      <c r="C279" s="61"/>
      <c r="D279" s="61"/>
      <c r="E279" s="71" t="s">
        <v>70</v>
      </c>
      <c r="J279" s="85">
        <f>J280</f>
        <v>0</v>
      </c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</row>
    <row r="280" spans="1:28" hidden="1" x14ac:dyDescent="0.25">
      <c r="A280" s="1645" t="s">
        <v>26</v>
      </c>
      <c r="B280" s="72"/>
      <c r="C280" s="61"/>
      <c r="D280" s="61"/>
      <c r="E280" s="71" t="s">
        <v>38</v>
      </c>
      <c r="J280" s="85">
        <f>J298+J287+J306</f>
        <v>0</v>
      </c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</row>
    <row r="281" spans="1:28" hidden="1" x14ac:dyDescent="0.25">
      <c r="A281" s="1645" t="s">
        <v>27</v>
      </c>
      <c r="B281" s="72"/>
      <c r="C281" s="61"/>
      <c r="D281" s="61"/>
      <c r="E281" s="71" t="s">
        <v>337</v>
      </c>
      <c r="K281" s="87"/>
      <c r="M281" s="354"/>
      <c r="N281" s="354"/>
      <c r="O281" s="354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</row>
    <row r="282" spans="1:28" ht="13.5" hidden="1" customHeight="1" x14ac:dyDescent="0.25">
      <c r="A282" s="1645"/>
      <c r="B282" s="72"/>
      <c r="C282" s="72"/>
      <c r="D282" s="72"/>
      <c r="E282" s="71"/>
      <c r="K282" s="87"/>
      <c r="M282" s="354"/>
      <c r="N282" s="354"/>
      <c r="O282" s="354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</row>
    <row r="283" spans="1:28" hidden="1" x14ac:dyDescent="0.25">
      <c r="A283" s="1644" t="s">
        <v>310</v>
      </c>
    </row>
    <row r="284" spans="1:28" ht="18.75" hidden="1" customHeight="1" x14ac:dyDescent="0.25">
      <c r="A284" s="1898" t="s">
        <v>8</v>
      </c>
      <c r="B284" s="1898" t="s">
        <v>35</v>
      </c>
      <c r="C284" s="1898"/>
      <c r="D284" s="1898"/>
      <c r="E284" s="1898"/>
      <c r="F284" s="1898"/>
      <c r="G284" s="1898" t="s">
        <v>61</v>
      </c>
      <c r="H284" s="1899" t="s">
        <v>843</v>
      </c>
      <c r="I284" s="1900"/>
      <c r="J284" s="1901"/>
      <c r="K284" s="61" t="s">
        <v>371</v>
      </c>
    </row>
    <row r="285" spans="1:28" ht="30" hidden="1" x14ac:dyDescent="0.25">
      <c r="A285" s="1898"/>
      <c r="B285" s="1898"/>
      <c r="C285" s="1898"/>
      <c r="D285" s="1898"/>
      <c r="E285" s="1898"/>
      <c r="F285" s="1898"/>
      <c r="G285" s="1898"/>
      <c r="H285" s="1581" t="s">
        <v>248</v>
      </c>
      <c r="I285" s="1588" t="s">
        <v>264</v>
      </c>
      <c r="J285" s="1588" t="s">
        <v>256</v>
      </c>
    </row>
    <row r="286" spans="1:28" hidden="1" x14ac:dyDescent="0.25">
      <c r="A286" s="1630">
        <v>1</v>
      </c>
      <c r="B286" s="1909" t="s">
        <v>878</v>
      </c>
      <c r="C286" s="1909"/>
      <c r="D286" s="1909"/>
      <c r="E286" s="1909"/>
      <c r="F286" s="1909"/>
      <c r="G286" s="1588" t="s">
        <v>88</v>
      </c>
      <c r="H286" s="59">
        <v>12</v>
      </c>
      <c r="I286" s="1588">
        <v>8052</v>
      </c>
      <c r="J286" s="1588"/>
    </row>
    <row r="287" spans="1:28" hidden="1" x14ac:dyDescent="0.25">
      <c r="A287" s="1895" t="s">
        <v>39</v>
      </c>
      <c r="B287" s="1895"/>
      <c r="C287" s="1895"/>
      <c r="D287" s="1895"/>
      <c r="E287" s="1895"/>
      <c r="F287" s="1895"/>
      <c r="G287" s="1895"/>
      <c r="H287" s="1589" t="s">
        <v>5</v>
      </c>
      <c r="I287" s="1589" t="s">
        <v>5</v>
      </c>
      <c r="J287" s="1589">
        <f>SUM(J286:J286)</f>
        <v>0</v>
      </c>
    </row>
    <row r="288" spans="1:28" hidden="1" x14ac:dyDescent="0.25"/>
    <row r="289" spans="1:28" hidden="1" x14ac:dyDescent="0.25">
      <c r="A289" s="1644" t="s">
        <v>318</v>
      </c>
    </row>
    <row r="290" spans="1:28" hidden="1" x14ac:dyDescent="0.25">
      <c r="A290" s="1898" t="s">
        <v>8</v>
      </c>
      <c r="B290" s="1898" t="s">
        <v>35</v>
      </c>
      <c r="C290" s="1898"/>
      <c r="D290" s="1898"/>
      <c r="E290" s="1898"/>
      <c r="F290" s="1898"/>
      <c r="G290" s="1898" t="s">
        <v>61</v>
      </c>
      <c r="H290" s="1899" t="s">
        <v>843</v>
      </c>
      <c r="I290" s="1900"/>
      <c r="J290" s="1901"/>
    </row>
    <row r="291" spans="1:28" ht="30" hidden="1" x14ac:dyDescent="0.25">
      <c r="A291" s="1898"/>
      <c r="B291" s="1898"/>
      <c r="C291" s="1898"/>
      <c r="D291" s="1898"/>
      <c r="E291" s="1898"/>
      <c r="F291" s="1898"/>
      <c r="G291" s="1898"/>
      <c r="H291" s="1581" t="s">
        <v>248</v>
      </c>
      <c r="I291" s="1588" t="s">
        <v>264</v>
      </c>
      <c r="J291" s="1588" t="s">
        <v>256</v>
      </c>
      <c r="K291" s="81" t="s">
        <v>378</v>
      </c>
    </row>
    <row r="292" spans="1:28" hidden="1" x14ac:dyDescent="0.25">
      <c r="A292" s="1630">
        <v>1</v>
      </c>
      <c r="B292" s="1909" t="s">
        <v>340</v>
      </c>
      <c r="C292" s="1909"/>
      <c r="D292" s="1909"/>
      <c r="E292" s="1909"/>
      <c r="F292" s="1909"/>
      <c r="G292" s="1588" t="s">
        <v>299</v>
      </c>
      <c r="H292" s="59">
        <v>25</v>
      </c>
      <c r="I292" s="1588">
        <v>2300</v>
      </c>
      <c r="J292" s="1588"/>
    </row>
    <row r="293" spans="1:28" hidden="1" x14ac:dyDescent="0.25">
      <c r="A293" s="1630">
        <v>2</v>
      </c>
      <c r="B293" s="1909" t="s">
        <v>341</v>
      </c>
      <c r="C293" s="1909"/>
      <c r="D293" s="1909"/>
      <c r="E293" s="1909"/>
      <c r="F293" s="1909"/>
      <c r="G293" s="1588" t="s">
        <v>299</v>
      </c>
      <c r="H293" s="59">
        <v>42</v>
      </c>
      <c r="I293" s="1588">
        <v>3000</v>
      </c>
      <c r="J293" s="1588"/>
    </row>
    <row r="294" spans="1:28" hidden="1" x14ac:dyDescent="0.25">
      <c r="A294" s="1630">
        <v>3</v>
      </c>
      <c r="B294" s="1909" t="s">
        <v>342</v>
      </c>
      <c r="C294" s="1909"/>
      <c r="D294" s="1909"/>
      <c r="E294" s="1909"/>
      <c r="F294" s="1909"/>
      <c r="G294" s="1588" t="s">
        <v>299</v>
      </c>
      <c r="H294" s="59">
        <v>3</v>
      </c>
      <c r="I294" s="1588">
        <v>2200</v>
      </c>
      <c r="J294" s="1588"/>
    </row>
    <row r="295" spans="1:28" ht="30.75" hidden="1" customHeight="1" x14ac:dyDescent="0.25">
      <c r="A295" s="1630">
        <v>4</v>
      </c>
      <c r="B295" s="1909" t="s">
        <v>300</v>
      </c>
      <c r="C295" s="1909"/>
      <c r="D295" s="1909"/>
      <c r="E295" s="1909"/>
      <c r="F295" s="1909"/>
      <c r="G295" s="1588" t="s">
        <v>299</v>
      </c>
      <c r="H295" s="59">
        <v>35</v>
      </c>
      <c r="I295" s="1588">
        <v>318</v>
      </c>
      <c r="J295" s="1588"/>
      <c r="K295" s="61" t="s">
        <v>371</v>
      </c>
    </row>
    <row r="296" spans="1:28" hidden="1" x14ac:dyDescent="0.25">
      <c r="A296" s="1895" t="s">
        <v>39</v>
      </c>
      <c r="B296" s="1895"/>
      <c r="C296" s="1895"/>
      <c r="D296" s="1895"/>
      <c r="E296" s="1895"/>
      <c r="F296" s="1895"/>
      <c r="G296" s="1895"/>
      <c r="H296" s="1589" t="s">
        <v>5</v>
      </c>
      <c r="I296" s="1589" t="s">
        <v>5</v>
      </c>
      <c r="J296" s="1589">
        <f>SUM(J292:J295)</f>
        <v>0</v>
      </c>
    </row>
    <row r="297" spans="1:28" hidden="1" x14ac:dyDescent="0.25">
      <c r="A297" s="1940" t="s">
        <v>30</v>
      </c>
      <c r="B297" s="1941"/>
      <c r="C297" s="1941"/>
      <c r="D297" s="1941"/>
      <c r="E297" s="1941"/>
      <c r="F297" s="1941"/>
      <c r="G297" s="1941"/>
      <c r="H297" s="1941"/>
      <c r="I297" s="1942"/>
      <c r="J297" s="658"/>
      <c r="K297" s="102"/>
      <c r="L297" s="102"/>
      <c r="M297" s="2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</row>
    <row r="298" spans="1:28" hidden="1" x14ac:dyDescent="0.25">
      <c r="A298" s="1939" t="s">
        <v>153</v>
      </c>
      <c r="B298" s="1939"/>
      <c r="C298" s="1939"/>
      <c r="D298" s="1939"/>
      <c r="E298" s="1939"/>
      <c r="F298" s="1939"/>
      <c r="G298" s="1939"/>
      <c r="H298" s="1939"/>
      <c r="I298" s="1939"/>
      <c r="J298" s="658">
        <f>J296-J300</f>
        <v>0</v>
      </c>
    </row>
    <row r="299" spans="1:28" hidden="1" x14ac:dyDescent="0.25">
      <c r="A299" s="1939" t="s">
        <v>154</v>
      </c>
      <c r="B299" s="1939"/>
      <c r="C299" s="1939"/>
      <c r="D299" s="1939"/>
      <c r="E299" s="1939"/>
      <c r="F299" s="1939"/>
      <c r="G299" s="1939"/>
      <c r="H299" s="1939"/>
      <c r="I299" s="1939"/>
      <c r="J299" s="80"/>
    </row>
    <row r="300" spans="1:28" ht="30" hidden="1" customHeight="1" x14ac:dyDescent="0.25">
      <c r="A300" s="1939" t="s">
        <v>155</v>
      </c>
      <c r="B300" s="1939"/>
      <c r="C300" s="1939"/>
      <c r="D300" s="1939"/>
      <c r="E300" s="1939"/>
      <c r="F300" s="1939"/>
      <c r="G300" s="1939"/>
      <c r="H300" s="1939"/>
      <c r="I300" s="1939"/>
      <c r="J300" s="80"/>
    </row>
    <row r="301" spans="1:28" hidden="1" x14ac:dyDescent="0.25"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</row>
    <row r="302" spans="1:28" hidden="1" x14ac:dyDescent="0.25">
      <c r="A302" s="1644" t="s">
        <v>884</v>
      </c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</row>
    <row r="303" spans="1:28" hidden="1" x14ac:dyDescent="0.25">
      <c r="A303" s="1898" t="s">
        <v>8</v>
      </c>
      <c r="B303" s="1898" t="s">
        <v>35</v>
      </c>
      <c r="C303" s="1898"/>
      <c r="D303" s="1898"/>
      <c r="E303" s="1898"/>
      <c r="F303" s="1898"/>
      <c r="G303" s="1898"/>
      <c r="H303" s="1899" t="s">
        <v>843</v>
      </c>
      <c r="I303" s="1900"/>
      <c r="J303" s="1901"/>
      <c r="K303" s="61" t="s">
        <v>371</v>
      </c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</row>
    <row r="304" spans="1:28" ht="30" hidden="1" x14ac:dyDescent="0.25">
      <c r="A304" s="1898"/>
      <c r="B304" s="1898"/>
      <c r="C304" s="1898"/>
      <c r="D304" s="1898"/>
      <c r="E304" s="1898"/>
      <c r="F304" s="1898"/>
      <c r="G304" s="1898"/>
      <c r="H304" s="1581" t="s">
        <v>874</v>
      </c>
      <c r="I304" s="1588" t="s">
        <v>875</v>
      </c>
      <c r="J304" s="1588" t="s">
        <v>256</v>
      </c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</row>
    <row r="305" spans="1:28" hidden="1" x14ac:dyDescent="0.25">
      <c r="A305" s="1630">
        <v>1</v>
      </c>
      <c r="B305" s="1909" t="s">
        <v>885</v>
      </c>
      <c r="C305" s="1909"/>
      <c r="D305" s="1909"/>
      <c r="E305" s="1909"/>
      <c r="F305" s="1909"/>
      <c r="G305" s="1909"/>
      <c r="H305" s="59">
        <v>1</v>
      </c>
      <c r="I305" s="1588">
        <v>17500</v>
      </c>
      <c r="J305" s="1588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</row>
    <row r="306" spans="1:28" hidden="1" x14ac:dyDescent="0.25">
      <c r="A306" s="1895" t="s">
        <v>39</v>
      </c>
      <c r="B306" s="1895"/>
      <c r="C306" s="1895"/>
      <c r="D306" s="1895"/>
      <c r="E306" s="1895"/>
      <c r="F306" s="1895"/>
      <c r="G306" s="1895"/>
      <c r="H306" s="1589" t="s">
        <v>5</v>
      </c>
      <c r="I306" s="1589" t="s">
        <v>5</v>
      </c>
      <c r="J306" s="1589">
        <f>SUM(J305:J305)</f>
        <v>0</v>
      </c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</row>
    <row r="307" spans="1:28" hidden="1" x14ac:dyDescent="0.25"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</row>
    <row r="308" spans="1:28" hidden="1" x14ac:dyDescent="0.25">
      <c r="A308" s="1645" t="s">
        <v>63</v>
      </c>
      <c r="B308" s="72"/>
      <c r="C308" s="61"/>
      <c r="D308" s="61"/>
      <c r="E308" s="71" t="s">
        <v>70</v>
      </c>
      <c r="J308" s="85">
        <f>J309</f>
        <v>0</v>
      </c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</row>
    <row r="309" spans="1:28" hidden="1" x14ac:dyDescent="0.25">
      <c r="A309" s="1645" t="s">
        <v>26</v>
      </c>
      <c r="B309" s="72"/>
      <c r="C309" s="61"/>
      <c r="D309" s="61"/>
      <c r="E309" s="71" t="s">
        <v>38</v>
      </c>
      <c r="J309" s="85">
        <f>J319+J328+J340</f>
        <v>0</v>
      </c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</row>
    <row r="310" spans="1:28" hidden="1" x14ac:dyDescent="0.25">
      <c r="A310" s="1645" t="s">
        <v>27</v>
      </c>
      <c r="B310" s="72"/>
      <c r="C310" s="61"/>
      <c r="D310" s="61"/>
      <c r="E310" s="71" t="s">
        <v>91</v>
      </c>
      <c r="K310" s="87"/>
      <c r="M310" s="354"/>
      <c r="N310" s="354"/>
      <c r="O310" s="354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</row>
    <row r="311" spans="1:28" hidden="1" x14ac:dyDescent="0.25">
      <c r="A311" s="1645"/>
      <c r="B311" s="72"/>
      <c r="C311" s="72"/>
      <c r="D311" s="72"/>
      <c r="E311" s="71"/>
      <c r="K311" s="87"/>
      <c r="M311" s="354"/>
      <c r="N311" s="354"/>
      <c r="O311" s="354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</row>
    <row r="312" spans="1:28" hidden="1" x14ac:dyDescent="0.25">
      <c r="A312" s="1644" t="s">
        <v>324</v>
      </c>
      <c r="B312" s="72"/>
      <c r="C312" s="72"/>
      <c r="D312" s="72"/>
      <c r="E312" s="71"/>
      <c r="K312" s="87"/>
      <c r="L312" s="87"/>
      <c r="M312" s="354"/>
      <c r="N312" s="354"/>
      <c r="O312" s="354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</row>
    <row r="313" spans="1:28" hidden="1" x14ac:dyDescent="0.25">
      <c r="A313" s="1898" t="s">
        <v>8</v>
      </c>
      <c r="B313" s="1898" t="s">
        <v>35</v>
      </c>
      <c r="C313" s="1898"/>
      <c r="D313" s="1898"/>
      <c r="E313" s="1898"/>
      <c r="F313" s="1898"/>
      <c r="G313" s="1899" t="s">
        <v>843</v>
      </c>
      <c r="H313" s="1900"/>
      <c r="I313" s="1900"/>
      <c r="J313" s="1901"/>
      <c r="K313" s="87"/>
      <c r="L313" s="61"/>
      <c r="M313" s="354"/>
      <c r="N313" s="354"/>
      <c r="O313" s="354"/>
    </row>
    <row r="314" spans="1:28" ht="30" hidden="1" customHeight="1" x14ac:dyDescent="0.25">
      <c r="A314" s="1898"/>
      <c r="B314" s="1898"/>
      <c r="C314" s="1898"/>
      <c r="D314" s="1898"/>
      <c r="E314" s="1898"/>
      <c r="F314" s="1898"/>
      <c r="G314" s="1581" t="s">
        <v>249</v>
      </c>
      <c r="H314" s="1581" t="s">
        <v>250</v>
      </c>
      <c r="I314" s="1588" t="s">
        <v>247</v>
      </c>
      <c r="J314" s="1588" t="s">
        <v>256</v>
      </c>
    </row>
    <row r="315" spans="1:28" hidden="1" x14ac:dyDescent="0.25">
      <c r="A315" s="1630">
        <v>1</v>
      </c>
      <c r="B315" s="1909" t="s">
        <v>886</v>
      </c>
      <c r="C315" s="1910"/>
      <c r="D315" s="1910"/>
      <c r="E315" s="1910"/>
      <c r="F315" s="1910"/>
      <c r="G315" s="1581">
        <v>1</v>
      </c>
      <c r="H315" s="1581">
        <v>828</v>
      </c>
      <c r="I315" s="1588">
        <v>180</v>
      </c>
      <c r="J315" s="1588"/>
      <c r="K315" s="61" t="s">
        <v>371</v>
      </c>
    </row>
    <row r="316" spans="1:28" hidden="1" x14ac:dyDescent="0.25">
      <c r="A316" s="1630">
        <v>2</v>
      </c>
      <c r="B316" s="1909" t="s">
        <v>887</v>
      </c>
      <c r="C316" s="1910"/>
      <c r="D316" s="1910"/>
      <c r="E316" s="1910"/>
      <c r="F316" s="1910"/>
      <c r="G316" s="1581">
        <v>1</v>
      </c>
      <c r="H316" s="1581">
        <f>224*12-H315+82.8</f>
        <v>1942.8</v>
      </c>
      <c r="I316" s="1588">
        <v>200</v>
      </c>
      <c r="J316" s="1588"/>
      <c r="K316" s="81" t="s">
        <v>378</v>
      </c>
    </row>
    <row r="317" spans="1:28" hidden="1" x14ac:dyDescent="0.25">
      <c r="A317" s="1895" t="s">
        <v>39</v>
      </c>
      <c r="B317" s="1895"/>
      <c r="C317" s="1895"/>
      <c r="D317" s="1895"/>
      <c r="E317" s="1895"/>
      <c r="F317" s="1895"/>
      <c r="G317" s="1589" t="s">
        <v>5</v>
      </c>
      <c r="H317" s="1589" t="s">
        <v>5</v>
      </c>
      <c r="I317" s="1589" t="s">
        <v>5</v>
      </c>
      <c r="J317" s="1589">
        <f>SUM(J315:J316)</f>
        <v>0</v>
      </c>
    </row>
    <row r="318" spans="1:28" hidden="1" x14ac:dyDescent="0.25">
      <c r="A318" s="1940" t="s">
        <v>30</v>
      </c>
      <c r="B318" s="1941"/>
      <c r="C318" s="1941"/>
      <c r="D318" s="1941"/>
      <c r="E318" s="1941"/>
      <c r="F318" s="1941"/>
      <c r="G318" s="1941"/>
      <c r="H318" s="1941"/>
      <c r="I318" s="1942"/>
      <c r="J318" s="658"/>
      <c r="K318" s="102"/>
      <c r="L318" s="102"/>
      <c r="M318" s="2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</row>
    <row r="319" spans="1:28" hidden="1" x14ac:dyDescent="0.25">
      <c r="A319" s="1939" t="s">
        <v>153</v>
      </c>
      <c r="B319" s="1939"/>
      <c r="C319" s="1939"/>
      <c r="D319" s="1939"/>
      <c r="E319" s="1939"/>
      <c r="F319" s="1939"/>
      <c r="G319" s="1939"/>
      <c r="H319" s="1939"/>
      <c r="I319" s="1939"/>
      <c r="J319" s="658">
        <f>J317-J320-J321</f>
        <v>0</v>
      </c>
      <c r="K319" s="102"/>
      <c r="L319" s="102"/>
      <c r="M319" s="2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</row>
    <row r="320" spans="1:28" hidden="1" x14ac:dyDescent="0.25">
      <c r="A320" s="1939" t="s">
        <v>154</v>
      </c>
      <c r="B320" s="1939"/>
      <c r="C320" s="1939"/>
      <c r="D320" s="1939"/>
      <c r="E320" s="1939"/>
      <c r="F320" s="1939"/>
      <c r="G320" s="1939"/>
      <c r="H320" s="1939"/>
      <c r="I320" s="1939"/>
      <c r="J320" s="80"/>
      <c r="K320" s="102"/>
      <c r="L320" s="102"/>
      <c r="M320" s="2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</row>
    <row r="321" spans="1:28" ht="28.5" hidden="1" customHeight="1" x14ac:dyDescent="0.25">
      <c r="A321" s="1939" t="s">
        <v>155</v>
      </c>
      <c r="B321" s="1939"/>
      <c r="C321" s="1939"/>
      <c r="D321" s="1939"/>
      <c r="E321" s="1939"/>
      <c r="F321" s="1939"/>
      <c r="G321" s="1939"/>
      <c r="H321" s="1939"/>
      <c r="I321" s="1939"/>
      <c r="J321" s="80"/>
      <c r="K321" s="102"/>
      <c r="L321" s="102"/>
      <c r="M321" s="2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</row>
    <row r="322" spans="1:28" hidden="1" x14ac:dyDescent="0.25"/>
    <row r="323" spans="1:28" hidden="1" x14ac:dyDescent="0.25">
      <c r="A323" s="1644" t="s">
        <v>310</v>
      </c>
    </row>
    <row r="324" spans="1:28" hidden="1" x14ac:dyDescent="0.25">
      <c r="A324" s="1898" t="s">
        <v>8</v>
      </c>
      <c r="B324" s="1898" t="s">
        <v>35</v>
      </c>
      <c r="C324" s="1898"/>
      <c r="D324" s="1898"/>
      <c r="E324" s="1898"/>
      <c r="F324" s="1898"/>
      <c r="G324" s="1898" t="s">
        <v>61</v>
      </c>
      <c r="H324" s="1899" t="s">
        <v>843</v>
      </c>
      <c r="I324" s="1900"/>
      <c r="J324" s="1901"/>
    </row>
    <row r="325" spans="1:28" ht="30" hidden="1" x14ac:dyDescent="0.25">
      <c r="A325" s="1898"/>
      <c r="B325" s="1898"/>
      <c r="C325" s="1898"/>
      <c r="D325" s="1898"/>
      <c r="E325" s="1898"/>
      <c r="F325" s="1898"/>
      <c r="G325" s="1898"/>
      <c r="H325" s="1581" t="s">
        <v>248</v>
      </c>
      <c r="I325" s="1588" t="s">
        <v>264</v>
      </c>
      <c r="J325" s="1588" t="s">
        <v>256</v>
      </c>
    </row>
    <row r="326" spans="1:28" hidden="1" x14ac:dyDescent="0.25">
      <c r="A326" s="1630">
        <v>1</v>
      </c>
      <c r="B326" s="1909" t="s">
        <v>878</v>
      </c>
      <c r="C326" s="1909"/>
      <c r="D326" s="1909"/>
      <c r="E326" s="1909"/>
      <c r="F326" s="1909"/>
      <c r="G326" s="1588" t="s">
        <v>88</v>
      </c>
      <c r="H326" s="59">
        <v>12</v>
      </c>
      <c r="I326" s="1588">
        <v>8052</v>
      </c>
      <c r="J326" s="1588"/>
      <c r="K326" s="81" t="s">
        <v>371</v>
      </c>
    </row>
    <row r="327" spans="1:28" hidden="1" x14ac:dyDescent="0.25">
      <c r="A327" s="1630">
        <v>2</v>
      </c>
      <c r="B327" s="1909" t="s">
        <v>87</v>
      </c>
      <c r="C327" s="1909"/>
      <c r="D327" s="1909"/>
      <c r="E327" s="1909"/>
      <c r="F327" s="1909"/>
      <c r="G327" s="1588" t="s">
        <v>298</v>
      </c>
      <c r="H327" s="59">
        <v>218</v>
      </c>
      <c r="I327" s="1588">
        <v>120</v>
      </c>
      <c r="J327" s="1588"/>
      <c r="K327" s="81" t="s">
        <v>371</v>
      </c>
    </row>
    <row r="328" spans="1:28" hidden="1" x14ac:dyDescent="0.25">
      <c r="A328" s="1895" t="s">
        <v>39</v>
      </c>
      <c r="B328" s="1895"/>
      <c r="C328" s="1895"/>
      <c r="D328" s="1895"/>
      <c r="E328" s="1895"/>
      <c r="F328" s="1895"/>
      <c r="G328" s="1895"/>
      <c r="H328" s="1589" t="s">
        <v>5</v>
      </c>
      <c r="I328" s="1589" t="s">
        <v>5</v>
      </c>
      <c r="J328" s="1589">
        <f>SUM(J326:J327)</f>
        <v>0</v>
      </c>
    </row>
    <row r="329" spans="1:28" hidden="1" x14ac:dyDescent="0.25"/>
    <row r="330" spans="1:28" hidden="1" x14ac:dyDescent="0.25">
      <c r="A330" s="1644" t="s">
        <v>318</v>
      </c>
    </row>
    <row r="331" spans="1:28" hidden="1" x14ac:dyDescent="0.25">
      <c r="A331" s="1898" t="s">
        <v>8</v>
      </c>
      <c r="B331" s="1898" t="s">
        <v>35</v>
      </c>
      <c r="C331" s="1898"/>
      <c r="D331" s="1898"/>
      <c r="E331" s="1898"/>
      <c r="F331" s="1898"/>
      <c r="G331" s="1898" t="s">
        <v>61</v>
      </c>
      <c r="H331" s="1899" t="s">
        <v>843</v>
      </c>
      <c r="I331" s="1900"/>
      <c r="J331" s="1901"/>
    </row>
    <row r="332" spans="1:28" ht="30" hidden="1" x14ac:dyDescent="0.25">
      <c r="A332" s="1898"/>
      <c r="B332" s="1898"/>
      <c r="C332" s="1898"/>
      <c r="D332" s="1898"/>
      <c r="E332" s="1898"/>
      <c r="F332" s="1898"/>
      <c r="G332" s="1898"/>
      <c r="H332" s="1581" t="s">
        <v>248</v>
      </c>
      <c r="I332" s="1588" t="s">
        <v>264</v>
      </c>
      <c r="J332" s="1588" t="s">
        <v>256</v>
      </c>
      <c r="K332" s="81" t="s">
        <v>378</v>
      </c>
    </row>
    <row r="333" spans="1:28" hidden="1" x14ac:dyDescent="0.25">
      <c r="A333" s="1630">
        <v>1</v>
      </c>
      <c r="B333" s="1909" t="s">
        <v>340</v>
      </c>
      <c r="C333" s="1909"/>
      <c r="D333" s="1909"/>
      <c r="E333" s="1909"/>
      <c r="F333" s="1909"/>
      <c r="G333" s="1588" t="s">
        <v>299</v>
      </c>
      <c r="H333" s="59">
        <v>24</v>
      </c>
      <c r="I333" s="1588">
        <v>2300</v>
      </c>
      <c r="J333" s="1588"/>
    </row>
    <row r="334" spans="1:28" hidden="1" x14ac:dyDescent="0.25">
      <c r="A334" s="1630">
        <v>2</v>
      </c>
      <c r="B334" s="1909" t="s">
        <v>341</v>
      </c>
      <c r="C334" s="1909"/>
      <c r="D334" s="1909"/>
      <c r="E334" s="1909"/>
      <c r="F334" s="1909"/>
      <c r="G334" s="1588" t="s">
        <v>299</v>
      </c>
      <c r="H334" s="59">
        <v>57</v>
      </c>
      <c r="I334" s="1588">
        <v>3000</v>
      </c>
      <c r="J334" s="1588"/>
    </row>
    <row r="335" spans="1:28" hidden="1" x14ac:dyDescent="0.25">
      <c r="A335" s="1630">
        <v>3</v>
      </c>
      <c r="B335" s="1909" t="s">
        <v>342</v>
      </c>
      <c r="C335" s="1909"/>
      <c r="D335" s="1909"/>
      <c r="E335" s="1909"/>
      <c r="F335" s="1909"/>
      <c r="G335" s="1588" t="s">
        <v>299</v>
      </c>
      <c r="H335" s="59">
        <v>5</v>
      </c>
      <c r="I335" s="1588">
        <v>2200</v>
      </c>
      <c r="J335" s="1588"/>
    </row>
    <row r="336" spans="1:28" ht="30" hidden="1" customHeight="1" x14ac:dyDescent="0.25">
      <c r="A336" s="1630">
        <v>4</v>
      </c>
      <c r="B336" s="1909" t="s">
        <v>888</v>
      </c>
      <c r="C336" s="1909"/>
      <c r="D336" s="1909"/>
      <c r="E336" s="1909"/>
      <c r="F336" s="1909"/>
      <c r="G336" s="1588" t="s">
        <v>299</v>
      </c>
      <c r="H336" s="59">
        <v>11</v>
      </c>
      <c r="I336" s="1588">
        <v>4259.49</v>
      </c>
      <c r="J336" s="1588"/>
      <c r="K336" s="81" t="s">
        <v>371</v>
      </c>
    </row>
    <row r="337" spans="1:28" ht="30.75" hidden="1" customHeight="1" x14ac:dyDescent="0.25">
      <c r="A337" s="1630">
        <v>5</v>
      </c>
      <c r="B337" s="1909" t="s">
        <v>300</v>
      </c>
      <c r="C337" s="1909"/>
      <c r="D337" s="1909"/>
      <c r="E337" s="1909"/>
      <c r="F337" s="1909"/>
      <c r="G337" s="1588" t="s">
        <v>299</v>
      </c>
      <c r="H337" s="59">
        <v>43</v>
      </c>
      <c r="I337" s="1588">
        <v>318</v>
      </c>
      <c r="J337" s="1588"/>
      <c r="K337" s="81" t="s">
        <v>371</v>
      </c>
    </row>
    <row r="338" spans="1:28" hidden="1" x14ac:dyDescent="0.25">
      <c r="A338" s="1895" t="s">
        <v>39</v>
      </c>
      <c r="B338" s="1895"/>
      <c r="C338" s="1895"/>
      <c r="D338" s="1895"/>
      <c r="E338" s="1895"/>
      <c r="F338" s="1895"/>
      <c r="G338" s="1895"/>
      <c r="H338" s="1589" t="s">
        <v>5</v>
      </c>
      <c r="I338" s="1589" t="s">
        <v>5</v>
      </c>
      <c r="J338" s="1589">
        <f>SUM(J333:J337)</f>
        <v>0</v>
      </c>
    </row>
    <row r="339" spans="1:28" hidden="1" x14ac:dyDescent="0.25">
      <c r="A339" s="1940" t="s">
        <v>30</v>
      </c>
      <c r="B339" s="1941"/>
      <c r="C339" s="1941"/>
      <c r="D339" s="1941"/>
      <c r="E339" s="1941"/>
      <c r="F339" s="1941"/>
      <c r="G339" s="1941"/>
      <c r="H339" s="1941"/>
      <c r="I339" s="1942"/>
      <c r="J339" s="658"/>
      <c r="K339" s="102"/>
      <c r="L339" s="102"/>
      <c r="M339" s="2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</row>
    <row r="340" spans="1:28" hidden="1" x14ac:dyDescent="0.25">
      <c r="A340" s="1939" t="s">
        <v>153</v>
      </c>
      <c r="B340" s="1939"/>
      <c r="C340" s="1939"/>
      <c r="D340" s="1939"/>
      <c r="E340" s="1939"/>
      <c r="F340" s="1939"/>
      <c r="G340" s="1939"/>
      <c r="H340" s="1939"/>
      <c r="I340" s="1939"/>
      <c r="J340" s="658">
        <f>J338-J342</f>
        <v>0</v>
      </c>
    </row>
    <row r="341" spans="1:28" hidden="1" x14ac:dyDescent="0.25">
      <c r="A341" s="1939" t="s">
        <v>154</v>
      </c>
      <c r="B341" s="1939"/>
      <c r="C341" s="1939"/>
      <c r="D341" s="1939"/>
      <c r="E341" s="1939"/>
      <c r="F341" s="1939"/>
      <c r="G341" s="1939"/>
      <c r="H341" s="1939"/>
      <c r="I341" s="1939"/>
      <c r="J341" s="80"/>
    </row>
    <row r="342" spans="1:28" ht="30" hidden="1" customHeight="1" x14ac:dyDescent="0.25">
      <c r="A342" s="1939" t="s">
        <v>155</v>
      </c>
      <c r="B342" s="1939"/>
      <c r="C342" s="1939"/>
      <c r="D342" s="1939"/>
      <c r="E342" s="1939"/>
      <c r="F342" s="1939"/>
      <c r="G342" s="1939"/>
      <c r="H342" s="1939"/>
      <c r="I342" s="1939"/>
      <c r="J342" s="80"/>
    </row>
    <row r="343" spans="1:28" hidden="1" x14ac:dyDescent="0.25">
      <c r="A343" s="63"/>
      <c r="B343" s="63"/>
      <c r="C343" s="63"/>
      <c r="D343" s="63"/>
      <c r="E343" s="63"/>
      <c r="F343" s="63"/>
      <c r="G343" s="63"/>
      <c r="H343" s="64"/>
      <c r="I343" s="64"/>
      <c r="J343" s="64"/>
    </row>
    <row r="344" spans="1:28" hidden="1" x14ac:dyDescent="0.25">
      <c r="A344" s="1645" t="s">
        <v>63</v>
      </c>
      <c r="B344" s="72"/>
      <c r="C344" s="61"/>
      <c r="D344" s="61"/>
      <c r="E344" s="71" t="s">
        <v>70</v>
      </c>
      <c r="J344" s="85">
        <f>J354</f>
        <v>0</v>
      </c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</row>
    <row r="345" spans="1:28" hidden="1" x14ac:dyDescent="0.25">
      <c r="A345" s="1645" t="s">
        <v>26</v>
      </c>
      <c r="B345" s="72"/>
      <c r="C345" s="72"/>
      <c r="D345" s="72"/>
      <c r="E345" s="71" t="s">
        <v>28</v>
      </c>
      <c r="J345" s="85">
        <f>J354</f>
        <v>0</v>
      </c>
    </row>
    <row r="346" spans="1:28" hidden="1" x14ac:dyDescent="0.25">
      <c r="A346" s="1645" t="s">
        <v>27</v>
      </c>
      <c r="B346" s="72"/>
      <c r="C346" s="72"/>
      <c r="D346" s="72"/>
      <c r="E346" s="71" t="s">
        <v>67</v>
      </c>
    </row>
    <row r="347" spans="1:28" hidden="1" x14ac:dyDescent="0.25">
      <c r="A347" s="1645"/>
      <c r="B347" s="72"/>
      <c r="C347" s="72"/>
      <c r="D347" s="72"/>
      <c r="E347" s="71"/>
    </row>
    <row r="348" spans="1:28" hidden="1" x14ac:dyDescent="0.25">
      <c r="A348" s="1644" t="s">
        <v>318</v>
      </c>
    </row>
    <row r="349" spans="1:28" hidden="1" x14ac:dyDescent="0.25">
      <c r="A349" s="1898" t="s">
        <v>8</v>
      </c>
      <c r="B349" s="1898" t="s">
        <v>35</v>
      </c>
      <c r="C349" s="1898"/>
      <c r="D349" s="1898"/>
      <c r="E349" s="1898"/>
      <c r="F349" s="1898"/>
      <c r="G349" s="1898" t="s">
        <v>61</v>
      </c>
      <c r="H349" s="1899" t="s">
        <v>843</v>
      </c>
      <c r="I349" s="1900"/>
      <c r="J349" s="1901"/>
    </row>
    <row r="350" spans="1:28" ht="30" hidden="1" customHeight="1" x14ac:dyDescent="0.25">
      <c r="A350" s="1898"/>
      <c r="B350" s="1898"/>
      <c r="C350" s="1898"/>
      <c r="D350" s="1898"/>
      <c r="E350" s="1898"/>
      <c r="F350" s="1898"/>
      <c r="G350" s="1898"/>
      <c r="H350" s="1581" t="s">
        <v>248</v>
      </c>
      <c r="I350" s="1588" t="s">
        <v>264</v>
      </c>
      <c r="J350" s="1588" t="s">
        <v>256</v>
      </c>
      <c r="K350" s="81" t="s">
        <v>371</v>
      </c>
    </row>
    <row r="351" spans="1:28" ht="18.75" hidden="1" customHeight="1" x14ac:dyDescent="0.25">
      <c r="A351" s="1630">
        <v>1</v>
      </c>
      <c r="B351" s="1909" t="s">
        <v>186</v>
      </c>
      <c r="C351" s="1909"/>
      <c r="D351" s="1909"/>
      <c r="E351" s="1909"/>
      <c r="F351" s="1909"/>
      <c r="G351" s="1588" t="s">
        <v>245</v>
      </c>
      <c r="H351" s="59">
        <v>1</v>
      </c>
      <c r="I351" s="1588"/>
      <c r="J351" s="1588">
        <f>H351*I351</f>
        <v>0</v>
      </c>
    </row>
    <row r="352" spans="1:28" hidden="1" x14ac:dyDescent="0.25">
      <c r="A352" s="1630">
        <v>1</v>
      </c>
      <c r="B352" s="1909" t="s">
        <v>889</v>
      </c>
      <c r="C352" s="1909"/>
      <c r="D352" s="1909"/>
      <c r="E352" s="1909"/>
      <c r="F352" s="1909"/>
      <c r="G352" s="1588" t="s">
        <v>273</v>
      </c>
      <c r="H352" s="59">
        <v>20</v>
      </c>
      <c r="I352" s="1588">
        <v>8784</v>
      </c>
      <c r="J352" s="1588"/>
    </row>
    <row r="353" spans="1:28" hidden="1" x14ac:dyDescent="0.25">
      <c r="A353" s="1630">
        <v>2</v>
      </c>
      <c r="B353" s="1909" t="s">
        <v>890</v>
      </c>
      <c r="C353" s="1909"/>
      <c r="D353" s="1909"/>
      <c r="E353" s="1909"/>
      <c r="F353" s="1909"/>
      <c r="G353" s="1588" t="s">
        <v>108</v>
      </c>
      <c r="H353" s="59">
        <v>1</v>
      </c>
      <c r="I353" s="1588">
        <v>200000</v>
      </c>
      <c r="J353" s="1588"/>
    </row>
    <row r="354" spans="1:28" hidden="1" x14ac:dyDescent="0.25">
      <c r="A354" s="1895" t="s">
        <v>39</v>
      </c>
      <c r="B354" s="1895"/>
      <c r="C354" s="1895"/>
      <c r="D354" s="1895"/>
      <c r="E354" s="1895"/>
      <c r="F354" s="1895"/>
      <c r="G354" s="1895"/>
      <c r="H354" s="1589" t="s">
        <v>5</v>
      </c>
      <c r="I354" s="1589" t="s">
        <v>5</v>
      </c>
      <c r="J354" s="1589">
        <f>SUM(J351:J353)</f>
        <v>0</v>
      </c>
    </row>
    <row r="355" spans="1:28" hidden="1" x14ac:dyDescent="0.25"/>
    <row r="356" spans="1:28" hidden="1" x14ac:dyDescent="0.25">
      <c r="A356" s="1645" t="s">
        <v>63</v>
      </c>
      <c r="B356" s="72"/>
      <c r="C356" s="61"/>
      <c r="D356" s="61"/>
      <c r="E356" s="71" t="s">
        <v>70</v>
      </c>
      <c r="J356" s="85">
        <f>J357</f>
        <v>0</v>
      </c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</row>
    <row r="357" spans="1:28" hidden="1" x14ac:dyDescent="0.25">
      <c r="A357" s="1645" t="s">
        <v>26</v>
      </c>
      <c r="B357" s="72"/>
      <c r="C357" s="72"/>
      <c r="D357" s="72"/>
      <c r="E357" s="71" t="s">
        <v>28</v>
      </c>
      <c r="J357" s="85">
        <f>J364</f>
        <v>0</v>
      </c>
    </row>
    <row r="358" spans="1:28" hidden="1" x14ac:dyDescent="0.25">
      <c r="A358" s="1645" t="s">
        <v>27</v>
      </c>
      <c r="B358" s="72"/>
      <c r="C358" s="72"/>
      <c r="D358" s="72"/>
      <c r="E358" s="71" t="s">
        <v>891</v>
      </c>
    </row>
    <row r="359" spans="1:28" hidden="1" x14ac:dyDescent="0.25">
      <c r="A359" s="1645"/>
      <c r="B359" s="72"/>
      <c r="C359" s="72"/>
      <c r="D359" s="72"/>
      <c r="E359" s="71"/>
    </row>
    <row r="360" spans="1:28" hidden="1" x14ac:dyDescent="0.25">
      <c r="A360" s="1644" t="s">
        <v>318</v>
      </c>
    </row>
    <row r="361" spans="1:28" ht="18.75" hidden="1" customHeight="1" x14ac:dyDescent="0.25">
      <c r="A361" s="1898" t="s">
        <v>8</v>
      </c>
      <c r="B361" s="1898" t="s">
        <v>35</v>
      </c>
      <c r="C361" s="1898"/>
      <c r="D361" s="1898"/>
      <c r="E361" s="1898"/>
      <c r="F361" s="1898"/>
      <c r="G361" s="1898" t="s">
        <v>61</v>
      </c>
      <c r="H361" s="1899" t="s">
        <v>843</v>
      </c>
      <c r="I361" s="1900"/>
      <c r="J361" s="1901"/>
    </row>
    <row r="362" spans="1:28" ht="30" hidden="1" customHeight="1" x14ac:dyDescent="0.25">
      <c r="A362" s="1898"/>
      <c r="B362" s="1898"/>
      <c r="C362" s="1898"/>
      <c r="D362" s="1898"/>
      <c r="E362" s="1898"/>
      <c r="F362" s="1898"/>
      <c r="G362" s="1898"/>
      <c r="H362" s="1581" t="s">
        <v>248</v>
      </c>
      <c r="I362" s="1588" t="s">
        <v>264</v>
      </c>
      <c r="J362" s="1588" t="s">
        <v>256</v>
      </c>
    </row>
    <row r="363" spans="1:28" ht="60" hidden="1" customHeight="1" x14ac:dyDescent="0.25">
      <c r="A363" s="1630">
        <v>1</v>
      </c>
      <c r="B363" s="1909" t="s">
        <v>892</v>
      </c>
      <c r="C363" s="1909"/>
      <c r="D363" s="1909"/>
      <c r="E363" s="1909"/>
      <c r="F363" s="1909"/>
      <c r="G363" s="1588" t="s">
        <v>108</v>
      </c>
      <c r="H363" s="59">
        <v>1</v>
      </c>
      <c r="I363" s="1588"/>
      <c r="J363" s="1588">
        <f>H363*I363</f>
        <v>0</v>
      </c>
    </row>
    <row r="364" spans="1:28" hidden="1" x14ac:dyDescent="0.25">
      <c r="A364" s="1895" t="s">
        <v>39</v>
      </c>
      <c r="B364" s="1895"/>
      <c r="C364" s="1895"/>
      <c r="D364" s="1895"/>
      <c r="E364" s="1895"/>
      <c r="F364" s="1895"/>
      <c r="G364" s="1895"/>
      <c r="H364" s="1589" t="s">
        <v>5</v>
      </c>
      <c r="I364" s="1589" t="s">
        <v>5</v>
      </c>
      <c r="J364" s="1589">
        <f>SUM(J363:J363)</f>
        <v>0</v>
      </c>
    </row>
    <row r="365" spans="1:28" ht="18.75" hidden="1" customHeight="1" x14ac:dyDescent="0.25"/>
    <row r="366" spans="1:28" hidden="1" x14ac:dyDescent="0.25">
      <c r="A366" s="1645" t="s">
        <v>63</v>
      </c>
      <c r="B366" s="72"/>
      <c r="C366" s="75"/>
      <c r="D366" s="75"/>
      <c r="E366" s="94" t="s">
        <v>70</v>
      </c>
      <c r="J366" s="85">
        <f>J367</f>
        <v>0</v>
      </c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</row>
    <row r="367" spans="1:28" hidden="1" x14ac:dyDescent="0.25">
      <c r="A367" s="1645" t="s">
        <v>26</v>
      </c>
      <c r="B367" s="72"/>
      <c r="C367" s="72"/>
      <c r="D367" s="72"/>
      <c r="E367" s="71" t="s">
        <v>95</v>
      </c>
      <c r="J367" s="85">
        <f>J375</f>
        <v>0</v>
      </c>
    </row>
    <row r="368" spans="1:28" hidden="1" x14ac:dyDescent="0.25">
      <c r="A368" s="1645" t="s">
        <v>27</v>
      </c>
      <c r="B368" s="72"/>
      <c r="C368" s="72"/>
      <c r="D368" s="72"/>
      <c r="E368" s="71" t="s">
        <v>94</v>
      </c>
    </row>
    <row r="369" spans="1:28" hidden="1" x14ac:dyDescent="0.25">
      <c r="A369" s="1645"/>
      <c r="B369" s="72"/>
      <c r="C369" s="72"/>
      <c r="D369" s="72"/>
      <c r="E369" s="71"/>
    </row>
    <row r="370" spans="1:28" hidden="1" x14ac:dyDescent="0.25">
      <c r="A370" s="1644" t="s">
        <v>318</v>
      </c>
    </row>
    <row r="371" spans="1:28" hidden="1" x14ac:dyDescent="0.25">
      <c r="A371" s="1898" t="s">
        <v>8</v>
      </c>
      <c r="B371" s="1898" t="s">
        <v>35</v>
      </c>
      <c r="C371" s="1898"/>
      <c r="D371" s="1898"/>
      <c r="E371" s="1898"/>
      <c r="F371" s="1898"/>
      <c r="G371" s="1898" t="s">
        <v>61</v>
      </c>
      <c r="H371" s="1899" t="s">
        <v>843</v>
      </c>
      <c r="I371" s="1900"/>
      <c r="J371" s="1901"/>
    </row>
    <row r="372" spans="1:28" ht="30" hidden="1" customHeight="1" x14ac:dyDescent="0.25">
      <c r="A372" s="1898"/>
      <c r="B372" s="1898"/>
      <c r="C372" s="1898"/>
      <c r="D372" s="1898"/>
      <c r="E372" s="1898"/>
      <c r="F372" s="1898"/>
      <c r="G372" s="1898"/>
      <c r="H372" s="1581" t="s">
        <v>248</v>
      </c>
      <c r="I372" s="1588" t="s">
        <v>264</v>
      </c>
      <c r="J372" s="1588" t="s">
        <v>256</v>
      </c>
    </row>
    <row r="373" spans="1:28" ht="30" hidden="1" customHeight="1" x14ac:dyDescent="0.25">
      <c r="A373" s="1630">
        <v>1</v>
      </c>
      <c r="B373" s="1909" t="s">
        <v>893</v>
      </c>
      <c r="C373" s="1909"/>
      <c r="D373" s="1909"/>
      <c r="E373" s="1909"/>
      <c r="F373" s="1909"/>
      <c r="G373" s="1588" t="s">
        <v>273</v>
      </c>
      <c r="H373" s="59">
        <v>125</v>
      </c>
      <c r="I373" s="1588">
        <v>223.57</v>
      </c>
      <c r="J373" s="1588"/>
      <c r="K373" s="81" t="s">
        <v>378</v>
      </c>
    </row>
    <row r="374" spans="1:28" ht="30" hidden="1" customHeight="1" x14ac:dyDescent="0.25">
      <c r="A374" s="1630">
        <f>A373+1</f>
        <v>2</v>
      </c>
      <c r="B374" s="1909" t="s">
        <v>894</v>
      </c>
      <c r="C374" s="1909"/>
      <c r="D374" s="1909"/>
      <c r="E374" s="1909"/>
      <c r="F374" s="1909"/>
      <c r="G374" s="1588" t="s">
        <v>273</v>
      </c>
      <c r="H374" s="59">
        <v>125</v>
      </c>
      <c r="I374" s="1588">
        <v>223.57</v>
      </c>
      <c r="J374" s="1588"/>
      <c r="K374" s="81" t="s">
        <v>371</v>
      </c>
    </row>
    <row r="375" spans="1:28" hidden="1" x14ac:dyDescent="0.25">
      <c r="A375" s="1895" t="s">
        <v>39</v>
      </c>
      <c r="B375" s="1895"/>
      <c r="C375" s="1895"/>
      <c r="D375" s="1895"/>
      <c r="E375" s="1895"/>
      <c r="F375" s="1895"/>
      <c r="G375" s="1895"/>
      <c r="H375" s="1589" t="s">
        <v>5</v>
      </c>
      <c r="I375" s="1589" t="s">
        <v>5</v>
      </c>
      <c r="J375" s="1589">
        <f>SUM(J373:J374)</f>
        <v>0</v>
      </c>
    </row>
    <row r="376" spans="1:28" hidden="1" x14ac:dyDescent="0.25"/>
    <row r="377" spans="1:28" hidden="1" x14ac:dyDescent="0.25">
      <c r="A377" s="1645" t="s">
        <v>63</v>
      </c>
      <c r="B377" s="72"/>
      <c r="C377" s="75"/>
      <c r="D377" s="75"/>
      <c r="E377" s="94" t="s">
        <v>70</v>
      </c>
      <c r="J377" s="85">
        <f>J378</f>
        <v>0</v>
      </c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</row>
    <row r="378" spans="1:28" s="75" customFormat="1" hidden="1" x14ac:dyDescent="0.25">
      <c r="A378" s="1645" t="s">
        <v>26</v>
      </c>
      <c r="B378" s="72"/>
      <c r="C378" s="72"/>
      <c r="D378" s="72"/>
      <c r="E378" s="71" t="s">
        <v>38</v>
      </c>
      <c r="F378" s="72"/>
      <c r="G378" s="72"/>
      <c r="H378" s="74"/>
      <c r="I378" s="78"/>
      <c r="J378" s="92">
        <f>J386</f>
        <v>0</v>
      </c>
      <c r="K378" s="83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</row>
    <row r="379" spans="1:28" s="75" customFormat="1" hidden="1" x14ac:dyDescent="0.25">
      <c r="A379" s="1645" t="s">
        <v>27</v>
      </c>
      <c r="B379" s="72"/>
      <c r="C379" s="72"/>
      <c r="D379" s="72"/>
      <c r="E379" s="71" t="s">
        <v>144</v>
      </c>
      <c r="F379" s="72"/>
      <c r="G379" s="72"/>
      <c r="H379" s="74"/>
      <c r="I379" s="78"/>
      <c r="J379" s="78"/>
      <c r="K379" s="83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</row>
    <row r="380" spans="1:28" s="75" customFormat="1" hidden="1" x14ac:dyDescent="0.25">
      <c r="A380" s="1645"/>
      <c r="B380" s="72"/>
      <c r="C380" s="72"/>
      <c r="D380" s="72"/>
      <c r="E380" s="71"/>
      <c r="F380" s="72"/>
      <c r="G380" s="72"/>
      <c r="H380" s="74"/>
      <c r="I380" s="78"/>
      <c r="J380" s="78"/>
      <c r="K380" s="83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</row>
    <row r="381" spans="1:28" hidden="1" x14ac:dyDescent="0.25">
      <c r="A381" s="1644" t="s">
        <v>318</v>
      </c>
    </row>
    <row r="382" spans="1:28" hidden="1" x14ac:dyDescent="0.25">
      <c r="A382" s="1898" t="s">
        <v>8</v>
      </c>
      <c r="B382" s="1898" t="s">
        <v>35</v>
      </c>
      <c r="C382" s="1898"/>
      <c r="D382" s="1898"/>
      <c r="E382" s="1898"/>
      <c r="F382" s="1898"/>
      <c r="G382" s="1898" t="s">
        <v>61</v>
      </c>
      <c r="H382" s="1899" t="s">
        <v>843</v>
      </c>
      <c r="I382" s="1900"/>
      <c r="J382" s="190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</row>
    <row r="383" spans="1:28" ht="30" hidden="1" customHeight="1" x14ac:dyDescent="0.25">
      <c r="A383" s="1898"/>
      <c r="B383" s="1898"/>
      <c r="C383" s="1898"/>
      <c r="D383" s="1898"/>
      <c r="E383" s="1898"/>
      <c r="F383" s="1898"/>
      <c r="G383" s="1898"/>
      <c r="H383" s="1581" t="s">
        <v>248</v>
      </c>
      <c r="I383" s="1588" t="s">
        <v>264</v>
      </c>
      <c r="J383" s="1588" t="s">
        <v>256</v>
      </c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</row>
    <row r="384" spans="1:28" ht="30" hidden="1" customHeight="1" x14ac:dyDescent="0.25">
      <c r="A384" s="1630">
        <v>1</v>
      </c>
      <c r="B384" s="1909" t="s">
        <v>893</v>
      </c>
      <c r="C384" s="1909"/>
      <c r="D384" s="1909"/>
      <c r="E384" s="1909"/>
      <c r="F384" s="1909"/>
      <c r="G384" s="1588" t="s">
        <v>273</v>
      </c>
      <c r="H384" s="59">
        <v>125</v>
      </c>
      <c r="I384" s="1588">
        <v>223.57</v>
      </c>
      <c r="J384" s="1588"/>
      <c r="K384" s="81" t="s">
        <v>378</v>
      </c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</row>
    <row r="385" spans="1:28" ht="30" hidden="1" customHeight="1" x14ac:dyDescent="0.25">
      <c r="A385" s="1630">
        <f>A384+1</f>
        <v>2</v>
      </c>
      <c r="B385" s="1909" t="s">
        <v>894</v>
      </c>
      <c r="C385" s="1909"/>
      <c r="D385" s="1909"/>
      <c r="E385" s="1909"/>
      <c r="F385" s="1909"/>
      <c r="G385" s="1588" t="s">
        <v>273</v>
      </c>
      <c r="H385" s="59">
        <v>125</v>
      </c>
      <c r="I385" s="1588">
        <v>223.57</v>
      </c>
      <c r="J385" s="1588"/>
      <c r="K385" s="81" t="s">
        <v>371</v>
      </c>
      <c r="L385" s="70" t="s">
        <v>895</v>
      </c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</row>
    <row r="386" spans="1:28" hidden="1" x14ac:dyDescent="0.25">
      <c r="A386" s="1895" t="s">
        <v>39</v>
      </c>
      <c r="B386" s="1895"/>
      <c r="C386" s="1895"/>
      <c r="D386" s="1895"/>
      <c r="E386" s="1895"/>
      <c r="F386" s="1895"/>
      <c r="G386" s="1895"/>
      <c r="H386" s="1589" t="s">
        <v>5</v>
      </c>
      <c r="I386" s="1589" t="s">
        <v>5</v>
      </c>
      <c r="J386" s="1589">
        <f>SUM(J384:J385)</f>
        <v>0</v>
      </c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</row>
    <row r="387" spans="1:28" hidden="1" x14ac:dyDescent="0.25"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</row>
    <row r="388" spans="1:28" ht="19.5" hidden="1" customHeight="1" x14ac:dyDescent="0.25">
      <c r="A388" s="1644" t="s">
        <v>896</v>
      </c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</row>
    <row r="389" spans="1:28" ht="19.5" hidden="1" customHeight="1" x14ac:dyDescent="0.25"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</row>
    <row r="390" spans="1:28" ht="19.5" hidden="1" customHeight="1" x14ac:dyDescent="0.25">
      <c r="A390" s="1645" t="s">
        <v>26</v>
      </c>
      <c r="B390" s="72"/>
      <c r="C390" s="72"/>
      <c r="D390" s="72"/>
      <c r="E390" s="71" t="s">
        <v>38</v>
      </c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</row>
    <row r="391" spans="1:28" ht="19.5" hidden="1" customHeight="1" x14ac:dyDescent="0.25">
      <c r="A391" s="1645" t="s">
        <v>27</v>
      </c>
      <c r="B391" s="72"/>
      <c r="C391" s="72"/>
      <c r="D391" s="72"/>
      <c r="E391" s="71" t="s">
        <v>91</v>
      </c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</row>
    <row r="392" spans="1:28" ht="19.5" hidden="1" customHeight="1" x14ac:dyDescent="0.25">
      <c r="A392" s="1645" t="s">
        <v>63</v>
      </c>
      <c r="B392" s="72"/>
      <c r="C392" s="72"/>
      <c r="D392" s="72"/>
      <c r="E392" s="71" t="s">
        <v>78</v>
      </c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</row>
    <row r="393" spans="1:28" ht="19.5" hidden="1" customHeight="1" x14ac:dyDescent="0.25"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</row>
    <row r="394" spans="1:28" ht="19.5" hidden="1" customHeight="1" x14ac:dyDescent="0.25">
      <c r="A394" s="1898" t="s">
        <v>8</v>
      </c>
      <c r="B394" s="1898" t="s">
        <v>35</v>
      </c>
      <c r="C394" s="1898"/>
      <c r="D394" s="1898"/>
      <c r="E394" s="1898"/>
      <c r="F394" s="1898"/>
      <c r="G394" s="1898" t="s">
        <v>61</v>
      </c>
      <c r="H394" s="1899" t="s">
        <v>843</v>
      </c>
      <c r="I394" s="1900"/>
      <c r="J394" s="190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</row>
    <row r="395" spans="1:28" ht="30" hidden="1" x14ac:dyDescent="0.25">
      <c r="A395" s="1898"/>
      <c r="B395" s="1898"/>
      <c r="C395" s="1898"/>
      <c r="D395" s="1898"/>
      <c r="E395" s="1898"/>
      <c r="F395" s="1898"/>
      <c r="G395" s="1898"/>
      <c r="H395" s="1581" t="s">
        <v>248</v>
      </c>
      <c r="I395" s="1588" t="s">
        <v>264</v>
      </c>
      <c r="J395" s="1588" t="s">
        <v>256</v>
      </c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</row>
    <row r="396" spans="1:28" ht="19.5" hidden="1" customHeight="1" x14ac:dyDescent="0.25">
      <c r="A396" s="1630">
        <v>1</v>
      </c>
      <c r="B396" s="1909"/>
      <c r="C396" s="1909"/>
      <c r="D396" s="1909"/>
      <c r="E396" s="1909"/>
      <c r="F396" s="1909"/>
      <c r="G396" s="659"/>
      <c r="H396" s="1588"/>
      <c r="I396" s="1588"/>
      <c r="J396" s="1588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</row>
    <row r="397" spans="1:28" ht="19.5" hidden="1" customHeight="1" x14ac:dyDescent="0.25">
      <c r="A397" s="1630">
        <f>A396+1</f>
        <v>2</v>
      </c>
      <c r="B397" s="1909"/>
      <c r="C397" s="1909"/>
      <c r="D397" s="1909"/>
      <c r="E397" s="1909"/>
      <c r="F397" s="1909"/>
      <c r="G397" s="659"/>
      <c r="H397" s="1588"/>
      <c r="I397" s="1588"/>
      <c r="J397" s="1588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</row>
    <row r="398" spans="1:28" ht="19.5" hidden="1" customHeight="1" x14ac:dyDescent="0.25">
      <c r="A398" s="706">
        <f>A397+1</f>
        <v>3</v>
      </c>
      <c r="B398" s="1909"/>
      <c r="C398" s="1909"/>
      <c r="D398" s="1909"/>
      <c r="E398" s="1909"/>
      <c r="F398" s="1909"/>
      <c r="G398" s="662"/>
      <c r="H398" s="1588"/>
      <c r="I398" s="1588"/>
      <c r="J398" s="1588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</row>
    <row r="399" spans="1:28" ht="19.5" hidden="1" customHeight="1" x14ac:dyDescent="0.25">
      <c r="A399" s="1895" t="s">
        <v>39</v>
      </c>
      <c r="B399" s="1895"/>
      <c r="C399" s="1895"/>
      <c r="D399" s="1895"/>
      <c r="E399" s="1895"/>
      <c r="F399" s="1895"/>
      <c r="G399" s="1895"/>
      <c r="H399" s="1589">
        <f>SUM(H396:H398)</f>
        <v>0</v>
      </c>
      <c r="I399" s="1589" t="s">
        <v>5</v>
      </c>
      <c r="J399" s="1589">
        <f>SUM(J396:J398)</f>
        <v>0</v>
      </c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</row>
    <row r="400" spans="1:28" ht="19.5" hidden="1" customHeight="1" x14ac:dyDescent="0.25"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</row>
    <row r="401" spans="1:28" hidden="1" x14ac:dyDescent="0.25">
      <c r="A401" s="1645" t="s">
        <v>63</v>
      </c>
      <c r="B401" s="72"/>
      <c r="C401" s="75"/>
      <c r="D401" s="75"/>
      <c r="E401" s="71" t="s">
        <v>79</v>
      </c>
      <c r="J401" s="85">
        <f>J409</f>
        <v>0</v>
      </c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</row>
    <row r="402" spans="1:28" hidden="1" x14ac:dyDescent="0.25">
      <c r="A402" s="1645" t="s">
        <v>26</v>
      </c>
      <c r="B402" s="72"/>
      <c r="C402" s="75"/>
      <c r="D402" s="75"/>
      <c r="E402" s="71" t="s">
        <v>38</v>
      </c>
      <c r="J402" s="85">
        <f>J409</f>
        <v>0</v>
      </c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</row>
    <row r="403" spans="1:28" hidden="1" x14ac:dyDescent="0.25">
      <c r="A403" s="1645" t="s">
        <v>27</v>
      </c>
      <c r="B403" s="72"/>
      <c r="C403" s="75"/>
      <c r="D403" s="75"/>
      <c r="E403" s="71" t="s">
        <v>91</v>
      </c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</row>
    <row r="404" spans="1:28" hidden="1" x14ac:dyDescent="0.25">
      <c r="A404" s="1645"/>
      <c r="B404" s="72"/>
      <c r="C404" s="75"/>
      <c r="D404" s="75"/>
      <c r="E404" s="7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</row>
    <row r="405" spans="1:28" hidden="1" x14ac:dyDescent="0.25">
      <c r="A405" s="1644" t="s">
        <v>325</v>
      </c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</row>
    <row r="406" spans="1:28" hidden="1" x14ac:dyDescent="0.25">
      <c r="A406" s="1898" t="s">
        <v>8</v>
      </c>
      <c r="B406" s="1898" t="s">
        <v>35</v>
      </c>
      <c r="C406" s="1898"/>
      <c r="D406" s="1898"/>
      <c r="E406" s="1898"/>
      <c r="F406" s="1898"/>
      <c r="G406" s="1898" t="s">
        <v>61</v>
      </c>
      <c r="H406" s="1899" t="s">
        <v>843</v>
      </c>
      <c r="I406" s="1900"/>
      <c r="J406" s="1901"/>
      <c r="K406" s="81" t="s">
        <v>371</v>
      </c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</row>
    <row r="407" spans="1:28" ht="30" hidden="1" x14ac:dyDescent="0.25">
      <c r="A407" s="1898"/>
      <c r="B407" s="1898"/>
      <c r="C407" s="1898"/>
      <c r="D407" s="1898"/>
      <c r="E407" s="1898"/>
      <c r="F407" s="1898"/>
      <c r="G407" s="1898"/>
      <c r="H407" s="1581" t="s">
        <v>248</v>
      </c>
      <c r="I407" s="1588" t="s">
        <v>264</v>
      </c>
      <c r="J407" s="1588" t="s">
        <v>256</v>
      </c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</row>
    <row r="408" spans="1:28" ht="30.75" hidden="1" customHeight="1" x14ac:dyDescent="0.25">
      <c r="A408" s="1630">
        <v>1</v>
      </c>
      <c r="B408" s="1909" t="s">
        <v>301</v>
      </c>
      <c r="C408" s="1909"/>
      <c r="D408" s="1909"/>
      <c r="E408" s="1909"/>
      <c r="F408" s="1909"/>
      <c r="G408" s="1588" t="s">
        <v>897</v>
      </c>
      <c r="H408" s="59">
        <v>1</v>
      </c>
      <c r="I408" s="1588">
        <v>8149.68</v>
      </c>
      <c r="J408" s="1588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</row>
    <row r="409" spans="1:28" hidden="1" x14ac:dyDescent="0.25">
      <c r="A409" s="1895" t="s">
        <v>39</v>
      </c>
      <c r="B409" s="1895"/>
      <c r="C409" s="1895"/>
      <c r="D409" s="1895"/>
      <c r="E409" s="1895"/>
      <c r="F409" s="1895"/>
      <c r="G409" s="1895"/>
      <c r="H409" s="1589" t="s">
        <v>5</v>
      </c>
      <c r="I409" s="1589" t="s">
        <v>5</v>
      </c>
      <c r="J409" s="1589">
        <f>SUM(J408:J408)</f>
        <v>0</v>
      </c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</row>
    <row r="410" spans="1:28" hidden="1" x14ac:dyDescent="0.25"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</row>
    <row r="411" spans="1:28" hidden="1" x14ac:dyDescent="0.25">
      <c r="A411" s="1645" t="s">
        <v>63</v>
      </c>
      <c r="B411" s="72"/>
      <c r="C411" s="75"/>
      <c r="D411" s="75"/>
      <c r="E411" s="71" t="s">
        <v>79</v>
      </c>
      <c r="J411" s="85">
        <f>J420</f>
        <v>0</v>
      </c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</row>
    <row r="412" spans="1:28" hidden="1" x14ac:dyDescent="0.25">
      <c r="A412" s="1645" t="s">
        <v>26</v>
      </c>
      <c r="B412" s="72"/>
      <c r="C412" s="75"/>
      <c r="D412" s="75"/>
      <c r="E412" s="71" t="s">
        <v>38</v>
      </c>
      <c r="J412" s="85">
        <f>J420</f>
        <v>0</v>
      </c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</row>
    <row r="413" spans="1:28" hidden="1" x14ac:dyDescent="0.25">
      <c r="A413" s="1645" t="s">
        <v>27</v>
      </c>
      <c r="B413" s="72"/>
      <c r="C413" s="75"/>
      <c r="D413" s="75"/>
      <c r="E413" s="71" t="s">
        <v>92</v>
      </c>
      <c r="K413" s="354"/>
      <c r="L413" s="99"/>
      <c r="M413" s="99"/>
      <c r="N413" s="99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</row>
    <row r="414" spans="1:28" hidden="1" x14ac:dyDescent="0.25">
      <c r="A414" s="1645"/>
      <c r="B414" s="72"/>
      <c r="C414" s="75"/>
      <c r="D414" s="75"/>
      <c r="E414" s="71"/>
      <c r="K414" s="354"/>
      <c r="L414" s="99"/>
      <c r="M414" s="99"/>
      <c r="N414" s="99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</row>
    <row r="415" spans="1:28" hidden="1" x14ac:dyDescent="0.25">
      <c r="A415" s="1644" t="s">
        <v>325</v>
      </c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</row>
    <row r="416" spans="1:28" hidden="1" x14ac:dyDescent="0.25">
      <c r="A416" s="1898" t="s">
        <v>8</v>
      </c>
      <c r="B416" s="1898" t="s">
        <v>35</v>
      </c>
      <c r="C416" s="1898"/>
      <c r="D416" s="1898"/>
      <c r="E416" s="1898"/>
      <c r="F416" s="1898"/>
      <c r="G416" s="1898" t="s">
        <v>61</v>
      </c>
      <c r="H416" s="1899" t="s">
        <v>843</v>
      </c>
      <c r="I416" s="1900"/>
      <c r="J416" s="1901"/>
      <c r="K416" s="81" t="s">
        <v>371</v>
      </c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</row>
    <row r="417" spans="1:28" ht="30" hidden="1" customHeight="1" x14ac:dyDescent="0.25">
      <c r="A417" s="1898"/>
      <c r="B417" s="1898"/>
      <c r="C417" s="1898"/>
      <c r="D417" s="1898"/>
      <c r="E417" s="1898"/>
      <c r="F417" s="1898"/>
      <c r="G417" s="1898"/>
      <c r="H417" s="1581" t="s">
        <v>248</v>
      </c>
      <c r="I417" s="1588" t="s">
        <v>264</v>
      </c>
      <c r="J417" s="1588" t="s">
        <v>256</v>
      </c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</row>
    <row r="418" spans="1:28" ht="30" hidden="1" customHeight="1" x14ac:dyDescent="0.25">
      <c r="A418" s="1630">
        <v>1</v>
      </c>
      <c r="B418" s="1909" t="s">
        <v>398</v>
      </c>
      <c r="C418" s="1909"/>
      <c r="D418" s="1909"/>
      <c r="E418" s="1909"/>
      <c r="F418" s="1909"/>
      <c r="G418" s="1588" t="s">
        <v>273</v>
      </c>
      <c r="H418" s="59">
        <v>125</v>
      </c>
      <c r="I418" s="1588">
        <v>2.5</v>
      </c>
      <c r="J418" s="1588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</row>
    <row r="419" spans="1:28" ht="30" hidden="1" customHeight="1" x14ac:dyDescent="0.25">
      <c r="A419" s="1630">
        <v>2</v>
      </c>
      <c r="B419" s="1909" t="s">
        <v>93</v>
      </c>
      <c r="C419" s="1909"/>
      <c r="D419" s="1909"/>
      <c r="E419" s="1909"/>
      <c r="F419" s="1909"/>
      <c r="G419" s="1588" t="s">
        <v>273</v>
      </c>
      <c r="H419" s="59">
        <v>125</v>
      </c>
      <c r="I419" s="1588">
        <v>2.5</v>
      </c>
      <c r="J419" s="1588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</row>
    <row r="420" spans="1:28" hidden="1" x14ac:dyDescent="0.25">
      <c r="A420" s="1895" t="s">
        <v>39</v>
      </c>
      <c r="B420" s="1895"/>
      <c r="C420" s="1895"/>
      <c r="D420" s="1895"/>
      <c r="E420" s="1895"/>
      <c r="F420" s="1895"/>
      <c r="G420" s="1895"/>
      <c r="H420" s="1589" t="s">
        <v>5</v>
      </c>
      <c r="I420" s="1589" t="s">
        <v>5</v>
      </c>
      <c r="J420" s="1589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</row>
    <row r="421" spans="1:28" ht="18.75" hidden="1" customHeight="1" x14ac:dyDescent="0.25"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</row>
    <row r="422" spans="1:28" ht="18.75" hidden="1" customHeight="1" x14ac:dyDescent="0.25">
      <c r="A422" s="1644" t="s">
        <v>311</v>
      </c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</row>
    <row r="423" spans="1:28" hidden="1" x14ac:dyDescent="0.25">
      <c r="E423" s="72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</row>
    <row r="424" spans="1:28" hidden="1" x14ac:dyDescent="0.25">
      <c r="A424" s="1645" t="s">
        <v>63</v>
      </c>
      <c r="B424" s="72"/>
      <c r="C424" s="75"/>
      <c r="D424" s="75"/>
      <c r="E424" s="71" t="s">
        <v>80</v>
      </c>
      <c r="J424" s="85">
        <f>J425</f>
        <v>0</v>
      </c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</row>
    <row r="425" spans="1:28" hidden="1" x14ac:dyDescent="0.25">
      <c r="A425" s="1645" t="s">
        <v>26</v>
      </c>
      <c r="B425" s="72"/>
      <c r="C425" s="75"/>
      <c r="D425" s="75"/>
      <c r="E425" s="71" t="s">
        <v>28</v>
      </c>
      <c r="J425" s="85">
        <f>J432+J442+J452+J459+J468</f>
        <v>0</v>
      </c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</row>
    <row r="426" spans="1:28" hidden="1" x14ac:dyDescent="0.25">
      <c r="A426" s="1645" t="s">
        <v>27</v>
      </c>
      <c r="B426" s="72"/>
      <c r="C426" s="75"/>
      <c r="D426" s="75"/>
      <c r="E426" s="71" t="s">
        <v>138</v>
      </c>
      <c r="K426" s="87"/>
      <c r="L426" s="99"/>
      <c r="M426" s="99"/>
      <c r="N426" s="99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</row>
    <row r="427" spans="1:28" hidden="1" x14ac:dyDescent="0.25">
      <c r="A427" s="1645"/>
      <c r="B427" s="72"/>
      <c r="C427" s="75"/>
      <c r="D427" s="75"/>
      <c r="E427" s="71"/>
      <c r="K427" s="87"/>
      <c r="L427" s="99"/>
      <c r="M427" s="99"/>
      <c r="N427" s="99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</row>
    <row r="428" spans="1:28" hidden="1" x14ac:dyDescent="0.25">
      <c r="A428" s="1644" t="s">
        <v>326</v>
      </c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</row>
    <row r="429" spans="1:28" ht="18.75" hidden="1" customHeight="1" x14ac:dyDescent="0.25">
      <c r="A429" s="1898" t="s">
        <v>8</v>
      </c>
      <c r="B429" s="1898" t="s">
        <v>35</v>
      </c>
      <c r="C429" s="1898"/>
      <c r="D429" s="1898"/>
      <c r="E429" s="1898"/>
      <c r="F429" s="1898"/>
      <c r="G429" s="1898" t="s">
        <v>61</v>
      </c>
      <c r="H429" s="1899" t="s">
        <v>843</v>
      </c>
      <c r="I429" s="1900"/>
      <c r="J429" s="190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</row>
    <row r="430" spans="1:28" ht="30" hidden="1" x14ac:dyDescent="0.25">
      <c r="A430" s="1898"/>
      <c r="B430" s="1898"/>
      <c r="C430" s="1898"/>
      <c r="D430" s="1898"/>
      <c r="E430" s="1898"/>
      <c r="F430" s="1898"/>
      <c r="G430" s="1898"/>
      <c r="H430" s="1581" t="s">
        <v>248</v>
      </c>
      <c r="I430" s="1588" t="s">
        <v>264</v>
      </c>
      <c r="J430" s="1588" t="s">
        <v>256</v>
      </c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</row>
    <row r="431" spans="1:28" ht="18.75" hidden="1" customHeight="1" x14ac:dyDescent="0.25">
      <c r="A431" s="1630">
        <v>1</v>
      </c>
      <c r="B431" s="1909" t="s">
        <v>898</v>
      </c>
      <c r="C431" s="1909"/>
      <c r="D431" s="1909"/>
      <c r="E431" s="1909"/>
      <c r="F431" s="1909"/>
      <c r="G431" s="1588" t="s">
        <v>5</v>
      </c>
      <c r="H431" s="1588" t="s">
        <v>5</v>
      </c>
      <c r="I431" s="1588" t="s">
        <v>5</v>
      </c>
      <c r="J431" s="1588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</row>
    <row r="432" spans="1:28" hidden="1" x14ac:dyDescent="0.25">
      <c r="A432" s="1895" t="s">
        <v>39</v>
      </c>
      <c r="B432" s="1895"/>
      <c r="C432" s="1895"/>
      <c r="D432" s="1895"/>
      <c r="E432" s="1895"/>
      <c r="F432" s="1895"/>
      <c r="G432" s="1895"/>
      <c r="H432" s="1589" t="s">
        <v>5</v>
      </c>
      <c r="I432" s="1589" t="s">
        <v>5</v>
      </c>
      <c r="J432" s="1589">
        <f>SUM(J431:J431)</f>
        <v>0</v>
      </c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</row>
    <row r="433" spans="1:28" ht="18.75" hidden="1" customHeight="1" x14ac:dyDescent="0.25">
      <c r="A433" s="63"/>
      <c r="B433" s="63"/>
      <c r="C433" s="63"/>
      <c r="D433" s="63"/>
      <c r="E433" s="63"/>
      <c r="F433" s="63"/>
      <c r="G433" s="63"/>
      <c r="H433" s="64"/>
      <c r="I433" s="64"/>
      <c r="J433" s="64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</row>
    <row r="434" spans="1:28" hidden="1" x14ac:dyDescent="0.25">
      <c r="A434" s="1644" t="s">
        <v>343</v>
      </c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</row>
    <row r="435" spans="1:28" hidden="1" x14ac:dyDescent="0.25">
      <c r="A435" s="1898" t="s">
        <v>8</v>
      </c>
      <c r="B435" s="1898" t="s">
        <v>35</v>
      </c>
      <c r="C435" s="1898"/>
      <c r="D435" s="1898"/>
      <c r="E435" s="1898"/>
      <c r="F435" s="1898"/>
      <c r="G435" s="1898" t="s">
        <v>61</v>
      </c>
      <c r="H435" s="1899" t="s">
        <v>843</v>
      </c>
      <c r="I435" s="1900"/>
      <c r="J435" s="1901"/>
      <c r="K435" s="61" t="s">
        <v>899</v>
      </c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</row>
    <row r="436" spans="1:28" ht="28.5" hidden="1" customHeight="1" x14ac:dyDescent="0.25">
      <c r="A436" s="1898"/>
      <c r="B436" s="1898"/>
      <c r="C436" s="1898"/>
      <c r="D436" s="1898"/>
      <c r="E436" s="1898"/>
      <c r="F436" s="1898"/>
      <c r="G436" s="1898"/>
      <c r="H436" s="1581" t="s">
        <v>248</v>
      </c>
      <c r="I436" s="1588" t="s">
        <v>264</v>
      </c>
      <c r="J436" s="1588" t="s">
        <v>256</v>
      </c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</row>
    <row r="437" spans="1:28" ht="15" hidden="1" customHeight="1" x14ac:dyDescent="0.25">
      <c r="A437" s="1630">
        <v>1</v>
      </c>
      <c r="B437" s="1921" t="s">
        <v>900</v>
      </c>
      <c r="C437" s="1922"/>
      <c r="D437" s="1922"/>
      <c r="E437" s="1922"/>
      <c r="F437" s="1923"/>
      <c r="G437" s="1588" t="s">
        <v>304</v>
      </c>
      <c r="H437" s="59">
        <v>13</v>
      </c>
      <c r="I437" s="1588">
        <v>35000</v>
      </c>
      <c r="J437" s="1588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</row>
    <row r="438" spans="1:28" ht="15" hidden="1" customHeight="1" x14ac:dyDescent="0.25">
      <c r="A438" s="1630">
        <v>2</v>
      </c>
      <c r="B438" s="1921" t="s">
        <v>901</v>
      </c>
      <c r="C438" s="1922"/>
      <c r="D438" s="1922"/>
      <c r="E438" s="1922"/>
      <c r="F438" s="1923"/>
      <c r="G438" s="1588" t="s">
        <v>304</v>
      </c>
      <c r="H438" s="59">
        <v>13</v>
      </c>
      <c r="I438" s="1588">
        <v>35000</v>
      </c>
      <c r="J438" s="1588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</row>
    <row r="439" spans="1:28" ht="15" hidden="1" customHeight="1" x14ac:dyDescent="0.25">
      <c r="A439" s="1630">
        <v>3</v>
      </c>
      <c r="B439" s="1921" t="s">
        <v>902</v>
      </c>
      <c r="C439" s="1922"/>
      <c r="D439" s="1922"/>
      <c r="E439" s="1922"/>
      <c r="F439" s="1923"/>
      <c r="G439" s="1588" t="s">
        <v>304</v>
      </c>
      <c r="H439" s="59">
        <v>13</v>
      </c>
      <c r="I439" s="1588">
        <v>35000</v>
      </c>
      <c r="J439" s="1588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</row>
    <row r="440" spans="1:28" ht="15" hidden="1" customHeight="1" x14ac:dyDescent="0.25">
      <c r="A440" s="1630">
        <v>4</v>
      </c>
      <c r="B440" s="1921" t="s">
        <v>903</v>
      </c>
      <c r="C440" s="1922"/>
      <c r="D440" s="1922"/>
      <c r="E440" s="1922"/>
      <c r="F440" s="1923"/>
      <c r="G440" s="1588" t="s">
        <v>304</v>
      </c>
      <c r="H440" s="59">
        <v>1</v>
      </c>
      <c r="I440" s="1588">
        <v>455000</v>
      </c>
      <c r="J440" s="1588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</row>
    <row r="441" spans="1:28" ht="15" hidden="1" customHeight="1" x14ac:dyDescent="0.25">
      <c r="A441" s="1630">
        <v>5</v>
      </c>
      <c r="B441" s="1921" t="s">
        <v>904</v>
      </c>
      <c r="C441" s="1922"/>
      <c r="D441" s="1922"/>
      <c r="E441" s="1922"/>
      <c r="F441" s="1923"/>
      <c r="G441" s="1588" t="s">
        <v>304</v>
      </c>
      <c r="H441" s="59">
        <v>1</v>
      </c>
      <c r="I441" s="1588">
        <v>600000</v>
      </c>
      <c r="J441" s="1588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</row>
    <row r="442" spans="1:28" hidden="1" x14ac:dyDescent="0.25">
      <c r="A442" s="1895" t="s">
        <v>39</v>
      </c>
      <c r="B442" s="1895"/>
      <c r="C442" s="1895"/>
      <c r="D442" s="1895"/>
      <c r="E442" s="1895"/>
      <c r="F442" s="1895"/>
      <c r="G442" s="1895"/>
      <c r="H442" s="1589" t="s">
        <v>5</v>
      </c>
      <c r="I442" s="1589" t="s">
        <v>5</v>
      </c>
      <c r="J442" s="1589">
        <f>SUM(J437:J441)</f>
        <v>0</v>
      </c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</row>
    <row r="443" spans="1:28" hidden="1" x14ac:dyDescent="0.25">
      <c r="A443" s="63"/>
      <c r="B443" s="63"/>
      <c r="C443" s="63"/>
      <c r="D443" s="63"/>
      <c r="E443" s="63"/>
      <c r="F443" s="63"/>
      <c r="G443" s="63"/>
      <c r="H443" s="64"/>
      <c r="I443" s="64"/>
      <c r="J443" s="64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</row>
    <row r="444" spans="1:28" hidden="1" x14ac:dyDescent="0.25">
      <c r="A444" s="1644" t="s">
        <v>344</v>
      </c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</row>
    <row r="445" spans="1:28" hidden="1" x14ac:dyDescent="0.25">
      <c r="A445" s="1898" t="s">
        <v>8</v>
      </c>
      <c r="B445" s="1898" t="s">
        <v>35</v>
      </c>
      <c r="C445" s="1898"/>
      <c r="D445" s="1898"/>
      <c r="E445" s="1898"/>
      <c r="F445" s="1898"/>
      <c r="G445" s="1898" t="s">
        <v>61</v>
      </c>
      <c r="H445" s="1899" t="s">
        <v>843</v>
      </c>
      <c r="I445" s="1900"/>
      <c r="J445" s="1901"/>
      <c r="K445" s="81" t="s">
        <v>377</v>
      </c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</row>
    <row r="446" spans="1:28" ht="30" hidden="1" x14ac:dyDescent="0.25">
      <c r="A446" s="1898"/>
      <c r="B446" s="1898"/>
      <c r="C446" s="1898"/>
      <c r="D446" s="1898"/>
      <c r="E446" s="1898"/>
      <c r="F446" s="1898"/>
      <c r="G446" s="1898"/>
      <c r="H446" s="1581" t="s">
        <v>248</v>
      </c>
      <c r="I446" s="1588" t="s">
        <v>264</v>
      </c>
      <c r="J446" s="1588" t="s">
        <v>256</v>
      </c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</row>
    <row r="447" spans="1:28" hidden="1" x14ac:dyDescent="0.25">
      <c r="A447" s="1630">
        <v>1</v>
      </c>
      <c r="B447" s="1921" t="s">
        <v>905</v>
      </c>
      <c r="C447" s="1922"/>
      <c r="D447" s="1922"/>
      <c r="E447" s="1922"/>
      <c r="F447" s="1923"/>
      <c r="G447" s="1588" t="s">
        <v>304</v>
      </c>
      <c r="H447" s="59">
        <v>10</v>
      </c>
      <c r="I447" s="1588">
        <v>87000</v>
      </c>
      <c r="J447" s="1588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</row>
    <row r="448" spans="1:28" hidden="1" x14ac:dyDescent="0.25">
      <c r="A448" s="1630">
        <v>2</v>
      </c>
      <c r="B448" s="1921" t="s">
        <v>906</v>
      </c>
      <c r="C448" s="1922"/>
      <c r="D448" s="1922"/>
      <c r="E448" s="1922"/>
      <c r="F448" s="1923"/>
      <c r="G448" s="1588" t="s">
        <v>304</v>
      </c>
      <c r="H448" s="59">
        <v>4</v>
      </c>
      <c r="I448" s="1588">
        <v>40000</v>
      </c>
      <c r="J448" s="1588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</row>
    <row r="449" spans="1:28" hidden="1" x14ac:dyDescent="0.25">
      <c r="A449" s="1630">
        <v>3</v>
      </c>
      <c r="B449" s="1921" t="s">
        <v>907</v>
      </c>
      <c r="C449" s="1922"/>
      <c r="D449" s="1922"/>
      <c r="E449" s="1922"/>
      <c r="F449" s="1923"/>
      <c r="G449" s="1588" t="s">
        <v>304</v>
      </c>
      <c r="H449" s="59">
        <v>1</v>
      </c>
      <c r="I449" s="1588">
        <v>340000</v>
      </c>
      <c r="J449" s="1588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</row>
    <row r="450" spans="1:28" hidden="1" x14ac:dyDescent="0.25">
      <c r="A450" s="1630">
        <v>4</v>
      </c>
      <c r="B450" s="1921" t="s">
        <v>908</v>
      </c>
      <c r="C450" s="1922"/>
      <c r="D450" s="1922"/>
      <c r="E450" s="1922"/>
      <c r="F450" s="1923"/>
      <c r="G450" s="1588" t="s">
        <v>304</v>
      </c>
      <c r="H450" s="59">
        <v>13</v>
      </c>
      <c r="I450" s="1588">
        <v>285000</v>
      </c>
      <c r="J450" s="1588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</row>
    <row r="451" spans="1:28" hidden="1" x14ac:dyDescent="0.25">
      <c r="A451" s="1630">
        <v>5</v>
      </c>
      <c r="B451" s="1921" t="s">
        <v>909</v>
      </c>
      <c r="C451" s="1922"/>
      <c r="D451" s="1922"/>
      <c r="E451" s="1922"/>
      <c r="F451" s="1923"/>
      <c r="G451" s="1588" t="s">
        <v>304</v>
      </c>
      <c r="H451" s="59">
        <v>13</v>
      </c>
      <c r="I451" s="1588">
        <v>380000</v>
      </c>
      <c r="J451" s="1588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</row>
    <row r="452" spans="1:28" hidden="1" x14ac:dyDescent="0.25">
      <c r="A452" s="1895" t="s">
        <v>39</v>
      </c>
      <c r="B452" s="1895"/>
      <c r="C452" s="1895"/>
      <c r="D452" s="1895"/>
      <c r="E452" s="1895"/>
      <c r="F452" s="1895"/>
      <c r="G452" s="1895"/>
      <c r="H452" s="1589" t="s">
        <v>5</v>
      </c>
      <c r="I452" s="1589" t="s">
        <v>5</v>
      </c>
      <c r="J452" s="1589">
        <f>SUM(J447:J451)</f>
        <v>0</v>
      </c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</row>
    <row r="453" spans="1:28" hidden="1" x14ac:dyDescent="0.25">
      <c r="A453" s="63"/>
      <c r="B453" s="63"/>
      <c r="C453" s="63"/>
      <c r="D453" s="63"/>
      <c r="E453" s="63"/>
      <c r="F453" s="63"/>
      <c r="G453" s="63"/>
      <c r="H453" s="64"/>
      <c r="I453" s="64"/>
      <c r="J453" s="64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</row>
    <row r="454" spans="1:28" hidden="1" x14ac:dyDescent="0.25">
      <c r="A454" s="1644" t="s">
        <v>910</v>
      </c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</row>
    <row r="455" spans="1:28" hidden="1" x14ac:dyDescent="0.25">
      <c r="A455" s="1898" t="s">
        <v>8</v>
      </c>
      <c r="B455" s="1898" t="s">
        <v>35</v>
      </c>
      <c r="C455" s="1898"/>
      <c r="D455" s="1898"/>
      <c r="E455" s="1898"/>
      <c r="F455" s="1898"/>
      <c r="G455" s="1898" t="s">
        <v>61</v>
      </c>
      <c r="H455" s="1899" t="s">
        <v>843</v>
      </c>
      <c r="I455" s="1900"/>
      <c r="J455" s="190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</row>
    <row r="456" spans="1:28" ht="30" hidden="1" x14ac:dyDescent="0.25">
      <c r="A456" s="1898"/>
      <c r="B456" s="1898"/>
      <c r="C456" s="1898"/>
      <c r="D456" s="1898"/>
      <c r="E456" s="1898"/>
      <c r="F456" s="1898"/>
      <c r="G456" s="1898"/>
      <c r="H456" s="1581" t="s">
        <v>248</v>
      </c>
      <c r="I456" s="1588" t="s">
        <v>264</v>
      </c>
      <c r="J456" s="1588" t="s">
        <v>256</v>
      </c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</row>
    <row r="457" spans="1:28" hidden="1" x14ac:dyDescent="0.25">
      <c r="A457" s="1630">
        <v>1</v>
      </c>
      <c r="B457" s="1909" t="s">
        <v>911</v>
      </c>
      <c r="C457" s="1909"/>
      <c r="D457" s="1909"/>
      <c r="E457" s="1909"/>
      <c r="F457" s="1909"/>
      <c r="G457" s="1588" t="s">
        <v>245</v>
      </c>
      <c r="H457" s="59">
        <v>13</v>
      </c>
      <c r="I457" s="1588">
        <v>138000</v>
      </c>
      <c r="J457" s="1588"/>
      <c r="K457" s="61" t="s">
        <v>899</v>
      </c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</row>
    <row r="458" spans="1:28" hidden="1" x14ac:dyDescent="0.25">
      <c r="A458" s="1630">
        <f>A457+1</f>
        <v>2</v>
      </c>
      <c r="B458" s="1921" t="s">
        <v>912</v>
      </c>
      <c r="C458" s="1922"/>
      <c r="D458" s="1922"/>
      <c r="E458" s="1922"/>
      <c r="F458" s="1923"/>
      <c r="G458" s="1588" t="s">
        <v>245</v>
      </c>
      <c r="H458" s="59">
        <v>6</v>
      </c>
      <c r="I458" s="1588">
        <v>100000</v>
      </c>
      <c r="J458" s="1588"/>
      <c r="K458" s="61" t="s">
        <v>899</v>
      </c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</row>
    <row r="459" spans="1:28" hidden="1" x14ac:dyDescent="0.25">
      <c r="A459" s="1895" t="s">
        <v>39</v>
      </c>
      <c r="B459" s="1895"/>
      <c r="C459" s="1895"/>
      <c r="D459" s="1895"/>
      <c r="E459" s="1895"/>
      <c r="F459" s="1895"/>
      <c r="G459" s="1895"/>
      <c r="H459" s="1589" t="s">
        <v>5</v>
      </c>
      <c r="I459" s="1589" t="s">
        <v>5</v>
      </c>
      <c r="J459" s="1589">
        <f>SUM(J457:J458)</f>
        <v>0</v>
      </c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</row>
    <row r="460" spans="1:28" ht="18.75" hidden="1" customHeight="1" x14ac:dyDescent="0.25">
      <c r="A460" s="63"/>
      <c r="B460" s="63"/>
      <c r="C460" s="63"/>
      <c r="D460" s="63"/>
      <c r="E460" s="63"/>
      <c r="F460" s="63"/>
      <c r="G460" s="63"/>
      <c r="H460" s="64"/>
      <c r="I460" s="64"/>
      <c r="J460" s="64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</row>
    <row r="461" spans="1:28" hidden="1" x14ac:dyDescent="0.25">
      <c r="A461" s="1898" t="s">
        <v>8</v>
      </c>
      <c r="B461" s="1898" t="s">
        <v>35</v>
      </c>
      <c r="C461" s="1898"/>
      <c r="D461" s="1898"/>
      <c r="E461" s="1898"/>
      <c r="F461" s="1898"/>
      <c r="G461" s="1898" t="s">
        <v>61</v>
      </c>
      <c r="H461" s="1899" t="s">
        <v>843</v>
      </c>
      <c r="I461" s="1900"/>
      <c r="J461" s="1901"/>
      <c r="K461" s="61" t="s">
        <v>913</v>
      </c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</row>
    <row r="462" spans="1:28" ht="30" hidden="1" x14ac:dyDescent="0.25">
      <c r="A462" s="1898"/>
      <c r="B462" s="1898"/>
      <c r="C462" s="1898"/>
      <c r="D462" s="1898"/>
      <c r="E462" s="1898"/>
      <c r="F462" s="1898"/>
      <c r="G462" s="1898"/>
      <c r="H462" s="1581" t="s">
        <v>248</v>
      </c>
      <c r="I462" s="1588" t="s">
        <v>264</v>
      </c>
      <c r="J462" s="1588" t="s">
        <v>256</v>
      </c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</row>
    <row r="463" spans="1:28" hidden="1" x14ac:dyDescent="0.25">
      <c r="A463" s="1630">
        <v>1</v>
      </c>
      <c r="B463" s="1909" t="s">
        <v>347</v>
      </c>
      <c r="C463" s="1909"/>
      <c r="D463" s="1909"/>
      <c r="E463" s="1909"/>
      <c r="F463" s="1909"/>
      <c r="G463" s="1588" t="s">
        <v>245</v>
      </c>
      <c r="H463" s="59">
        <v>10</v>
      </c>
      <c r="I463" s="1588">
        <v>510373.1</v>
      </c>
      <c r="J463" s="1588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</row>
    <row r="464" spans="1:28" hidden="1" x14ac:dyDescent="0.25">
      <c r="A464" s="1630">
        <v>2</v>
      </c>
      <c r="B464" s="1909" t="s">
        <v>914</v>
      </c>
      <c r="C464" s="1909"/>
      <c r="D464" s="1909"/>
      <c r="E464" s="1909"/>
      <c r="F464" s="1909"/>
      <c r="G464" s="1588" t="s">
        <v>245</v>
      </c>
      <c r="H464" s="59"/>
      <c r="I464" s="1588">
        <v>25000</v>
      </c>
      <c r="J464" s="1588">
        <f>H464*I464</f>
        <v>0</v>
      </c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</row>
    <row r="465" spans="1:28" ht="18.75" hidden="1" customHeight="1" x14ac:dyDescent="0.25">
      <c r="A465" s="1630">
        <v>3</v>
      </c>
      <c r="B465" s="1909" t="s">
        <v>915</v>
      </c>
      <c r="C465" s="1909"/>
      <c r="D465" s="1909"/>
      <c r="E465" s="1909"/>
      <c r="F465" s="1909"/>
      <c r="G465" s="1588" t="s">
        <v>245</v>
      </c>
      <c r="H465" s="1588"/>
      <c r="I465" s="1588"/>
      <c r="J465" s="1588">
        <f>H465*I465</f>
        <v>0</v>
      </c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</row>
    <row r="466" spans="1:28" ht="18.75" hidden="1" customHeight="1" x14ac:dyDescent="0.25">
      <c r="A466" s="1630">
        <v>4</v>
      </c>
      <c r="B466" s="1909" t="s">
        <v>246</v>
      </c>
      <c r="C466" s="1909"/>
      <c r="D466" s="1909"/>
      <c r="E466" s="1909"/>
      <c r="F466" s="1909"/>
      <c r="G466" s="1588" t="s">
        <v>245</v>
      </c>
      <c r="H466" s="1588"/>
      <c r="I466" s="1588"/>
      <c r="J466" s="1588">
        <f>H466*I466</f>
        <v>0</v>
      </c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</row>
    <row r="467" spans="1:28" ht="18.75" hidden="1" customHeight="1" x14ac:dyDescent="0.25">
      <c r="A467" s="1630">
        <v>5</v>
      </c>
      <c r="B467" s="1909" t="s">
        <v>282</v>
      </c>
      <c r="C467" s="1909"/>
      <c r="D467" s="1909"/>
      <c r="E467" s="1909"/>
      <c r="F467" s="1909"/>
      <c r="G467" s="1588" t="s">
        <v>245</v>
      </c>
      <c r="H467" s="1588"/>
      <c r="I467" s="1588"/>
      <c r="J467" s="1588">
        <f>H467*I467</f>
        <v>0</v>
      </c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</row>
    <row r="468" spans="1:28" hidden="1" x14ac:dyDescent="0.25">
      <c r="A468" s="1895" t="s">
        <v>39</v>
      </c>
      <c r="B468" s="1895"/>
      <c r="C468" s="1895"/>
      <c r="D468" s="1895"/>
      <c r="E468" s="1895"/>
      <c r="F468" s="1895"/>
      <c r="G468" s="1895"/>
      <c r="H468" s="1589" t="s">
        <v>5</v>
      </c>
      <c r="I468" s="1589" t="s">
        <v>5</v>
      </c>
      <c r="J468" s="1589">
        <f>SUM(J463:J467)</f>
        <v>0</v>
      </c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</row>
    <row r="469" spans="1:28" hidden="1" x14ac:dyDescent="0.25">
      <c r="E469" s="72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</row>
    <row r="470" spans="1:28" hidden="1" x14ac:dyDescent="0.25">
      <c r="A470" s="1645" t="s">
        <v>63</v>
      </c>
      <c r="B470" s="72"/>
      <c r="C470" s="75"/>
      <c r="D470" s="75"/>
      <c r="E470" s="71" t="s">
        <v>80</v>
      </c>
      <c r="J470" s="85">
        <f>J471</f>
        <v>0</v>
      </c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</row>
    <row r="471" spans="1:28" hidden="1" x14ac:dyDescent="0.25">
      <c r="A471" s="1645" t="s">
        <v>26</v>
      </c>
      <c r="B471" s="72"/>
      <c r="C471" s="75"/>
      <c r="D471" s="75"/>
      <c r="E471" s="71" t="s">
        <v>28</v>
      </c>
      <c r="J471" s="85">
        <f>J478+J492+J499+J506+J515</f>
        <v>0</v>
      </c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</row>
    <row r="472" spans="1:28" hidden="1" x14ac:dyDescent="0.25">
      <c r="A472" s="1645" t="s">
        <v>27</v>
      </c>
      <c r="B472" s="72"/>
      <c r="C472" s="75"/>
      <c r="D472" s="75"/>
      <c r="E472" s="71" t="s">
        <v>67</v>
      </c>
      <c r="K472" s="87"/>
      <c r="L472" s="99"/>
      <c r="M472" s="99"/>
      <c r="N472" s="99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</row>
    <row r="473" spans="1:28" hidden="1" x14ac:dyDescent="0.25">
      <c r="A473" s="1645"/>
      <c r="B473" s="72"/>
      <c r="C473" s="75"/>
      <c r="D473" s="75"/>
      <c r="E473" s="71"/>
      <c r="K473" s="87"/>
      <c r="L473" s="99"/>
      <c r="M473" s="99"/>
      <c r="N473" s="99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</row>
    <row r="474" spans="1:28" hidden="1" x14ac:dyDescent="0.25">
      <c r="A474" s="1644" t="s">
        <v>326</v>
      </c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</row>
    <row r="475" spans="1:28" hidden="1" x14ac:dyDescent="0.25">
      <c r="A475" s="1898" t="s">
        <v>8</v>
      </c>
      <c r="B475" s="1898" t="s">
        <v>35</v>
      </c>
      <c r="C475" s="1898"/>
      <c r="D475" s="1898"/>
      <c r="E475" s="1898"/>
      <c r="F475" s="1898"/>
      <c r="G475" s="1898" t="s">
        <v>61</v>
      </c>
      <c r="H475" s="1899" t="s">
        <v>843</v>
      </c>
      <c r="I475" s="1900"/>
      <c r="J475" s="1901"/>
      <c r="K475" s="61" t="s">
        <v>899</v>
      </c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</row>
    <row r="476" spans="1:28" ht="30" hidden="1" x14ac:dyDescent="0.25">
      <c r="A476" s="1898"/>
      <c r="B476" s="1898"/>
      <c r="C476" s="1898"/>
      <c r="D476" s="1898"/>
      <c r="E476" s="1898"/>
      <c r="F476" s="1898"/>
      <c r="G476" s="1898"/>
      <c r="H476" s="1581" t="s">
        <v>248</v>
      </c>
      <c r="I476" s="1588" t="s">
        <v>264</v>
      </c>
      <c r="J476" s="1588" t="s">
        <v>256</v>
      </c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</row>
    <row r="477" spans="1:28" ht="18.75" hidden="1" customHeight="1" x14ac:dyDescent="0.25">
      <c r="A477" s="1630">
        <v>1</v>
      </c>
      <c r="B477" s="1909" t="s">
        <v>898</v>
      </c>
      <c r="C477" s="1909"/>
      <c r="D477" s="1909"/>
      <c r="E477" s="1909"/>
      <c r="F477" s="1909"/>
      <c r="G477" s="1588" t="s">
        <v>5</v>
      </c>
      <c r="H477" s="1588" t="s">
        <v>5</v>
      </c>
      <c r="I477" s="1588" t="s">
        <v>5</v>
      </c>
      <c r="J477" s="1588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</row>
    <row r="478" spans="1:28" hidden="1" x14ac:dyDescent="0.25">
      <c r="A478" s="1895" t="s">
        <v>39</v>
      </c>
      <c r="B478" s="1895"/>
      <c r="C478" s="1895"/>
      <c r="D478" s="1895"/>
      <c r="E478" s="1895"/>
      <c r="F478" s="1895"/>
      <c r="G478" s="1895"/>
      <c r="H478" s="1589" t="s">
        <v>5</v>
      </c>
      <c r="I478" s="1589" t="s">
        <v>5</v>
      </c>
      <c r="J478" s="1589">
        <f>SUM(J477:J477)</f>
        <v>0</v>
      </c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</row>
    <row r="479" spans="1:28" ht="18.75" hidden="1" customHeight="1" x14ac:dyDescent="0.25">
      <c r="A479" s="63"/>
      <c r="B479" s="63"/>
      <c r="C479" s="63"/>
      <c r="D479" s="63"/>
      <c r="E479" s="63"/>
      <c r="F479" s="63"/>
      <c r="G479" s="63"/>
      <c r="H479" s="64"/>
      <c r="I479" s="64"/>
      <c r="J479" s="64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</row>
    <row r="480" spans="1:28" hidden="1" x14ac:dyDescent="0.25">
      <c r="A480" s="1644" t="s">
        <v>343</v>
      </c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</row>
    <row r="481" spans="1:28" hidden="1" x14ac:dyDescent="0.25">
      <c r="A481" s="1898" t="s">
        <v>8</v>
      </c>
      <c r="B481" s="1898" t="s">
        <v>35</v>
      </c>
      <c r="C481" s="1898"/>
      <c r="D481" s="1898"/>
      <c r="E481" s="1898"/>
      <c r="F481" s="1898"/>
      <c r="G481" s="1898" t="s">
        <v>61</v>
      </c>
      <c r="H481" s="1899" t="s">
        <v>843</v>
      </c>
      <c r="I481" s="1900"/>
      <c r="J481" s="1901"/>
      <c r="K481" s="61" t="s">
        <v>379</v>
      </c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</row>
    <row r="482" spans="1:28" ht="18.75" hidden="1" customHeight="1" x14ac:dyDescent="0.25">
      <c r="A482" s="1898"/>
      <c r="B482" s="1898"/>
      <c r="C482" s="1898"/>
      <c r="D482" s="1898"/>
      <c r="E482" s="1898"/>
      <c r="F482" s="1898"/>
      <c r="G482" s="1898"/>
      <c r="H482" s="1581" t="s">
        <v>248</v>
      </c>
      <c r="I482" s="1588" t="s">
        <v>264</v>
      </c>
      <c r="J482" s="1588" t="s">
        <v>256</v>
      </c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</row>
    <row r="483" spans="1:28" hidden="1" x14ac:dyDescent="0.25">
      <c r="A483" s="1630">
        <v>1</v>
      </c>
      <c r="B483" s="1921" t="s">
        <v>916</v>
      </c>
      <c r="C483" s="1922"/>
      <c r="D483" s="1922"/>
      <c r="E483" s="1922"/>
      <c r="F483" s="1923"/>
      <c r="G483" s="1588" t="s">
        <v>304</v>
      </c>
      <c r="H483" s="59">
        <v>300</v>
      </c>
      <c r="I483" s="1588">
        <v>360</v>
      </c>
      <c r="J483" s="1588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</row>
    <row r="484" spans="1:28" hidden="1" x14ac:dyDescent="0.25">
      <c r="A484" s="1630">
        <v>2</v>
      </c>
      <c r="B484" s="1921" t="s">
        <v>917</v>
      </c>
      <c r="C484" s="1922"/>
      <c r="D484" s="1922"/>
      <c r="E484" s="1922"/>
      <c r="F484" s="1923"/>
      <c r="G484" s="1588" t="s">
        <v>304</v>
      </c>
      <c r="H484" s="59">
        <v>250</v>
      </c>
      <c r="I484" s="1588">
        <v>310</v>
      </c>
      <c r="J484" s="1588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</row>
    <row r="485" spans="1:28" hidden="1" x14ac:dyDescent="0.25">
      <c r="A485" s="1630">
        <v>3</v>
      </c>
      <c r="B485" s="1921" t="s">
        <v>918</v>
      </c>
      <c r="C485" s="1922"/>
      <c r="D485" s="1922"/>
      <c r="E485" s="1922"/>
      <c r="F485" s="1923"/>
      <c r="G485" s="1588" t="s">
        <v>304</v>
      </c>
      <c r="H485" s="59">
        <v>250</v>
      </c>
      <c r="I485" s="1588">
        <v>340</v>
      </c>
      <c r="J485" s="1588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</row>
    <row r="486" spans="1:28" hidden="1" x14ac:dyDescent="0.25">
      <c r="A486" s="1630">
        <v>4</v>
      </c>
      <c r="B486" s="1921" t="s">
        <v>919</v>
      </c>
      <c r="C486" s="1922"/>
      <c r="D486" s="1922"/>
      <c r="E486" s="1922"/>
      <c r="F486" s="1923"/>
      <c r="G486" s="1588" t="s">
        <v>304</v>
      </c>
      <c r="H486" s="59">
        <v>200</v>
      </c>
      <c r="I486" s="1588">
        <v>220</v>
      </c>
      <c r="J486" s="1588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</row>
    <row r="487" spans="1:28" hidden="1" x14ac:dyDescent="0.25">
      <c r="A487" s="1630">
        <v>5</v>
      </c>
      <c r="B487" s="1921" t="s">
        <v>920</v>
      </c>
      <c r="C487" s="1922"/>
      <c r="D487" s="1922"/>
      <c r="E487" s="1922"/>
      <c r="F487" s="1923"/>
      <c r="G487" s="1588" t="s">
        <v>304</v>
      </c>
      <c r="H487" s="59">
        <v>150</v>
      </c>
      <c r="I487" s="1588">
        <v>280</v>
      </c>
      <c r="J487" s="1588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</row>
    <row r="488" spans="1:28" hidden="1" x14ac:dyDescent="0.25">
      <c r="A488" s="1630">
        <v>6</v>
      </c>
      <c r="B488" s="1921" t="s">
        <v>921</v>
      </c>
      <c r="C488" s="1922"/>
      <c r="D488" s="1922"/>
      <c r="E488" s="1922"/>
      <c r="F488" s="1923"/>
      <c r="G488" s="1588" t="s">
        <v>304</v>
      </c>
      <c r="H488" s="59">
        <v>100</v>
      </c>
      <c r="I488" s="1588">
        <v>1200</v>
      </c>
      <c r="J488" s="1588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</row>
    <row r="489" spans="1:28" hidden="1" x14ac:dyDescent="0.25">
      <c r="A489" s="1630">
        <v>7</v>
      </c>
      <c r="B489" s="1921" t="s">
        <v>922</v>
      </c>
      <c r="C489" s="1922"/>
      <c r="D489" s="1922"/>
      <c r="E489" s="1922"/>
      <c r="F489" s="1923"/>
      <c r="G489" s="1588" t="s">
        <v>304</v>
      </c>
      <c r="H489" s="59">
        <v>100</v>
      </c>
      <c r="I489" s="1588">
        <v>1000</v>
      </c>
      <c r="J489" s="1588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</row>
    <row r="490" spans="1:28" hidden="1" x14ac:dyDescent="0.25">
      <c r="A490" s="1630">
        <v>8</v>
      </c>
      <c r="B490" s="1921" t="s">
        <v>923</v>
      </c>
      <c r="C490" s="1922"/>
      <c r="D490" s="1922"/>
      <c r="E490" s="1922"/>
      <c r="F490" s="1923"/>
      <c r="G490" s="1588" t="s">
        <v>304</v>
      </c>
      <c r="H490" s="59">
        <v>97</v>
      </c>
      <c r="I490" s="1588">
        <v>800</v>
      </c>
      <c r="J490" s="1588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</row>
    <row r="491" spans="1:28" hidden="1" x14ac:dyDescent="0.25">
      <c r="A491" s="1630">
        <v>9</v>
      </c>
      <c r="B491" s="1921" t="s">
        <v>924</v>
      </c>
      <c r="C491" s="1922"/>
      <c r="D491" s="1922"/>
      <c r="E491" s="1922"/>
      <c r="F491" s="1923"/>
      <c r="G491" s="1588" t="s">
        <v>304</v>
      </c>
      <c r="H491" s="59">
        <v>8</v>
      </c>
      <c r="I491" s="1588">
        <v>307.83999999999997</v>
      </c>
      <c r="J491" s="1588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</row>
    <row r="492" spans="1:28" hidden="1" x14ac:dyDescent="0.25">
      <c r="A492" s="1895" t="s">
        <v>39</v>
      </c>
      <c r="B492" s="1895"/>
      <c r="C492" s="1895"/>
      <c r="D492" s="1895"/>
      <c r="E492" s="1895"/>
      <c r="F492" s="1895"/>
      <c r="G492" s="1895"/>
      <c r="H492" s="1589" t="s">
        <v>5</v>
      </c>
      <c r="I492" s="1589" t="s">
        <v>5</v>
      </c>
      <c r="J492" s="1589">
        <f>SUM(J483:J491)</f>
        <v>0</v>
      </c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</row>
    <row r="493" spans="1:28" hidden="1" x14ac:dyDescent="0.25">
      <c r="A493" s="63"/>
      <c r="B493" s="63"/>
      <c r="C493" s="63"/>
      <c r="D493" s="63"/>
      <c r="E493" s="63"/>
      <c r="F493" s="63"/>
      <c r="G493" s="63"/>
      <c r="H493" s="64"/>
      <c r="I493" s="64"/>
      <c r="J493" s="64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</row>
    <row r="494" spans="1:28" hidden="1" x14ac:dyDescent="0.25">
      <c r="A494" s="1644" t="s">
        <v>344</v>
      </c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</row>
    <row r="495" spans="1:28" hidden="1" x14ac:dyDescent="0.25">
      <c r="A495" s="1898" t="s">
        <v>8</v>
      </c>
      <c r="B495" s="1898" t="s">
        <v>35</v>
      </c>
      <c r="C495" s="1898"/>
      <c r="D495" s="1898"/>
      <c r="E495" s="1898"/>
      <c r="F495" s="1898"/>
      <c r="G495" s="1898" t="s">
        <v>61</v>
      </c>
      <c r="H495" s="1899" t="s">
        <v>843</v>
      </c>
      <c r="I495" s="1900"/>
      <c r="J495" s="1901"/>
      <c r="K495" s="61" t="s">
        <v>377</v>
      </c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</row>
    <row r="496" spans="1:28" ht="30" hidden="1" x14ac:dyDescent="0.25">
      <c r="A496" s="1898"/>
      <c r="B496" s="1898"/>
      <c r="C496" s="1898"/>
      <c r="D496" s="1898"/>
      <c r="E496" s="1898"/>
      <c r="F496" s="1898"/>
      <c r="G496" s="1898"/>
      <c r="H496" s="1581" t="s">
        <v>248</v>
      </c>
      <c r="I496" s="1588" t="s">
        <v>264</v>
      </c>
      <c r="J496" s="1588" t="s">
        <v>256</v>
      </c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</row>
    <row r="497" spans="1:28" ht="18.75" hidden="1" customHeight="1" x14ac:dyDescent="0.25">
      <c r="A497" s="1630">
        <v>1</v>
      </c>
      <c r="B497" s="1909" t="s">
        <v>925</v>
      </c>
      <c r="C497" s="1909"/>
      <c r="D497" s="1909"/>
      <c r="E497" s="1909"/>
      <c r="F497" s="1909"/>
      <c r="G497" s="1588" t="s">
        <v>245</v>
      </c>
      <c r="H497" s="59">
        <v>15</v>
      </c>
      <c r="I497" s="1588">
        <v>243641.4</v>
      </c>
      <c r="J497" s="1588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</row>
    <row r="498" spans="1:28" ht="18.75" hidden="1" customHeight="1" x14ac:dyDescent="0.25">
      <c r="A498" s="1630">
        <v>2</v>
      </c>
      <c r="B498" s="1909" t="s">
        <v>926</v>
      </c>
      <c r="C498" s="1909"/>
      <c r="D498" s="1909"/>
      <c r="E498" s="1909"/>
      <c r="F498" s="1909"/>
      <c r="G498" s="1588" t="s">
        <v>245</v>
      </c>
      <c r="H498" s="1588"/>
      <c r="I498" s="1588"/>
      <c r="J498" s="1588">
        <f>H498*I498</f>
        <v>0</v>
      </c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</row>
    <row r="499" spans="1:28" hidden="1" x14ac:dyDescent="0.25">
      <c r="A499" s="1895" t="s">
        <v>39</v>
      </c>
      <c r="B499" s="1895"/>
      <c r="C499" s="1895"/>
      <c r="D499" s="1895"/>
      <c r="E499" s="1895"/>
      <c r="F499" s="1895"/>
      <c r="G499" s="1895"/>
      <c r="H499" s="1589" t="s">
        <v>5</v>
      </c>
      <c r="I499" s="1589" t="s">
        <v>5</v>
      </c>
      <c r="J499" s="1589">
        <f>SUM(J497:J498)</f>
        <v>0</v>
      </c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</row>
    <row r="500" spans="1:28" hidden="1" x14ac:dyDescent="0.25">
      <c r="A500" s="63"/>
      <c r="B500" s="63"/>
      <c r="C500" s="63"/>
      <c r="D500" s="63"/>
      <c r="E500" s="63"/>
      <c r="F500" s="63"/>
      <c r="G500" s="63"/>
      <c r="H500" s="64"/>
      <c r="I500" s="64"/>
      <c r="J500" s="64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</row>
    <row r="501" spans="1:28" hidden="1" x14ac:dyDescent="0.25">
      <c r="A501" s="1644" t="s">
        <v>346</v>
      </c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</row>
    <row r="502" spans="1:28" hidden="1" x14ac:dyDescent="0.25">
      <c r="A502" s="1898" t="s">
        <v>8</v>
      </c>
      <c r="B502" s="1898" t="s">
        <v>35</v>
      </c>
      <c r="C502" s="1898"/>
      <c r="D502" s="1898"/>
      <c r="E502" s="1898"/>
      <c r="F502" s="1898"/>
      <c r="G502" s="1898" t="s">
        <v>61</v>
      </c>
      <c r="H502" s="1899" t="s">
        <v>843</v>
      </c>
      <c r="I502" s="1900"/>
      <c r="J502" s="1901"/>
      <c r="K502" s="61" t="s">
        <v>379</v>
      </c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</row>
    <row r="503" spans="1:28" ht="30" hidden="1" x14ac:dyDescent="0.25">
      <c r="A503" s="1898"/>
      <c r="B503" s="1898"/>
      <c r="C503" s="1898"/>
      <c r="D503" s="1898"/>
      <c r="E503" s="1898"/>
      <c r="F503" s="1898"/>
      <c r="G503" s="1898"/>
      <c r="H503" s="1581" t="s">
        <v>248</v>
      </c>
      <c r="I503" s="1588" t="s">
        <v>264</v>
      </c>
      <c r="J503" s="1588" t="s">
        <v>256</v>
      </c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</row>
    <row r="504" spans="1:28" hidden="1" x14ac:dyDescent="0.25">
      <c r="A504" s="1630">
        <v>1</v>
      </c>
      <c r="B504" s="1909" t="s">
        <v>345</v>
      </c>
      <c r="C504" s="1909"/>
      <c r="D504" s="1909"/>
      <c r="E504" s="1909"/>
      <c r="F504" s="1909"/>
      <c r="G504" s="1588" t="s">
        <v>245</v>
      </c>
      <c r="H504" s="59">
        <v>100</v>
      </c>
      <c r="I504" s="1588">
        <v>6000</v>
      </c>
      <c r="J504" s="1588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</row>
    <row r="505" spans="1:28" ht="18.75" hidden="1" customHeight="1" x14ac:dyDescent="0.25">
      <c r="A505" s="1630">
        <f>A504+1</f>
        <v>2</v>
      </c>
      <c r="B505" s="1921" t="s">
        <v>927</v>
      </c>
      <c r="C505" s="1922"/>
      <c r="D505" s="1922"/>
      <c r="E505" s="1922"/>
      <c r="F505" s="1923"/>
      <c r="G505" s="1588" t="s">
        <v>245</v>
      </c>
      <c r="H505" s="1588"/>
      <c r="I505" s="1588"/>
      <c r="J505" s="1588">
        <f>H505*I505</f>
        <v>0</v>
      </c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</row>
    <row r="506" spans="1:28" hidden="1" x14ac:dyDescent="0.25">
      <c r="A506" s="1895" t="s">
        <v>39</v>
      </c>
      <c r="B506" s="1895"/>
      <c r="C506" s="1895"/>
      <c r="D506" s="1895"/>
      <c r="E506" s="1895"/>
      <c r="F506" s="1895"/>
      <c r="G506" s="1895"/>
      <c r="H506" s="1589" t="s">
        <v>5</v>
      </c>
      <c r="I506" s="1589" t="s">
        <v>5</v>
      </c>
      <c r="J506" s="1589">
        <f>SUM(J504:J505)</f>
        <v>0</v>
      </c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</row>
    <row r="507" spans="1:28" ht="18.75" hidden="1" customHeight="1" x14ac:dyDescent="0.25">
      <c r="A507" s="63"/>
      <c r="B507" s="63"/>
      <c r="C507" s="63"/>
      <c r="D507" s="63"/>
      <c r="E507" s="63"/>
      <c r="F507" s="63"/>
      <c r="G507" s="63"/>
      <c r="H507" s="64"/>
      <c r="I507" s="64"/>
      <c r="J507" s="64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</row>
    <row r="508" spans="1:28" hidden="1" x14ac:dyDescent="0.25">
      <c r="A508" s="1898" t="s">
        <v>8</v>
      </c>
      <c r="B508" s="1898" t="s">
        <v>35</v>
      </c>
      <c r="C508" s="1898"/>
      <c r="D508" s="1898"/>
      <c r="E508" s="1898"/>
      <c r="F508" s="1898"/>
      <c r="G508" s="1898" t="s">
        <v>61</v>
      </c>
      <c r="H508" s="1899" t="s">
        <v>843</v>
      </c>
      <c r="I508" s="1900"/>
      <c r="J508" s="1901"/>
      <c r="K508" s="61" t="s">
        <v>379</v>
      </c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</row>
    <row r="509" spans="1:28" ht="30" hidden="1" x14ac:dyDescent="0.25">
      <c r="A509" s="1898"/>
      <c r="B509" s="1898"/>
      <c r="C509" s="1898"/>
      <c r="D509" s="1898"/>
      <c r="E509" s="1898"/>
      <c r="F509" s="1898"/>
      <c r="G509" s="1898"/>
      <c r="H509" s="1581" t="s">
        <v>248</v>
      </c>
      <c r="I509" s="1588" t="s">
        <v>264</v>
      </c>
      <c r="J509" s="1588" t="s">
        <v>256</v>
      </c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</row>
    <row r="510" spans="1:28" hidden="1" x14ac:dyDescent="0.25">
      <c r="A510" s="1630">
        <v>1</v>
      </c>
      <c r="B510" s="1909" t="s">
        <v>928</v>
      </c>
      <c r="C510" s="1909"/>
      <c r="D510" s="1909"/>
      <c r="E510" s="1909"/>
      <c r="F510" s="1909"/>
      <c r="G510" s="1588" t="s">
        <v>245</v>
      </c>
      <c r="H510" s="59">
        <v>100</v>
      </c>
      <c r="I510" s="1588">
        <v>22700</v>
      </c>
      <c r="J510" s="1588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</row>
    <row r="511" spans="1:28" hidden="1" x14ac:dyDescent="0.25">
      <c r="A511" s="1630">
        <v>2</v>
      </c>
      <c r="B511" s="1909" t="s">
        <v>914</v>
      </c>
      <c r="C511" s="1909"/>
      <c r="D511" s="1909"/>
      <c r="E511" s="1909"/>
      <c r="F511" s="1909"/>
      <c r="G511" s="1588" t="s">
        <v>245</v>
      </c>
      <c r="H511" s="59">
        <v>100</v>
      </c>
      <c r="I511" s="1588">
        <v>25000</v>
      </c>
      <c r="J511" s="1588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</row>
    <row r="512" spans="1:28" ht="18.75" hidden="1" customHeight="1" x14ac:dyDescent="0.25">
      <c r="A512" s="1630">
        <v>3</v>
      </c>
      <c r="B512" s="1909" t="s">
        <v>915</v>
      </c>
      <c r="C512" s="1909"/>
      <c r="D512" s="1909"/>
      <c r="E512" s="1909"/>
      <c r="F512" s="1909"/>
      <c r="G512" s="1588" t="s">
        <v>245</v>
      </c>
      <c r="H512" s="1588"/>
      <c r="I512" s="1588"/>
      <c r="J512" s="1588">
        <f>H512*I512</f>
        <v>0</v>
      </c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</row>
    <row r="513" spans="1:28" ht="18.75" hidden="1" customHeight="1" x14ac:dyDescent="0.25">
      <c r="A513" s="1630">
        <v>4</v>
      </c>
      <c r="B513" s="1909" t="s">
        <v>246</v>
      </c>
      <c r="C513" s="1909"/>
      <c r="D513" s="1909"/>
      <c r="E513" s="1909"/>
      <c r="F513" s="1909"/>
      <c r="G513" s="1588" t="s">
        <v>245</v>
      </c>
      <c r="H513" s="1588"/>
      <c r="I513" s="1588"/>
      <c r="J513" s="1588">
        <f>H513*I513</f>
        <v>0</v>
      </c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</row>
    <row r="514" spans="1:28" ht="18.75" hidden="1" customHeight="1" x14ac:dyDescent="0.25">
      <c r="A514" s="1630">
        <v>5</v>
      </c>
      <c r="B514" s="1909" t="s">
        <v>282</v>
      </c>
      <c r="C514" s="1909"/>
      <c r="D514" s="1909"/>
      <c r="E514" s="1909"/>
      <c r="F514" s="1909"/>
      <c r="G514" s="1588" t="s">
        <v>245</v>
      </c>
      <c r="H514" s="1588"/>
      <c r="I514" s="1588"/>
      <c r="J514" s="1588">
        <f>H514*I514</f>
        <v>0</v>
      </c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</row>
    <row r="515" spans="1:28" hidden="1" x14ac:dyDescent="0.25">
      <c r="A515" s="1895" t="s">
        <v>39</v>
      </c>
      <c r="B515" s="1895"/>
      <c r="C515" s="1895"/>
      <c r="D515" s="1895"/>
      <c r="E515" s="1895"/>
      <c r="F515" s="1895"/>
      <c r="G515" s="1895"/>
      <c r="H515" s="1589" t="s">
        <v>5</v>
      </c>
      <c r="I515" s="1589" t="s">
        <v>5</v>
      </c>
      <c r="J515" s="1589">
        <f>SUM(J510:J514)</f>
        <v>0</v>
      </c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</row>
    <row r="516" spans="1:28" hidden="1" x14ac:dyDescent="0.25">
      <c r="A516" s="63"/>
      <c r="B516" s="63"/>
      <c r="C516" s="63"/>
      <c r="D516" s="63"/>
      <c r="E516" s="63"/>
      <c r="F516" s="63"/>
      <c r="G516" s="63"/>
      <c r="H516" s="64"/>
      <c r="I516" s="64"/>
      <c r="J516" s="64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</row>
    <row r="517" spans="1:28" hidden="1" x14ac:dyDescent="0.25">
      <c r="A517" s="1645" t="s">
        <v>63</v>
      </c>
      <c r="B517" s="72"/>
      <c r="C517" s="75"/>
      <c r="D517" s="75"/>
      <c r="E517" s="94" t="s">
        <v>99</v>
      </c>
      <c r="J517" s="85">
        <f>J518</f>
        <v>0</v>
      </c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</row>
    <row r="518" spans="1:28" hidden="1" x14ac:dyDescent="0.25">
      <c r="A518" s="1645" t="s">
        <v>26</v>
      </c>
      <c r="B518" s="72"/>
      <c r="C518" s="75"/>
      <c r="D518" s="75"/>
      <c r="E518" s="71" t="s">
        <v>38</v>
      </c>
      <c r="J518" s="85">
        <f>J525</f>
        <v>0</v>
      </c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</row>
    <row r="519" spans="1:28" hidden="1" x14ac:dyDescent="0.25">
      <c r="A519" s="1645" t="s">
        <v>27</v>
      </c>
      <c r="B519" s="72"/>
      <c r="C519" s="75"/>
      <c r="D519" s="75"/>
      <c r="E519" s="71" t="s">
        <v>91</v>
      </c>
      <c r="J519" s="85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</row>
    <row r="520" spans="1:28" hidden="1" x14ac:dyDescent="0.25">
      <c r="A520" s="1645"/>
      <c r="B520" s="72"/>
      <c r="C520" s="75"/>
      <c r="D520" s="75"/>
      <c r="E520" s="71"/>
      <c r="J520" s="85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</row>
    <row r="521" spans="1:28" ht="18.75" hidden="1" customHeight="1" x14ac:dyDescent="0.25">
      <c r="A521" s="1644" t="s">
        <v>327</v>
      </c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</row>
    <row r="522" spans="1:28" hidden="1" x14ac:dyDescent="0.25">
      <c r="A522" s="1898" t="s">
        <v>8</v>
      </c>
      <c r="B522" s="1898" t="s">
        <v>35</v>
      </c>
      <c r="C522" s="1898"/>
      <c r="D522" s="1898"/>
      <c r="E522" s="1898"/>
      <c r="F522" s="1898"/>
      <c r="G522" s="1898" t="s">
        <v>61</v>
      </c>
      <c r="H522" s="1899" t="s">
        <v>843</v>
      </c>
      <c r="I522" s="1900"/>
      <c r="J522" s="1901"/>
      <c r="K522" s="61" t="s">
        <v>371</v>
      </c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</row>
    <row r="523" spans="1:28" ht="28.5" hidden="1" customHeight="1" x14ac:dyDescent="0.25">
      <c r="A523" s="1898"/>
      <c r="B523" s="1898"/>
      <c r="C523" s="1898"/>
      <c r="D523" s="1898"/>
      <c r="E523" s="1898"/>
      <c r="F523" s="1898"/>
      <c r="G523" s="1898"/>
      <c r="H523" s="1581" t="s">
        <v>248</v>
      </c>
      <c r="I523" s="1588" t="s">
        <v>264</v>
      </c>
      <c r="J523" s="1588" t="s">
        <v>256</v>
      </c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</row>
    <row r="524" spans="1:28" hidden="1" x14ac:dyDescent="0.25">
      <c r="A524" s="1630">
        <v>1</v>
      </c>
      <c r="B524" s="1909" t="s">
        <v>302</v>
      </c>
      <c r="C524" s="1909"/>
      <c r="D524" s="1909"/>
      <c r="E524" s="1909"/>
      <c r="F524" s="1909"/>
      <c r="G524" s="1588" t="s">
        <v>303</v>
      </c>
      <c r="H524" s="1588">
        <v>1700</v>
      </c>
      <c r="I524" s="1588">
        <v>50</v>
      </c>
      <c r="J524" s="1588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</row>
    <row r="525" spans="1:28" hidden="1" x14ac:dyDescent="0.25">
      <c r="A525" s="1895" t="s">
        <v>39</v>
      </c>
      <c r="B525" s="1895"/>
      <c r="C525" s="1895"/>
      <c r="D525" s="1895"/>
      <c r="E525" s="1895"/>
      <c r="F525" s="1895"/>
      <c r="G525" s="1895"/>
      <c r="H525" s="1589" t="s">
        <v>5</v>
      </c>
      <c r="I525" s="1589" t="s">
        <v>5</v>
      </c>
      <c r="J525" s="1589">
        <f>SUM(J524:J524)</f>
        <v>0</v>
      </c>
      <c r="K525" s="174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</row>
    <row r="526" spans="1:28" hidden="1" x14ac:dyDescent="0.25">
      <c r="A526" s="63"/>
      <c r="B526" s="63"/>
      <c r="C526" s="63"/>
      <c r="D526" s="63"/>
      <c r="E526" s="63"/>
      <c r="F526" s="63"/>
      <c r="G526" s="63"/>
      <c r="H526" s="64"/>
      <c r="I526" s="64"/>
      <c r="J526" s="64"/>
      <c r="K526" s="174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</row>
    <row r="527" spans="1:28" hidden="1" x14ac:dyDescent="0.25">
      <c r="A527" s="1645" t="s">
        <v>63</v>
      </c>
      <c r="B527" s="72"/>
      <c r="C527" s="75"/>
      <c r="D527" s="75"/>
      <c r="E527" s="94" t="s">
        <v>81</v>
      </c>
      <c r="J527" s="85">
        <f>J528</f>
        <v>0</v>
      </c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</row>
    <row r="528" spans="1:28" hidden="1" x14ac:dyDescent="0.25">
      <c r="A528" s="1645" t="s">
        <v>26</v>
      </c>
      <c r="B528" s="72"/>
      <c r="C528" s="75"/>
      <c r="D528" s="75"/>
      <c r="E528" s="71" t="s">
        <v>38</v>
      </c>
      <c r="J528" s="85">
        <f>J548</f>
        <v>0</v>
      </c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</row>
    <row r="529" spans="1:28" hidden="1" x14ac:dyDescent="0.25">
      <c r="A529" s="1645" t="s">
        <v>27</v>
      </c>
      <c r="B529" s="72"/>
      <c r="C529" s="75"/>
      <c r="D529" s="75"/>
      <c r="E529" s="71" t="s">
        <v>91</v>
      </c>
      <c r="J529" s="85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</row>
    <row r="530" spans="1:28" hidden="1" x14ac:dyDescent="0.25">
      <c r="A530" s="1645"/>
      <c r="B530" s="72"/>
      <c r="C530" s="75"/>
      <c r="D530" s="75"/>
      <c r="E530" s="71"/>
      <c r="J530" s="85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</row>
    <row r="531" spans="1:28" ht="18.75" hidden="1" customHeight="1" x14ac:dyDescent="0.25">
      <c r="A531" s="1644" t="s">
        <v>929</v>
      </c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</row>
    <row r="532" spans="1:28" hidden="1" x14ac:dyDescent="0.25">
      <c r="A532" s="1898" t="s">
        <v>8</v>
      </c>
      <c r="B532" s="1898" t="s">
        <v>35</v>
      </c>
      <c r="C532" s="1898"/>
      <c r="D532" s="1898"/>
      <c r="E532" s="1898"/>
      <c r="F532" s="1898"/>
      <c r="G532" s="1898" t="s">
        <v>61</v>
      </c>
      <c r="H532" s="1899" t="s">
        <v>843</v>
      </c>
      <c r="I532" s="1900"/>
      <c r="J532" s="190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</row>
    <row r="533" spans="1:28" ht="60" hidden="1" x14ac:dyDescent="0.25">
      <c r="A533" s="1898"/>
      <c r="B533" s="1898"/>
      <c r="C533" s="1898"/>
      <c r="D533" s="1898"/>
      <c r="E533" s="1898"/>
      <c r="F533" s="1898"/>
      <c r="G533" s="1898"/>
      <c r="H533" s="1581" t="s">
        <v>930</v>
      </c>
      <c r="I533" s="1581" t="s">
        <v>931</v>
      </c>
      <c r="J533" s="1581" t="s">
        <v>932</v>
      </c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</row>
    <row r="534" spans="1:28" hidden="1" x14ac:dyDescent="0.25">
      <c r="A534" s="1902" t="s">
        <v>933</v>
      </c>
      <c r="B534" s="1903"/>
      <c r="C534" s="1903"/>
      <c r="D534" s="1903"/>
      <c r="E534" s="1903"/>
      <c r="F534" s="1903"/>
      <c r="G534" s="1903"/>
      <c r="H534" s="1903"/>
      <c r="I534" s="1903"/>
      <c r="J534" s="1904"/>
    </row>
    <row r="535" spans="1:28" hidden="1" x14ac:dyDescent="0.25">
      <c r="A535" s="1630">
        <v>1</v>
      </c>
      <c r="B535" s="1921"/>
      <c r="C535" s="1922"/>
      <c r="D535" s="1922"/>
      <c r="E535" s="1922"/>
      <c r="F535" s="1923"/>
      <c r="G535" s="1588" t="s">
        <v>303</v>
      </c>
      <c r="H535" s="663"/>
      <c r="I535" s="1588"/>
      <c r="J535" s="1588">
        <f>((H535*I535)*440)*15%</f>
        <v>0</v>
      </c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</row>
    <row r="536" spans="1:28" hidden="1" x14ac:dyDescent="0.25">
      <c r="A536" s="1630">
        <v>2</v>
      </c>
      <c r="B536" s="1921"/>
      <c r="C536" s="1922"/>
      <c r="D536" s="1922"/>
      <c r="E536" s="1922"/>
      <c r="F536" s="1923"/>
      <c r="G536" s="1588" t="s">
        <v>303</v>
      </c>
      <c r="H536" s="664"/>
      <c r="I536" s="1588"/>
      <c r="J536" s="1588">
        <f t="shared" ref="J536:J547" si="0">((H536*I536)*440)*15%</f>
        <v>0</v>
      </c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</row>
    <row r="537" spans="1:28" hidden="1" x14ac:dyDescent="0.25">
      <c r="A537" s="1630">
        <v>3</v>
      </c>
      <c r="B537" s="1921"/>
      <c r="C537" s="1922"/>
      <c r="D537" s="1922"/>
      <c r="E537" s="1922"/>
      <c r="F537" s="1923"/>
      <c r="G537" s="1588" t="s">
        <v>934</v>
      </c>
      <c r="H537" s="664"/>
      <c r="I537" s="1588"/>
      <c r="J537" s="1588">
        <f t="shared" si="0"/>
        <v>0</v>
      </c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</row>
    <row r="538" spans="1:28" hidden="1" x14ac:dyDescent="0.25">
      <c r="A538" s="1630">
        <v>4</v>
      </c>
      <c r="B538" s="1921"/>
      <c r="C538" s="1922"/>
      <c r="D538" s="1922"/>
      <c r="E538" s="1922"/>
      <c r="F538" s="1923"/>
      <c r="G538" s="1588" t="s">
        <v>303</v>
      </c>
      <c r="H538" s="664"/>
      <c r="I538" s="1588"/>
      <c r="J538" s="1588">
        <f t="shared" si="0"/>
        <v>0</v>
      </c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</row>
    <row r="539" spans="1:28" hidden="1" x14ac:dyDescent="0.25">
      <c r="A539" s="1630">
        <v>5</v>
      </c>
      <c r="B539" s="1921"/>
      <c r="C539" s="1922"/>
      <c r="D539" s="1922"/>
      <c r="E539" s="1922"/>
      <c r="F539" s="1923"/>
      <c r="G539" s="1588" t="s">
        <v>303</v>
      </c>
      <c r="H539" s="664"/>
      <c r="I539" s="1588"/>
      <c r="J539" s="1588">
        <f t="shared" si="0"/>
        <v>0</v>
      </c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</row>
    <row r="540" spans="1:28" hidden="1" x14ac:dyDescent="0.25">
      <c r="A540" s="1630">
        <v>6</v>
      </c>
      <c r="B540" s="1921"/>
      <c r="C540" s="1922"/>
      <c r="D540" s="1922"/>
      <c r="E540" s="1922"/>
      <c r="F540" s="1923"/>
      <c r="G540" s="1588" t="s">
        <v>303</v>
      </c>
      <c r="H540" s="664"/>
      <c r="I540" s="1588"/>
      <c r="J540" s="1588">
        <f t="shared" si="0"/>
        <v>0</v>
      </c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</row>
    <row r="541" spans="1:28" hidden="1" x14ac:dyDescent="0.25">
      <c r="A541" s="1630">
        <v>7</v>
      </c>
      <c r="B541" s="1921"/>
      <c r="C541" s="1922"/>
      <c r="D541" s="1922"/>
      <c r="E541" s="1922"/>
      <c r="F541" s="1923"/>
      <c r="G541" s="1588" t="s">
        <v>934</v>
      </c>
      <c r="H541" s="664"/>
      <c r="I541" s="1588"/>
      <c r="J541" s="1588">
        <f t="shared" si="0"/>
        <v>0</v>
      </c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</row>
    <row r="542" spans="1:28" hidden="1" x14ac:dyDescent="0.25">
      <c r="A542" s="1630">
        <v>8</v>
      </c>
      <c r="B542" s="1921"/>
      <c r="C542" s="1922"/>
      <c r="D542" s="1922"/>
      <c r="E542" s="1922"/>
      <c r="F542" s="1923"/>
      <c r="G542" s="1588" t="s">
        <v>934</v>
      </c>
      <c r="H542" s="664"/>
      <c r="I542" s="1588"/>
      <c r="J542" s="1588">
        <f t="shared" si="0"/>
        <v>0</v>
      </c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</row>
    <row r="543" spans="1:28" hidden="1" x14ac:dyDescent="0.25">
      <c r="A543" s="1630">
        <v>9</v>
      </c>
      <c r="B543" s="1921"/>
      <c r="C543" s="1922"/>
      <c r="D543" s="1922"/>
      <c r="E543" s="1922"/>
      <c r="F543" s="1923"/>
      <c r="G543" s="1588" t="s">
        <v>303</v>
      </c>
      <c r="H543" s="664"/>
      <c r="I543" s="1588"/>
      <c r="J543" s="1588">
        <f t="shared" si="0"/>
        <v>0</v>
      </c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</row>
    <row r="544" spans="1:28" hidden="1" x14ac:dyDescent="0.25">
      <c r="A544" s="1630">
        <v>10</v>
      </c>
      <c r="B544" s="1921"/>
      <c r="C544" s="1922"/>
      <c r="D544" s="1922"/>
      <c r="E544" s="1922"/>
      <c r="F544" s="1923"/>
      <c r="G544" s="1588" t="s">
        <v>934</v>
      </c>
      <c r="H544" s="664"/>
      <c r="I544" s="1588"/>
      <c r="J544" s="1588">
        <f t="shared" si="0"/>
        <v>0</v>
      </c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</row>
    <row r="545" spans="1:28" hidden="1" x14ac:dyDescent="0.25">
      <c r="A545" s="1630">
        <v>11</v>
      </c>
      <c r="B545" s="1921"/>
      <c r="C545" s="1922"/>
      <c r="D545" s="1922"/>
      <c r="E545" s="1922"/>
      <c r="F545" s="1923"/>
      <c r="G545" s="1588" t="s">
        <v>304</v>
      </c>
      <c r="H545" s="664"/>
      <c r="I545" s="1588"/>
      <c r="J545" s="1588">
        <f t="shared" si="0"/>
        <v>0</v>
      </c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</row>
    <row r="546" spans="1:28" hidden="1" x14ac:dyDescent="0.25">
      <c r="A546" s="1630">
        <v>12</v>
      </c>
      <c r="B546" s="1921"/>
      <c r="C546" s="1922"/>
      <c r="D546" s="1922"/>
      <c r="E546" s="1922"/>
      <c r="F546" s="1923"/>
      <c r="G546" s="1588" t="s">
        <v>304</v>
      </c>
      <c r="H546" s="664"/>
      <c r="I546" s="1588"/>
      <c r="J546" s="1588">
        <f t="shared" si="0"/>
        <v>0</v>
      </c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</row>
    <row r="547" spans="1:28" hidden="1" x14ac:dyDescent="0.25">
      <c r="A547" s="1630">
        <v>13</v>
      </c>
      <c r="B547" s="1921"/>
      <c r="C547" s="1922"/>
      <c r="D547" s="1922"/>
      <c r="E547" s="1922"/>
      <c r="F547" s="1923"/>
      <c r="G547" s="1588" t="s">
        <v>934</v>
      </c>
      <c r="H547" s="664"/>
      <c r="I547" s="1588"/>
      <c r="J547" s="1588">
        <f t="shared" si="0"/>
        <v>0</v>
      </c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</row>
    <row r="548" spans="1:28" hidden="1" x14ac:dyDescent="0.25">
      <c r="A548" s="1895" t="s">
        <v>39</v>
      </c>
      <c r="B548" s="1895"/>
      <c r="C548" s="1895"/>
      <c r="D548" s="1895"/>
      <c r="E548" s="1895"/>
      <c r="F548" s="1895"/>
      <c r="G548" s="1895"/>
      <c r="H548" s="1589" t="s">
        <v>5</v>
      </c>
      <c r="I548" s="1589" t="s">
        <v>5</v>
      </c>
      <c r="J548" s="1589">
        <f>SUM(J535:J547)</f>
        <v>0</v>
      </c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</row>
    <row r="549" spans="1:28" hidden="1" x14ac:dyDescent="0.25">
      <c r="A549" s="63"/>
      <c r="B549" s="63"/>
      <c r="C549" s="63"/>
      <c r="D549" s="63"/>
      <c r="E549" s="63"/>
      <c r="F549" s="63"/>
      <c r="G549" s="63"/>
      <c r="H549" s="64"/>
      <c r="I549" s="64"/>
      <c r="J549" s="64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</row>
    <row r="550" spans="1:28" hidden="1" x14ac:dyDescent="0.25">
      <c r="A550" s="1645" t="s">
        <v>63</v>
      </c>
      <c r="B550" s="72"/>
      <c r="C550" s="75"/>
      <c r="D550" s="75"/>
      <c r="E550" s="71" t="s">
        <v>81</v>
      </c>
      <c r="J550" s="85">
        <f>J551</f>
        <v>0</v>
      </c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</row>
    <row r="551" spans="1:28" hidden="1" x14ac:dyDescent="0.25">
      <c r="A551" s="1645" t="s">
        <v>26</v>
      </c>
      <c r="B551" s="72"/>
      <c r="C551" s="75"/>
      <c r="D551" s="75"/>
      <c r="E551" s="71" t="s">
        <v>38</v>
      </c>
      <c r="J551" s="85">
        <f>J559</f>
        <v>0</v>
      </c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</row>
    <row r="552" spans="1:28" hidden="1" x14ac:dyDescent="0.25">
      <c r="A552" s="1645" t="s">
        <v>27</v>
      </c>
      <c r="B552" s="72"/>
      <c r="C552" s="75"/>
      <c r="D552" s="75"/>
      <c r="E552" s="71" t="s">
        <v>92</v>
      </c>
      <c r="J552" s="85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</row>
    <row r="553" spans="1:28" hidden="1" x14ac:dyDescent="0.25">
      <c r="A553" s="1645"/>
      <c r="B553" s="72"/>
      <c r="C553" s="75"/>
      <c r="D553" s="75"/>
      <c r="E553" s="71"/>
      <c r="J553" s="85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</row>
    <row r="554" spans="1:28" ht="18.75" hidden="1" customHeight="1" x14ac:dyDescent="0.25">
      <c r="A554" s="1644" t="s">
        <v>328</v>
      </c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</row>
    <row r="555" spans="1:28" hidden="1" x14ac:dyDescent="0.25">
      <c r="A555" s="1898" t="s">
        <v>8</v>
      </c>
      <c r="B555" s="1898" t="s">
        <v>35</v>
      </c>
      <c r="C555" s="1898"/>
      <c r="D555" s="1898"/>
      <c r="E555" s="1898"/>
      <c r="F555" s="1898"/>
      <c r="G555" s="1898" t="s">
        <v>61</v>
      </c>
      <c r="H555" s="1899" t="s">
        <v>843</v>
      </c>
      <c r="I555" s="1900"/>
      <c r="J555" s="1901"/>
      <c r="K555" s="61" t="s">
        <v>371</v>
      </c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</row>
    <row r="556" spans="1:28" ht="30" hidden="1" x14ac:dyDescent="0.25">
      <c r="A556" s="1898"/>
      <c r="B556" s="1898"/>
      <c r="C556" s="1898"/>
      <c r="D556" s="1898"/>
      <c r="E556" s="1898"/>
      <c r="F556" s="1898"/>
      <c r="G556" s="1898"/>
      <c r="H556" s="1581" t="s">
        <v>248</v>
      </c>
      <c r="I556" s="1588" t="s">
        <v>264</v>
      </c>
      <c r="J556" s="1588" t="s">
        <v>256</v>
      </c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</row>
    <row r="557" spans="1:28" hidden="1" x14ac:dyDescent="0.25">
      <c r="A557" s="1630">
        <v>1</v>
      </c>
      <c r="B557" s="1909" t="s">
        <v>96</v>
      </c>
      <c r="C557" s="1909"/>
      <c r="D557" s="1909"/>
      <c r="E557" s="1909"/>
      <c r="F557" s="1909"/>
      <c r="G557" s="1588" t="s">
        <v>245</v>
      </c>
      <c r="H557" s="59">
        <v>125</v>
      </c>
      <c r="I557" s="1588">
        <v>80</v>
      </c>
      <c r="J557" s="1588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</row>
    <row r="558" spans="1:28" hidden="1" x14ac:dyDescent="0.25">
      <c r="A558" s="1630">
        <v>2</v>
      </c>
      <c r="B558" s="1909" t="s">
        <v>97</v>
      </c>
      <c r="C558" s="1909"/>
      <c r="D558" s="1909"/>
      <c r="E558" s="1909"/>
      <c r="F558" s="1909"/>
      <c r="G558" s="1588" t="s">
        <v>245</v>
      </c>
      <c r="H558" s="59">
        <v>125</v>
      </c>
      <c r="I558" s="1588">
        <v>80</v>
      </c>
      <c r="J558" s="1588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</row>
    <row r="559" spans="1:28" hidden="1" x14ac:dyDescent="0.25">
      <c r="A559" s="1895" t="s">
        <v>39</v>
      </c>
      <c r="B559" s="1895"/>
      <c r="C559" s="1895"/>
      <c r="D559" s="1895"/>
      <c r="E559" s="1895"/>
      <c r="F559" s="1895"/>
      <c r="G559" s="1895"/>
      <c r="H559" s="1589" t="s">
        <v>5</v>
      </c>
      <c r="I559" s="1589" t="s">
        <v>5</v>
      </c>
      <c r="J559" s="1589">
        <f>SUM(J557:J558)</f>
        <v>0</v>
      </c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</row>
    <row r="560" spans="1:28" ht="18.75" hidden="1" customHeight="1" x14ac:dyDescent="0.25"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</row>
    <row r="561" spans="1:28" hidden="1" x14ac:dyDescent="0.25">
      <c r="A561" s="1645" t="s">
        <v>63</v>
      </c>
      <c r="B561" s="72"/>
      <c r="C561" s="75"/>
      <c r="D561" s="75"/>
      <c r="E561" s="71" t="s">
        <v>81</v>
      </c>
      <c r="J561" s="85">
        <f>J562</f>
        <v>0</v>
      </c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</row>
    <row r="562" spans="1:28" hidden="1" x14ac:dyDescent="0.25">
      <c r="A562" s="1645" t="s">
        <v>26</v>
      </c>
      <c r="B562" s="72"/>
      <c r="C562" s="72"/>
      <c r="D562" s="72"/>
      <c r="E562" s="71" t="s">
        <v>28</v>
      </c>
      <c r="J562" s="85">
        <f>J581+J587+J573</f>
        <v>0</v>
      </c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</row>
    <row r="563" spans="1:28" hidden="1" x14ac:dyDescent="0.25">
      <c r="A563" s="1645" t="s">
        <v>27</v>
      </c>
      <c r="B563" s="72"/>
      <c r="C563" s="72"/>
      <c r="D563" s="72"/>
      <c r="E563" s="71" t="s">
        <v>138</v>
      </c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</row>
    <row r="564" spans="1:28" hidden="1" x14ac:dyDescent="0.25">
      <c r="A564" s="1645"/>
      <c r="B564" s="72"/>
      <c r="C564" s="72"/>
      <c r="D564" s="72"/>
      <c r="E564" s="7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</row>
    <row r="565" spans="1:28" hidden="1" x14ac:dyDescent="0.25">
      <c r="A565" s="1644" t="s">
        <v>935</v>
      </c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</row>
    <row r="566" spans="1:28" hidden="1" x14ac:dyDescent="0.25">
      <c r="A566" s="1898" t="s">
        <v>8</v>
      </c>
      <c r="B566" s="1898" t="s">
        <v>35</v>
      </c>
      <c r="C566" s="1898"/>
      <c r="D566" s="1898"/>
      <c r="E566" s="1898"/>
      <c r="F566" s="1898"/>
      <c r="G566" s="1898" t="s">
        <v>61</v>
      </c>
      <c r="H566" s="1899" t="s">
        <v>843</v>
      </c>
      <c r="I566" s="1900"/>
      <c r="J566" s="1901"/>
      <c r="K566" s="61" t="s">
        <v>899</v>
      </c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</row>
    <row r="567" spans="1:28" ht="45" hidden="1" x14ac:dyDescent="0.25">
      <c r="A567" s="1898"/>
      <c r="B567" s="1898"/>
      <c r="C567" s="1898"/>
      <c r="D567" s="1898"/>
      <c r="E567" s="1898"/>
      <c r="F567" s="1898"/>
      <c r="G567" s="1898"/>
      <c r="H567" s="1581" t="s">
        <v>248</v>
      </c>
      <c r="I567" s="1588" t="s">
        <v>350</v>
      </c>
      <c r="J567" s="1588" t="s">
        <v>256</v>
      </c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</row>
    <row r="568" spans="1:28" ht="15" hidden="1" customHeight="1" x14ac:dyDescent="0.25">
      <c r="A568" s="1630">
        <v>1</v>
      </c>
      <c r="B568" s="1921" t="s">
        <v>936</v>
      </c>
      <c r="C568" s="1922"/>
      <c r="D568" s="1922"/>
      <c r="E568" s="1922"/>
      <c r="F568" s="1923"/>
      <c r="G568" s="1588" t="s">
        <v>245</v>
      </c>
      <c r="H568" s="59">
        <v>1252</v>
      </c>
      <c r="I568" s="1588">
        <v>200</v>
      </c>
      <c r="J568" s="1588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</row>
    <row r="569" spans="1:28" ht="15" hidden="1" customHeight="1" x14ac:dyDescent="0.25">
      <c r="A569" s="1630">
        <v>2</v>
      </c>
      <c r="B569" s="1921" t="s">
        <v>937</v>
      </c>
      <c r="C569" s="1922"/>
      <c r="D569" s="1922"/>
      <c r="E569" s="1922"/>
      <c r="F569" s="1923"/>
      <c r="G569" s="1588" t="s">
        <v>245</v>
      </c>
      <c r="H569" s="59">
        <v>1000</v>
      </c>
      <c r="I569" s="1588">
        <v>280</v>
      </c>
      <c r="J569" s="1588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</row>
    <row r="570" spans="1:28" ht="28.5" hidden="1" customHeight="1" x14ac:dyDescent="0.25">
      <c r="A570" s="1630">
        <v>3</v>
      </c>
      <c r="B570" s="1921" t="s">
        <v>938</v>
      </c>
      <c r="C570" s="1922"/>
      <c r="D570" s="1922"/>
      <c r="E570" s="1922"/>
      <c r="F570" s="1923"/>
      <c r="G570" s="1588" t="s">
        <v>245</v>
      </c>
      <c r="H570" s="59">
        <v>2000</v>
      </c>
      <c r="I570" s="1588">
        <v>300</v>
      </c>
      <c r="J570" s="1588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</row>
    <row r="571" spans="1:28" ht="30" hidden="1" customHeight="1" x14ac:dyDescent="0.25">
      <c r="A571" s="1630">
        <v>4</v>
      </c>
      <c r="B571" s="1921" t="s">
        <v>939</v>
      </c>
      <c r="C571" s="1922"/>
      <c r="D571" s="1922"/>
      <c r="E571" s="1922"/>
      <c r="F571" s="1923"/>
      <c r="G571" s="1588" t="s">
        <v>245</v>
      </c>
      <c r="H571" s="59">
        <v>500</v>
      </c>
      <c r="I571" s="1588">
        <v>385.15</v>
      </c>
      <c r="J571" s="1588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</row>
    <row r="572" spans="1:28" hidden="1" x14ac:dyDescent="0.25">
      <c r="A572" s="1630">
        <v>5</v>
      </c>
      <c r="B572" s="1921" t="s">
        <v>940</v>
      </c>
      <c r="C572" s="1922"/>
      <c r="D572" s="1922"/>
      <c r="E572" s="1922"/>
      <c r="F572" s="1923"/>
      <c r="G572" s="1588" t="s">
        <v>245</v>
      </c>
      <c r="H572" s="59">
        <v>233</v>
      </c>
      <c r="I572" s="1588">
        <v>1500</v>
      </c>
      <c r="J572" s="1588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</row>
    <row r="573" spans="1:28" hidden="1" x14ac:dyDescent="0.25">
      <c r="A573" s="1895" t="s">
        <v>39</v>
      </c>
      <c r="B573" s="1895"/>
      <c r="C573" s="1895"/>
      <c r="D573" s="1895"/>
      <c r="E573" s="1895"/>
      <c r="F573" s="1895"/>
      <c r="G573" s="1895"/>
      <c r="H573" s="1589" t="s">
        <v>5</v>
      </c>
      <c r="I573" s="1589" t="s">
        <v>5</v>
      </c>
      <c r="J573" s="1589">
        <f>SUM(J568:J572)</f>
        <v>0</v>
      </c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</row>
    <row r="574" spans="1:28" hidden="1" x14ac:dyDescent="0.25">
      <c r="A574" s="1645"/>
      <c r="B574" s="72"/>
      <c r="C574" s="72"/>
      <c r="D574" s="72"/>
      <c r="E574" s="7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</row>
    <row r="575" spans="1:28" ht="18.75" hidden="1" customHeight="1" x14ac:dyDescent="0.25">
      <c r="A575" s="1644" t="s">
        <v>941</v>
      </c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</row>
    <row r="576" spans="1:28" hidden="1" x14ac:dyDescent="0.25">
      <c r="A576" s="1898" t="s">
        <v>8</v>
      </c>
      <c r="B576" s="1898" t="s">
        <v>35</v>
      </c>
      <c r="C576" s="1898"/>
      <c r="D576" s="1898"/>
      <c r="E576" s="1898"/>
      <c r="F576" s="1898"/>
      <c r="G576" s="1898" t="s">
        <v>61</v>
      </c>
      <c r="H576" s="1899" t="s">
        <v>843</v>
      </c>
      <c r="I576" s="1900"/>
      <c r="J576" s="1901"/>
      <c r="K576" s="61" t="s">
        <v>379</v>
      </c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</row>
    <row r="577" spans="1:28" ht="45" hidden="1" x14ac:dyDescent="0.25">
      <c r="A577" s="1898"/>
      <c r="B577" s="1898"/>
      <c r="C577" s="1898"/>
      <c r="D577" s="1898"/>
      <c r="E577" s="1898"/>
      <c r="F577" s="1898"/>
      <c r="G577" s="1898"/>
      <c r="H577" s="1581" t="s">
        <v>248</v>
      </c>
      <c r="I577" s="1588" t="s">
        <v>350</v>
      </c>
      <c r="J577" s="1588" t="s">
        <v>256</v>
      </c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</row>
    <row r="578" spans="1:28" hidden="1" x14ac:dyDescent="0.25">
      <c r="A578" s="1630">
        <v>1</v>
      </c>
      <c r="B578" s="1932" t="s">
        <v>942</v>
      </c>
      <c r="C578" s="1937"/>
      <c r="D578" s="1937"/>
      <c r="E578" s="1937"/>
      <c r="F578" s="1938"/>
      <c r="G578" s="1588" t="s">
        <v>245</v>
      </c>
      <c r="H578" s="67">
        <v>105</v>
      </c>
      <c r="I578" s="68">
        <v>2580</v>
      </c>
      <c r="J578" s="1588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</row>
    <row r="579" spans="1:28" hidden="1" x14ac:dyDescent="0.25">
      <c r="A579" s="1630">
        <v>2</v>
      </c>
      <c r="B579" s="1932" t="s">
        <v>943</v>
      </c>
      <c r="C579" s="1937"/>
      <c r="D579" s="1937"/>
      <c r="E579" s="1937"/>
      <c r="F579" s="1938"/>
      <c r="G579" s="1588" t="s">
        <v>245</v>
      </c>
      <c r="H579" s="67">
        <v>90</v>
      </c>
      <c r="I579" s="68">
        <v>1425</v>
      </c>
      <c r="J579" s="1588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</row>
    <row r="580" spans="1:28" hidden="1" x14ac:dyDescent="0.25">
      <c r="A580" s="1630">
        <v>3</v>
      </c>
      <c r="B580" s="1932" t="s">
        <v>348</v>
      </c>
      <c r="C580" s="1937"/>
      <c r="D580" s="1937"/>
      <c r="E580" s="1937"/>
      <c r="F580" s="1938"/>
      <c r="G580" s="1588" t="s">
        <v>245</v>
      </c>
      <c r="H580" s="67"/>
      <c r="I580" s="68"/>
      <c r="J580" s="1588">
        <f>H580*I580</f>
        <v>0</v>
      </c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</row>
    <row r="581" spans="1:28" hidden="1" x14ac:dyDescent="0.25">
      <c r="A581" s="1895" t="s">
        <v>39</v>
      </c>
      <c r="B581" s="1895"/>
      <c r="C581" s="1895"/>
      <c r="D581" s="1895"/>
      <c r="E581" s="1895"/>
      <c r="F581" s="1895"/>
      <c r="G581" s="1895"/>
      <c r="H581" s="1589" t="s">
        <v>5</v>
      </c>
      <c r="I581" s="1589" t="s">
        <v>5</v>
      </c>
      <c r="J581" s="1589">
        <f>SUM(J578:J580)</f>
        <v>0</v>
      </c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</row>
    <row r="582" spans="1:28" hidden="1" x14ac:dyDescent="0.25"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</row>
    <row r="583" spans="1:28" hidden="1" x14ac:dyDescent="0.25">
      <c r="A583" s="1644" t="s">
        <v>328</v>
      </c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</row>
    <row r="584" spans="1:28" hidden="1" x14ac:dyDescent="0.25">
      <c r="A584" s="1898" t="s">
        <v>8</v>
      </c>
      <c r="B584" s="1898" t="s">
        <v>35</v>
      </c>
      <c r="C584" s="1898"/>
      <c r="D584" s="1898"/>
      <c r="E584" s="1898"/>
      <c r="F584" s="1898"/>
      <c r="G584" s="1898" t="s">
        <v>61</v>
      </c>
      <c r="H584" s="1899" t="s">
        <v>843</v>
      </c>
      <c r="I584" s="1900"/>
      <c r="J584" s="1901"/>
      <c r="K584" s="61" t="s">
        <v>379</v>
      </c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</row>
    <row r="585" spans="1:28" ht="45" hidden="1" customHeight="1" x14ac:dyDescent="0.25">
      <c r="A585" s="1898"/>
      <c r="B585" s="1898"/>
      <c r="C585" s="1898"/>
      <c r="D585" s="1898"/>
      <c r="E585" s="1898"/>
      <c r="F585" s="1898"/>
      <c r="G585" s="1898"/>
      <c r="H585" s="1581" t="s">
        <v>248</v>
      </c>
      <c r="I585" s="1588" t="s">
        <v>350</v>
      </c>
      <c r="J585" s="1588" t="s">
        <v>256</v>
      </c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</row>
    <row r="586" spans="1:28" hidden="1" x14ac:dyDescent="0.25">
      <c r="A586" s="1630">
        <v>1</v>
      </c>
      <c r="B586" s="1932" t="s">
        <v>349</v>
      </c>
      <c r="C586" s="1937"/>
      <c r="D586" s="1937"/>
      <c r="E586" s="1937"/>
      <c r="F586" s="1938"/>
      <c r="G586" s="1588" t="s">
        <v>245</v>
      </c>
      <c r="H586" s="67">
        <v>510</v>
      </c>
      <c r="I586" s="68">
        <v>1729.9</v>
      </c>
      <c r="J586" s="1588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</row>
    <row r="587" spans="1:28" hidden="1" x14ac:dyDescent="0.25">
      <c r="A587" s="1895" t="s">
        <v>39</v>
      </c>
      <c r="B587" s="1895"/>
      <c r="C587" s="1895"/>
      <c r="D587" s="1895"/>
      <c r="E587" s="1895"/>
      <c r="F587" s="1895"/>
      <c r="G587" s="1895"/>
      <c r="H587" s="1589" t="s">
        <v>5</v>
      </c>
      <c r="I587" s="1589" t="s">
        <v>5</v>
      </c>
      <c r="J587" s="1589">
        <f>SUM(J586:J586)</f>
        <v>0</v>
      </c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</row>
    <row r="588" spans="1:28" ht="18.75" hidden="1" customHeight="1" x14ac:dyDescent="0.25"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</row>
    <row r="589" spans="1:28" hidden="1" x14ac:dyDescent="0.25">
      <c r="A589" s="1645" t="s">
        <v>63</v>
      </c>
      <c r="B589" s="72"/>
      <c r="C589" s="75"/>
      <c r="D589" s="75"/>
      <c r="E589" s="71" t="s">
        <v>81</v>
      </c>
      <c r="J589" s="85">
        <f>J590</f>
        <v>0</v>
      </c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</row>
    <row r="590" spans="1:28" hidden="1" x14ac:dyDescent="0.25">
      <c r="A590" s="1645" t="s">
        <v>26</v>
      </c>
      <c r="B590" s="72"/>
      <c r="C590" s="72"/>
      <c r="D590" s="72"/>
      <c r="E590" s="71" t="s">
        <v>28</v>
      </c>
      <c r="J590" s="85">
        <f>J608+J614+J600</f>
        <v>0</v>
      </c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</row>
    <row r="591" spans="1:28" hidden="1" x14ac:dyDescent="0.25">
      <c r="A591" s="1645" t="s">
        <v>27</v>
      </c>
      <c r="B591" s="72"/>
      <c r="C591" s="72"/>
      <c r="D591" s="72"/>
      <c r="E591" s="71" t="s">
        <v>67</v>
      </c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</row>
    <row r="592" spans="1:28" hidden="1" x14ac:dyDescent="0.25">
      <c r="A592" s="1645"/>
      <c r="B592" s="72"/>
      <c r="C592" s="72"/>
      <c r="D592" s="72"/>
      <c r="E592" s="7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</row>
    <row r="593" spans="1:28" hidden="1" x14ac:dyDescent="0.25">
      <c r="A593" s="1644" t="s">
        <v>935</v>
      </c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</row>
    <row r="594" spans="1:28" hidden="1" x14ac:dyDescent="0.25">
      <c r="A594" s="1898" t="s">
        <v>8</v>
      </c>
      <c r="B594" s="1898" t="s">
        <v>35</v>
      </c>
      <c r="C594" s="1898"/>
      <c r="D594" s="1898"/>
      <c r="E594" s="1898"/>
      <c r="F594" s="1898"/>
      <c r="G594" s="1898" t="s">
        <v>61</v>
      </c>
      <c r="H594" s="1899" t="s">
        <v>843</v>
      </c>
      <c r="I594" s="1900"/>
      <c r="J594" s="1901"/>
      <c r="K594" s="61" t="s">
        <v>379</v>
      </c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</row>
    <row r="595" spans="1:28" ht="45" hidden="1" x14ac:dyDescent="0.25">
      <c r="A595" s="1898"/>
      <c r="B595" s="1898"/>
      <c r="C595" s="1898"/>
      <c r="D595" s="1898"/>
      <c r="E595" s="1898"/>
      <c r="F595" s="1898"/>
      <c r="G595" s="1898"/>
      <c r="H595" s="1581" t="s">
        <v>248</v>
      </c>
      <c r="I595" s="1588" t="s">
        <v>350</v>
      </c>
      <c r="J595" s="1588" t="s">
        <v>256</v>
      </c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</row>
    <row r="596" spans="1:28" ht="15" hidden="1" customHeight="1" x14ac:dyDescent="0.25">
      <c r="A596" s="1630">
        <v>1</v>
      </c>
      <c r="B596" s="705" t="s">
        <v>944</v>
      </c>
      <c r="C596" s="705"/>
      <c r="D596" s="705"/>
      <c r="E596" s="705"/>
      <c r="F596" s="705"/>
      <c r="G596" s="1588" t="s">
        <v>304</v>
      </c>
      <c r="H596" s="59">
        <v>800</v>
      </c>
      <c r="I596" s="1588">
        <v>268</v>
      </c>
      <c r="J596" s="1588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</row>
    <row r="597" spans="1:28" ht="15" hidden="1" customHeight="1" x14ac:dyDescent="0.25">
      <c r="A597" s="1630">
        <v>2</v>
      </c>
      <c r="B597" s="705" t="s">
        <v>945</v>
      </c>
      <c r="C597" s="705"/>
      <c r="D597" s="705"/>
      <c r="E597" s="705"/>
      <c r="F597" s="705"/>
      <c r="G597" s="1588" t="s">
        <v>304</v>
      </c>
      <c r="H597" s="59">
        <v>800</v>
      </c>
      <c r="I597" s="1588">
        <v>258</v>
      </c>
      <c r="J597" s="1588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</row>
    <row r="598" spans="1:28" hidden="1" x14ac:dyDescent="0.25">
      <c r="A598" s="1630">
        <v>3</v>
      </c>
      <c r="B598" s="705" t="s">
        <v>946</v>
      </c>
      <c r="C598" s="705"/>
      <c r="D598" s="705"/>
      <c r="E598" s="705"/>
      <c r="F598" s="705"/>
      <c r="G598" s="1588" t="s">
        <v>304</v>
      </c>
      <c r="H598" s="59">
        <v>800</v>
      </c>
      <c r="I598" s="1588">
        <v>265</v>
      </c>
      <c r="J598" s="1588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</row>
    <row r="599" spans="1:28" hidden="1" x14ac:dyDescent="0.25">
      <c r="A599" s="1630">
        <v>4</v>
      </c>
      <c r="B599" s="705" t="s">
        <v>947</v>
      </c>
      <c r="C599" s="705"/>
      <c r="D599" s="705"/>
      <c r="E599" s="705"/>
      <c r="F599" s="705"/>
      <c r="G599" s="1588" t="s">
        <v>304</v>
      </c>
      <c r="H599" s="59">
        <v>800</v>
      </c>
      <c r="I599" s="1588">
        <v>260.5</v>
      </c>
      <c r="J599" s="1588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</row>
    <row r="600" spans="1:28" hidden="1" x14ac:dyDescent="0.25">
      <c r="A600" s="1895" t="s">
        <v>39</v>
      </c>
      <c r="B600" s="1895"/>
      <c r="C600" s="1895"/>
      <c r="D600" s="1895"/>
      <c r="E600" s="1895"/>
      <c r="F600" s="1895"/>
      <c r="G600" s="1895"/>
      <c r="H600" s="1589" t="s">
        <v>5</v>
      </c>
      <c r="I600" s="1589" t="s">
        <v>5</v>
      </c>
      <c r="J600" s="1589">
        <f>SUM(J596:J599)</f>
        <v>0</v>
      </c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</row>
    <row r="601" spans="1:28" hidden="1" x14ac:dyDescent="0.25">
      <c r="A601" s="1645"/>
      <c r="B601" s="72"/>
      <c r="C601" s="72"/>
      <c r="D601" s="72"/>
      <c r="E601" s="7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</row>
    <row r="602" spans="1:28" ht="18.75" hidden="1" customHeight="1" x14ac:dyDescent="0.25">
      <c r="A602" s="1644" t="s">
        <v>941</v>
      </c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</row>
    <row r="603" spans="1:28" hidden="1" x14ac:dyDescent="0.25">
      <c r="A603" s="1898" t="s">
        <v>8</v>
      </c>
      <c r="B603" s="1898" t="s">
        <v>35</v>
      </c>
      <c r="C603" s="1898"/>
      <c r="D603" s="1898"/>
      <c r="E603" s="1898"/>
      <c r="F603" s="1898"/>
      <c r="G603" s="1898" t="s">
        <v>61</v>
      </c>
      <c r="H603" s="1899" t="s">
        <v>843</v>
      </c>
      <c r="I603" s="1900"/>
      <c r="J603" s="1901"/>
      <c r="K603" s="61" t="s">
        <v>379</v>
      </c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</row>
    <row r="604" spans="1:28" ht="45" hidden="1" x14ac:dyDescent="0.25">
      <c r="A604" s="1898"/>
      <c r="B604" s="1898"/>
      <c r="C604" s="1898"/>
      <c r="D604" s="1898"/>
      <c r="E604" s="1898"/>
      <c r="F604" s="1898"/>
      <c r="G604" s="1898"/>
      <c r="H604" s="1581" t="s">
        <v>248</v>
      </c>
      <c r="I604" s="1588" t="s">
        <v>350</v>
      </c>
      <c r="J604" s="1588" t="s">
        <v>256</v>
      </c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</row>
    <row r="605" spans="1:28" hidden="1" x14ac:dyDescent="0.25">
      <c r="A605" s="1630">
        <v>1</v>
      </c>
      <c r="B605" s="1932" t="s">
        <v>942</v>
      </c>
      <c r="C605" s="1937"/>
      <c r="D605" s="1937"/>
      <c r="E605" s="1937"/>
      <c r="F605" s="1938"/>
      <c r="G605" s="1588" t="s">
        <v>245</v>
      </c>
      <c r="H605" s="67">
        <v>278</v>
      </c>
      <c r="I605" s="68">
        <v>2580</v>
      </c>
      <c r="J605" s="1588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</row>
    <row r="606" spans="1:28" hidden="1" x14ac:dyDescent="0.25">
      <c r="A606" s="1630">
        <v>2</v>
      </c>
      <c r="B606" s="1932" t="s">
        <v>943</v>
      </c>
      <c r="C606" s="1937"/>
      <c r="D606" s="1937"/>
      <c r="E606" s="1937"/>
      <c r="F606" s="1938"/>
      <c r="G606" s="1588" t="s">
        <v>245</v>
      </c>
      <c r="H606" s="67">
        <v>200</v>
      </c>
      <c r="I606" s="68">
        <v>1425</v>
      </c>
      <c r="J606" s="1588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</row>
    <row r="607" spans="1:28" hidden="1" x14ac:dyDescent="0.25">
      <c r="A607" s="1630">
        <v>3</v>
      </c>
      <c r="B607" s="1932" t="s">
        <v>348</v>
      </c>
      <c r="C607" s="1937"/>
      <c r="D607" s="1937"/>
      <c r="E607" s="1937"/>
      <c r="F607" s="1938"/>
      <c r="G607" s="1588" t="s">
        <v>245</v>
      </c>
      <c r="H607" s="67">
        <v>625</v>
      </c>
      <c r="I607" s="68">
        <v>1280</v>
      </c>
      <c r="J607" s="1588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</row>
    <row r="608" spans="1:28" hidden="1" x14ac:dyDescent="0.25">
      <c r="A608" s="1895" t="s">
        <v>39</v>
      </c>
      <c r="B608" s="1895"/>
      <c r="C608" s="1895"/>
      <c r="D608" s="1895"/>
      <c r="E608" s="1895"/>
      <c r="F608" s="1895"/>
      <c r="G608" s="1895"/>
      <c r="H608" s="1589" t="s">
        <v>5</v>
      </c>
      <c r="I608" s="1589" t="s">
        <v>5</v>
      </c>
      <c r="J608" s="1589">
        <f>SUM(J605:J607)</f>
        <v>0</v>
      </c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</row>
    <row r="609" spans="1:28" hidden="1" x14ac:dyDescent="0.25"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</row>
    <row r="610" spans="1:28" hidden="1" x14ac:dyDescent="0.25">
      <c r="A610" s="1644" t="s">
        <v>328</v>
      </c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</row>
    <row r="611" spans="1:28" hidden="1" x14ac:dyDescent="0.25">
      <c r="A611" s="1898" t="s">
        <v>8</v>
      </c>
      <c r="B611" s="1898" t="s">
        <v>35</v>
      </c>
      <c r="C611" s="1898"/>
      <c r="D611" s="1898"/>
      <c r="E611" s="1898"/>
      <c r="F611" s="1898"/>
      <c r="G611" s="1898" t="s">
        <v>61</v>
      </c>
      <c r="H611" s="1899" t="s">
        <v>843</v>
      </c>
      <c r="I611" s="1900"/>
      <c r="J611" s="1901"/>
      <c r="K611" s="61" t="s">
        <v>379</v>
      </c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</row>
    <row r="612" spans="1:28" ht="44.25" hidden="1" customHeight="1" x14ac:dyDescent="0.25">
      <c r="A612" s="1898"/>
      <c r="B612" s="1898"/>
      <c r="C612" s="1898"/>
      <c r="D612" s="1898"/>
      <c r="E612" s="1898"/>
      <c r="F612" s="1898"/>
      <c r="G612" s="1898"/>
      <c r="H612" s="1581" t="s">
        <v>248</v>
      </c>
      <c r="I612" s="1588" t="s">
        <v>350</v>
      </c>
      <c r="J612" s="1588" t="s">
        <v>256</v>
      </c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</row>
    <row r="613" spans="1:28" hidden="1" x14ac:dyDescent="0.25">
      <c r="A613" s="1630">
        <v>1</v>
      </c>
      <c r="B613" s="1932" t="s">
        <v>948</v>
      </c>
      <c r="C613" s="1937"/>
      <c r="D613" s="1937"/>
      <c r="E613" s="1937"/>
      <c r="F613" s="1938"/>
      <c r="G613" s="1588" t="s">
        <v>245</v>
      </c>
      <c r="H613" s="67">
        <v>500</v>
      </c>
      <c r="I613" s="68">
        <v>1595.52</v>
      </c>
      <c r="J613" s="1588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</row>
    <row r="614" spans="1:28" hidden="1" x14ac:dyDescent="0.25">
      <c r="A614" s="1895" t="s">
        <v>39</v>
      </c>
      <c r="B614" s="1895"/>
      <c r="C614" s="1895"/>
      <c r="D614" s="1895"/>
      <c r="E614" s="1895"/>
      <c r="F614" s="1895"/>
      <c r="G614" s="1895"/>
      <c r="H614" s="1589" t="s">
        <v>5</v>
      </c>
      <c r="I614" s="1589" t="s">
        <v>5</v>
      </c>
      <c r="J614" s="1589">
        <f>SUM(J613:J613)</f>
        <v>0</v>
      </c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</row>
    <row r="615" spans="1:28" hidden="1" x14ac:dyDescent="0.25">
      <c r="A615" s="63"/>
      <c r="B615" s="63"/>
      <c r="C615" s="63"/>
      <c r="D615" s="63"/>
      <c r="E615" s="63"/>
      <c r="F615" s="63"/>
      <c r="G615" s="63"/>
      <c r="H615" s="64"/>
      <c r="I615" s="64"/>
      <c r="J615" s="64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</row>
    <row r="616" spans="1:28" hidden="1" x14ac:dyDescent="0.25">
      <c r="A616" s="1645" t="s">
        <v>63</v>
      </c>
      <c r="B616" s="72"/>
      <c r="C616" s="72"/>
      <c r="D616" s="72"/>
      <c r="E616" s="71" t="s">
        <v>81</v>
      </c>
      <c r="J616" s="85">
        <f>J617</f>
        <v>0</v>
      </c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</row>
    <row r="617" spans="1:28" hidden="1" x14ac:dyDescent="0.25">
      <c r="A617" s="1645" t="s">
        <v>26</v>
      </c>
      <c r="B617" s="72"/>
      <c r="C617" s="72"/>
      <c r="D617" s="72"/>
      <c r="E617" s="71" t="s">
        <v>28</v>
      </c>
      <c r="J617" s="85">
        <f>J624</f>
        <v>0</v>
      </c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</row>
    <row r="618" spans="1:28" hidden="1" x14ac:dyDescent="0.25">
      <c r="A618" s="1645" t="s">
        <v>27</v>
      </c>
      <c r="B618" s="72"/>
      <c r="C618" s="72"/>
      <c r="D618" s="72"/>
      <c r="E618" s="71" t="s">
        <v>891</v>
      </c>
      <c r="J618" s="85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</row>
    <row r="619" spans="1:28" hidden="1" x14ac:dyDescent="0.25">
      <c r="A619" s="1645"/>
      <c r="B619" s="72"/>
      <c r="C619" s="72"/>
      <c r="D619" s="72"/>
      <c r="E619" s="71"/>
      <c r="J619" s="85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</row>
    <row r="620" spans="1:28" ht="18.75" hidden="1" customHeight="1" x14ac:dyDescent="0.25">
      <c r="A620" s="1644" t="s">
        <v>949</v>
      </c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</row>
    <row r="621" spans="1:28" ht="19.5" hidden="1" customHeight="1" x14ac:dyDescent="0.25">
      <c r="A621" s="1898" t="s">
        <v>8</v>
      </c>
      <c r="B621" s="1898" t="s">
        <v>35</v>
      </c>
      <c r="C621" s="1898"/>
      <c r="D621" s="1898"/>
      <c r="E621" s="1898"/>
      <c r="F621" s="1898"/>
      <c r="G621" s="1898" t="s">
        <v>61</v>
      </c>
      <c r="H621" s="1899" t="s">
        <v>843</v>
      </c>
      <c r="I621" s="1900"/>
      <c r="J621" s="190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</row>
    <row r="622" spans="1:28" ht="30" hidden="1" customHeight="1" x14ac:dyDescent="0.25">
      <c r="A622" s="1898"/>
      <c r="B622" s="1898"/>
      <c r="C622" s="1898"/>
      <c r="D622" s="1898"/>
      <c r="E622" s="1898"/>
      <c r="F622" s="1898"/>
      <c r="G622" s="1898"/>
      <c r="H622" s="1581" t="s">
        <v>248</v>
      </c>
      <c r="I622" s="1588" t="s">
        <v>264</v>
      </c>
      <c r="J622" s="1588" t="s">
        <v>256</v>
      </c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</row>
    <row r="623" spans="1:28" ht="30.75" hidden="1" customHeight="1" x14ac:dyDescent="0.25">
      <c r="A623" s="1630">
        <v>1</v>
      </c>
      <c r="B623" s="1932" t="s">
        <v>950</v>
      </c>
      <c r="C623" s="1937"/>
      <c r="D623" s="1937"/>
      <c r="E623" s="1937"/>
      <c r="F623" s="1938"/>
      <c r="G623" s="1588" t="s">
        <v>245</v>
      </c>
      <c r="H623" s="67"/>
      <c r="I623" s="68"/>
      <c r="J623" s="1588">
        <f>H623*I623</f>
        <v>0</v>
      </c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</row>
    <row r="624" spans="1:28" hidden="1" x14ac:dyDescent="0.25">
      <c r="A624" s="1895" t="s">
        <v>39</v>
      </c>
      <c r="B624" s="1895"/>
      <c r="C624" s="1895"/>
      <c r="D624" s="1895"/>
      <c r="E624" s="1895"/>
      <c r="F624" s="1895"/>
      <c r="G624" s="1895"/>
      <c r="H624" s="1589" t="s">
        <v>5</v>
      </c>
      <c r="I624" s="1589" t="s">
        <v>5</v>
      </c>
      <c r="J624" s="1589">
        <f>SUM(J623:J623)</f>
        <v>0</v>
      </c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</row>
    <row r="625" spans="1:28" ht="19.5" hidden="1" customHeight="1" x14ac:dyDescent="0.25"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</row>
    <row r="626" spans="1:28" hidden="1" x14ac:dyDescent="0.25">
      <c r="A626" s="1645" t="s">
        <v>63</v>
      </c>
      <c r="B626" s="72"/>
      <c r="C626" s="75"/>
      <c r="D626" s="75"/>
      <c r="E626" s="71" t="s">
        <v>98</v>
      </c>
      <c r="J626" s="85">
        <f>J627</f>
        <v>0</v>
      </c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</row>
    <row r="627" spans="1:28" hidden="1" x14ac:dyDescent="0.25">
      <c r="A627" s="1645" t="s">
        <v>26</v>
      </c>
      <c r="B627" s="72"/>
      <c r="C627" s="75"/>
      <c r="D627" s="75"/>
      <c r="E627" s="71" t="s">
        <v>28</v>
      </c>
      <c r="J627" s="85">
        <f>J641</f>
        <v>0</v>
      </c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</row>
    <row r="628" spans="1:28" hidden="1" x14ac:dyDescent="0.25">
      <c r="A628" s="1645" t="s">
        <v>27</v>
      </c>
      <c r="B628" s="72"/>
      <c r="C628" s="75"/>
      <c r="D628" s="75"/>
      <c r="E628" s="71" t="s">
        <v>67</v>
      </c>
      <c r="K628" s="87"/>
      <c r="L628" s="99"/>
      <c r="M628" s="99"/>
      <c r="N628" s="99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</row>
    <row r="629" spans="1:28" hidden="1" x14ac:dyDescent="0.25">
      <c r="A629" s="1645"/>
      <c r="B629" s="72"/>
      <c r="C629" s="75"/>
      <c r="D629" s="75"/>
      <c r="E629" s="71"/>
      <c r="K629" s="87"/>
      <c r="L629" s="99"/>
      <c r="M629" s="99"/>
      <c r="N629" s="99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</row>
    <row r="630" spans="1:28" ht="18.75" hidden="1" customHeight="1" x14ac:dyDescent="0.25">
      <c r="A630" s="1644" t="s">
        <v>951</v>
      </c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</row>
    <row r="631" spans="1:28" ht="19.5" hidden="1" customHeight="1" x14ac:dyDescent="0.25">
      <c r="A631" s="1898" t="s">
        <v>8</v>
      </c>
      <c r="B631" s="1898" t="s">
        <v>35</v>
      </c>
      <c r="C631" s="1898"/>
      <c r="D631" s="1898"/>
      <c r="E631" s="1898"/>
      <c r="F631" s="1898"/>
      <c r="G631" s="1898" t="s">
        <v>61</v>
      </c>
      <c r="H631" s="1899" t="s">
        <v>843</v>
      </c>
      <c r="I631" s="1900"/>
      <c r="J631" s="190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</row>
    <row r="632" spans="1:28" ht="30" hidden="1" x14ac:dyDescent="0.25">
      <c r="A632" s="1898"/>
      <c r="B632" s="1898"/>
      <c r="C632" s="1898"/>
      <c r="D632" s="1898"/>
      <c r="E632" s="1898"/>
      <c r="F632" s="1898"/>
      <c r="G632" s="1898"/>
      <c r="H632" s="1581" t="s">
        <v>248</v>
      </c>
      <c r="I632" s="1588" t="s">
        <v>264</v>
      </c>
      <c r="J632" s="1588" t="s">
        <v>256</v>
      </c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</row>
    <row r="633" spans="1:28" hidden="1" x14ac:dyDescent="0.25">
      <c r="A633" s="1630">
        <v>1</v>
      </c>
      <c r="B633" s="1932"/>
      <c r="C633" s="1933"/>
      <c r="D633" s="1933"/>
      <c r="E633" s="1933"/>
      <c r="F633" s="1934"/>
      <c r="G633" s="1588" t="s">
        <v>245</v>
      </c>
      <c r="H633" s="67"/>
      <c r="I633" s="68"/>
      <c r="J633" s="1588">
        <f t="shared" ref="J633:J640" si="1">H633*I633</f>
        <v>0</v>
      </c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</row>
    <row r="634" spans="1:28" hidden="1" x14ac:dyDescent="0.25">
      <c r="A634" s="706">
        <f>A633+1</f>
        <v>2</v>
      </c>
      <c r="B634" s="1932"/>
      <c r="C634" s="1933"/>
      <c r="D634" s="1933"/>
      <c r="E634" s="1933"/>
      <c r="F634" s="1934"/>
      <c r="G634" s="1588" t="s">
        <v>245</v>
      </c>
      <c r="H634" s="67"/>
      <c r="I634" s="68"/>
      <c r="J634" s="1588">
        <f t="shared" si="1"/>
        <v>0</v>
      </c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</row>
    <row r="635" spans="1:28" hidden="1" x14ac:dyDescent="0.25">
      <c r="A635" s="1630">
        <v>3</v>
      </c>
      <c r="B635" s="1932"/>
      <c r="C635" s="1933"/>
      <c r="D635" s="1933"/>
      <c r="E635" s="1933"/>
      <c r="F635" s="1934"/>
      <c r="G635" s="1588" t="s">
        <v>245</v>
      </c>
      <c r="H635" s="67"/>
      <c r="I635" s="68"/>
      <c r="J635" s="1588">
        <f t="shared" si="1"/>
        <v>0</v>
      </c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</row>
    <row r="636" spans="1:28" hidden="1" x14ac:dyDescent="0.25">
      <c r="A636" s="706">
        <v>4</v>
      </c>
      <c r="B636" s="1932"/>
      <c r="C636" s="1933"/>
      <c r="D636" s="1933"/>
      <c r="E636" s="1933"/>
      <c r="F636" s="1934"/>
      <c r="G636" s="1588" t="s">
        <v>245</v>
      </c>
      <c r="H636" s="67"/>
      <c r="I636" s="68"/>
      <c r="J636" s="1588">
        <f t="shared" si="1"/>
        <v>0</v>
      </c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</row>
    <row r="637" spans="1:28" hidden="1" x14ac:dyDescent="0.25">
      <c r="A637" s="1630">
        <v>5</v>
      </c>
      <c r="B637" s="1932"/>
      <c r="C637" s="1933"/>
      <c r="D637" s="1933"/>
      <c r="E637" s="1933"/>
      <c r="F637" s="1934"/>
      <c r="G637" s="1588" t="s">
        <v>245</v>
      </c>
      <c r="H637" s="67"/>
      <c r="I637" s="68"/>
      <c r="J637" s="1588">
        <f t="shared" si="1"/>
        <v>0</v>
      </c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</row>
    <row r="638" spans="1:28" hidden="1" x14ac:dyDescent="0.25">
      <c r="A638" s="706">
        <v>6</v>
      </c>
      <c r="B638" s="1932"/>
      <c r="C638" s="1933"/>
      <c r="D638" s="1933"/>
      <c r="E638" s="1933"/>
      <c r="F638" s="1934"/>
      <c r="G638" s="1588" t="s">
        <v>245</v>
      </c>
      <c r="H638" s="67"/>
      <c r="I638" s="68"/>
      <c r="J638" s="1588">
        <f t="shared" si="1"/>
        <v>0</v>
      </c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</row>
    <row r="639" spans="1:28" hidden="1" x14ac:dyDescent="0.25">
      <c r="A639" s="1630">
        <v>7</v>
      </c>
      <c r="B639" s="1932"/>
      <c r="C639" s="1933"/>
      <c r="D639" s="1933"/>
      <c r="E639" s="1933"/>
      <c r="F639" s="1934"/>
      <c r="G639" s="1588" t="s">
        <v>245</v>
      </c>
      <c r="H639" s="67"/>
      <c r="I639" s="68"/>
      <c r="J639" s="1588">
        <f t="shared" si="1"/>
        <v>0</v>
      </c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</row>
    <row r="640" spans="1:28" hidden="1" x14ac:dyDescent="0.25">
      <c r="A640" s="706">
        <v>8</v>
      </c>
      <c r="B640" s="1932"/>
      <c r="C640" s="1933"/>
      <c r="D640" s="1933"/>
      <c r="E640" s="1933"/>
      <c r="F640" s="1934"/>
      <c r="G640" s="1588" t="s">
        <v>245</v>
      </c>
      <c r="H640" s="67"/>
      <c r="I640" s="68"/>
      <c r="J640" s="1588">
        <f t="shared" si="1"/>
        <v>0</v>
      </c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</row>
    <row r="641" spans="1:28" hidden="1" x14ac:dyDescent="0.25">
      <c r="A641" s="1895" t="s">
        <v>39</v>
      </c>
      <c r="B641" s="1895"/>
      <c r="C641" s="1895"/>
      <c r="D641" s="1895"/>
      <c r="E641" s="1895"/>
      <c r="F641" s="1895"/>
      <c r="G641" s="1895"/>
      <c r="H641" s="1589" t="s">
        <v>5</v>
      </c>
      <c r="I641" s="1589" t="s">
        <v>5</v>
      </c>
      <c r="J641" s="1589">
        <f>SUM(J633:J640)</f>
        <v>0</v>
      </c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</row>
    <row r="642" spans="1:28" ht="18.75" x14ac:dyDescent="0.25">
      <c r="A642" s="1935" t="s">
        <v>118</v>
      </c>
      <c r="B642" s="1935"/>
      <c r="C642" s="1935"/>
      <c r="D642" s="1935"/>
      <c r="E642" s="1935"/>
      <c r="F642" s="1935"/>
      <c r="G642" s="1935"/>
      <c r="H642" s="1935"/>
      <c r="I642" s="1935"/>
      <c r="J642" s="716">
        <f>J230+J217+J207+J196+J175+J80+J36+J111+J99</f>
        <v>13949752.220000001</v>
      </c>
      <c r="K642" s="70">
        <f>J8</f>
        <v>13949752.220000001</v>
      </c>
      <c r="L642" s="61" t="b">
        <f>J642=K642</f>
        <v>1</v>
      </c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</row>
    <row r="643" spans="1:28" x14ac:dyDescent="0.25">
      <c r="K643" s="70">
        <f>J642-K642</f>
        <v>0</v>
      </c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</row>
    <row r="644" spans="1:28" hidden="1" x14ac:dyDescent="0.25">
      <c r="A644" s="715" t="s">
        <v>610</v>
      </c>
      <c r="I644" s="1931" t="s">
        <v>357</v>
      </c>
      <c r="J644" s="193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</row>
    <row r="645" spans="1:28" x14ac:dyDescent="0.25">
      <c r="A645" s="715"/>
      <c r="J645" s="1584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</row>
    <row r="646" spans="1:28" x14ac:dyDescent="0.25">
      <c r="A646" s="715" t="s">
        <v>156</v>
      </c>
      <c r="I646" s="1936" t="s">
        <v>729</v>
      </c>
      <c r="J646" s="1936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</row>
    <row r="647" spans="1:28" x14ac:dyDescent="0.25">
      <c r="A647" s="715"/>
      <c r="J647" s="1583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</row>
    <row r="648" spans="1:28" x14ac:dyDescent="0.25">
      <c r="A648" s="715" t="s">
        <v>117</v>
      </c>
      <c r="J648" s="1583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</row>
    <row r="649" spans="1:28" x14ac:dyDescent="0.25">
      <c r="A649" s="715" t="s">
        <v>1681</v>
      </c>
      <c r="I649" s="1931" t="s">
        <v>243</v>
      </c>
      <c r="J649" s="193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</row>
  </sheetData>
  <sheetProtection insertRows="0" deleteRows="0" autoFilter="0"/>
  <dataConsolidate/>
  <mergeCells count="496">
    <mergeCell ref="P4:P5"/>
    <mergeCell ref="P8:P9"/>
    <mergeCell ref="A9:I9"/>
    <mergeCell ref="A10:I10"/>
    <mergeCell ref="B31:I31"/>
    <mergeCell ref="B32:I32"/>
    <mergeCell ref="B33:I33"/>
    <mergeCell ref="A11:I11"/>
    <mergeCell ref="A12:I12"/>
    <mergeCell ref="A13:I13"/>
    <mergeCell ref="A14:I14"/>
    <mergeCell ref="A15:I15"/>
    <mergeCell ref="E19:I19"/>
    <mergeCell ref="F54:G54"/>
    <mergeCell ref="A43:A44"/>
    <mergeCell ref="B43:E44"/>
    <mergeCell ref="F43:J43"/>
    <mergeCell ref="F44:G44"/>
    <mergeCell ref="B45:E45"/>
    <mergeCell ref="F45:G45"/>
    <mergeCell ref="A1:J1"/>
    <mergeCell ref="A3:J3"/>
    <mergeCell ref="B34:I34"/>
    <mergeCell ref="B35:I35"/>
    <mergeCell ref="A36:I36"/>
    <mergeCell ref="A46:E46"/>
    <mergeCell ref="F46:G46"/>
    <mergeCell ref="A53:A54"/>
    <mergeCell ref="B53:E54"/>
    <mergeCell ref="F53:J53"/>
    <mergeCell ref="A8:I8"/>
    <mergeCell ref="B55:E55"/>
    <mergeCell ref="F55:G55"/>
    <mergeCell ref="B79:I79"/>
    <mergeCell ref="A80:I80"/>
    <mergeCell ref="B69:F69"/>
    <mergeCell ref="B70:F70"/>
    <mergeCell ref="A71:F71"/>
    <mergeCell ref="A76:J76"/>
    <mergeCell ref="A77:A78"/>
    <mergeCell ref="A56:E56"/>
    <mergeCell ref="F56:G56"/>
    <mergeCell ref="A67:A68"/>
    <mergeCell ref="B67:F68"/>
    <mergeCell ref="G67:J67"/>
    <mergeCell ref="J77:J78"/>
    <mergeCell ref="B77:I78"/>
    <mergeCell ref="A112:I112"/>
    <mergeCell ref="A108:A109"/>
    <mergeCell ref="G108:J108"/>
    <mergeCell ref="A111:G111"/>
    <mergeCell ref="B108:E109"/>
    <mergeCell ref="F108:F109"/>
    <mergeCell ref="B110:E110"/>
    <mergeCell ref="A93:A94"/>
    <mergeCell ref="B93:F94"/>
    <mergeCell ref="G93:J93"/>
    <mergeCell ref="A95:J95"/>
    <mergeCell ref="B96:F96"/>
    <mergeCell ref="A97:I97"/>
    <mergeCell ref="A98:I98"/>
    <mergeCell ref="A99:I99"/>
    <mergeCell ref="A100:I100"/>
    <mergeCell ref="A123:F123"/>
    <mergeCell ref="A126:A127"/>
    <mergeCell ref="B126:E127"/>
    <mergeCell ref="F126:F127"/>
    <mergeCell ref="G126:J126"/>
    <mergeCell ref="B128:E128"/>
    <mergeCell ref="A119:A120"/>
    <mergeCell ref="B119:F120"/>
    <mergeCell ref="G119:J119"/>
    <mergeCell ref="B121:F121"/>
    <mergeCell ref="B122:F122"/>
    <mergeCell ref="K128:K130"/>
    <mergeCell ref="B129:E129"/>
    <mergeCell ref="B130:E130"/>
    <mergeCell ref="B131:E131"/>
    <mergeCell ref="A132:F132"/>
    <mergeCell ref="A135:A136"/>
    <mergeCell ref="B135:E136"/>
    <mergeCell ref="F135:F136"/>
    <mergeCell ref="G135:J135"/>
    <mergeCell ref="B144:E144"/>
    <mergeCell ref="A145:F145"/>
    <mergeCell ref="A148:A149"/>
    <mergeCell ref="B148:G149"/>
    <mergeCell ref="H148:J148"/>
    <mergeCell ref="B150:G150"/>
    <mergeCell ref="B137:E137"/>
    <mergeCell ref="B138:E138"/>
    <mergeCell ref="B139:E139"/>
    <mergeCell ref="B141:E141"/>
    <mergeCell ref="B142:E142"/>
    <mergeCell ref="B143:E143"/>
    <mergeCell ref="A230:G230"/>
    <mergeCell ref="B166:G166"/>
    <mergeCell ref="A167:G167"/>
    <mergeCell ref="B180:E180"/>
    <mergeCell ref="B181:E181"/>
    <mergeCell ref="A182:I182"/>
    <mergeCell ref="A169:A170"/>
    <mergeCell ref="B169:E170"/>
    <mergeCell ref="F169:F170"/>
    <mergeCell ref="G169:J169"/>
    <mergeCell ref="A168:H168"/>
    <mergeCell ref="A173:I173"/>
    <mergeCell ref="A174:J174"/>
    <mergeCell ref="A175:I175"/>
    <mergeCell ref="A176:I176"/>
    <mergeCell ref="A177:I177"/>
    <mergeCell ref="B172:E172"/>
    <mergeCell ref="A195:J195"/>
    <mergeCell ref="A196:I196"/>
    <mergeCell ref="A194:I194"/>
    <mergeCell ref="A189:A190"/>
    <mergeCell ref="A219:I219"/>
    <mergeCell ref="A212:F213"/>
    <mergeCell ref="G212:G213"/>
    <mergeCell ref="B241:F241"/>
    <mergeCell ref="B242:F242"/>
    <mergeCell ref="A243:G243"/>
    <mergeCell ref="A244:I244"/>
    <mergeCell ref="A245:I245"/>
    <mergeCell ref="A246:I246"/>
    <mergeCell ref="H232:J232"/>
    <mergeCell ref="B234:F234"/>
    <mergeCell ref="B235:F235"/>
    <mergeCell ref="A236:G236"/>
    <mergeCell ref="A239:A240"/>
    <mergeCell ref="B239:F240"/>
    <mergeCell ref="G239:G240"/>
    <mergeCell ref="H239:J239"/>
    <mergeCell ref="A232:A233"/>
    <mergeCell ref="B232:F233"/>
    <mergeCell ref="G232:G233"/>
    <mergeCell ref="B258:G258"/>
    <mergeCell ref="B259:G259"/>
    <mergeCell ref="A247:I247"/>
    <mergeCell ref="A249:J249"/>
    <mergeCell ref="A250:A251"/>
    <mergeCell ref="B250:G251"/>
    <mergeCell ref="H250:J250"/>
    <mergeCell ref="B252:G252"/>
    <mergeCell ref="B267:G267"/>
    <mergeCell ref="A253:G253"/>
    <mergeCell ref="A256:A257"/>
    <mergeCell ref="B256:G257"/>
    <mergeCell ref="H256:J256"/>
    <mergeCell ref="B268:G268"/>
    <mergeCell ref="A269:G269"/>
    <mergeCell ref="A272:A273"/>
    <mergeCell ref="B272:G273"/>
    <mergeCell ref="H272:J272"/>
    <mergeCell ref="B260:G260"/>
    <mergeCell ref="B261:G261"/>
    <mergeCell ref="A262:G262"/>
    <mergeCell ref="A264:J264"/>
    <mergeCell ref="A265:A266"/>
    <mergeCell ref="B265:G266"/>
    <mergeCell ref="H265:J265"/>
    <mergeCell ref="B286:F286"/>
    <mergeCell ref="A287:G287"/>
    <mergeCell ref="A290:A291"/>
    <mergeCell ref="B290:F291"/>
    <mergeCell ref="G290:G291"/>
    <mergeCell ref="H290:J290"/>
    <mergeCell ref="B274:G274"/>
    <mergeCell ref="A275:G275"/>
    <mergeCell ref="A284:A285"/>
    <mergeCell ref="B284:F285"/>
    <mergeCell ref="G284:G285"/>
    <mergeCell ref="H284:J284"/>
    <mergeCell ref="A298:I298"/>
    <mergeCell ref="A299:I299"/>
    <mergeCell ref="A300:I300"/>
    <mergeCell ref="A303:A304"/>
    <mergeCell ref="B303:G304"/>
    <mergeCell ref="H303:J303"/>
    <mergeCell ref="B292:F292"/>
    <mergeCell ref="B293:F293"/>
    <mergeCell ref="B294:F294"/>
    <mergeCell ref="B295:F295"/>
    <mergeCell ref="A296:G296"/>
    <mergeCell ref="A297:I297"/>
    <mergeCell ref="B316:F316"/>
    <mergeCell ref="A317:F317"/>
    <mergeCell ref="A318:I318"/>
    <mergeCell ref="A319:I319"/>
    <mergeCell ref="A320:I320"/>
    <mergeCell ref="A321:I321"/>
    <mergeCell ref="B305:G305"/>
    <mergeCell ref="A306:G306"/>
    <mergeCell ref="A313:A314"/>
    <mergeCell ref="B313:F314"/>
    <mergeCell ref="G313:J313"/>
    <mergeCell ref="B315:F315"/>
    <mergeCell ref="A328:G328"/>
    <mergeCell ref="A331:A332"/>
    <mergeCell ref="B331:F332"/>
    <mergeCell ref="G331:G332"/>
    <mergeCell ref="H331:J331"/>
    <mergeCell ref="B333:F333"/>
    <mergeCell ref="A324:A325"/>
    <mergeCell ref="B324:F325"/>
    <mergeCell ref="G324:G325"/>
    <mergeCell ref="H324:J324"/>
    <mergeCell ref="B326:F326"/>
    <mergeCell ref="B327:F327"/>
    <mergeCell ref="A340:I340"/>
    <mergeCell ref="A341:I341"/>
    <mergeCell ref="A342:I342"/>
    <mergeCell ref="A349:A350"/>
    <mergeCell ref="B349:F350"/>
    <mergeCell ref="G349:G350"/>
    <mergeCell ref="H349:J349"/>
    <mergeCell ref="B334:F334"/>
    <mergeCell ref="B335:F335"/>
    <mergeCell ref="B336:F336"/>
    <mergeCell ref="B337:F337"/>
    <mergeCell ref="A338:G338"/>
    <mergeCell ref="A339:I339"/>
    <mergeCell ref="H361:J361"/>
    <mergeCell ref="B363:F363"/>
    <mergeCell ref="A364:G364"/>
    <mergeCell ref="A371:A372"/>
    <mergeCell ref="B371:F372"/>
    <mergeCell ref="G371:G372"/>
    <mergeCell ref="H371:J371"/>
    <mergeCell ref="B351:F351"/>
    <mergeCell ref="B352:F352"/>
    <mergeCell ref="B353:F353"/>
    <mergeCell ref="A354:G354"/>
    <mergeCell ref="A361:A362"/>
    <mergeCell ref="B361:F362"/>
    <mergeCell ref="G361:G362"/>
    <mergeCell ref="H382:J382"/>
    <mergeCell ref="B384:F384"/>
    <mergeCell ref="B385:F385"/>
    <mergeCell ref="A386:G386"/>
    <mergeCell ref="A394:A395"/>
    <mergeCell ref="B394:F395"/>
    <mergeCell ref="G394:G395"/>
    <mergeCell ref="H394:J394"/>
    <mergeCell ref="B373:F373"/>
    <mergeCell ref="B374:F374"/>
    <mergeCell ref="A375:G375"/>
    <mergeCell ref="A382:A383"/>
    <mergeCell ref="B382:F383"/>
    <mergeCell ref="G382:G383"/>
    <mergeCell ref="H406:J406"/>
    <mergeCell ref="B408:F408"/>
    <mergeCell ref="A409:G409"/>
    <mergeCell ref="A416:A417"/>
    <mergeCell ref="B416:F417"/>
    <mergeCell ref="G416:G417"/>
    <mergeCell ref="H416:J416"/>
    <mergeCell ref="B396:F396"/>
    <mergeCell ref="B397:F397"/>
    <mergeCell ref="B398:F398"/>
    <mergeCell ref="A399:G399"/>
    <mergeCell ref="A406:A407"/>
    <mergeCell ref="B406:F407"/>
    <mergeCell ref="G406:G407"/>
    <mergeCell ref="H429:J429"/>
    <mergeCell ref="B431:F431"/>
    <mergeCell ref="A432:G432"/>
    <mergeCell ref="A435:A436"/>
    <mergeCell ref="B435:F436"/>
    <mergeCell ref="G435:G436"/>
    <mergeCell ref="H435:J435"/>
    <mergeCell ref="B418:F418"/>
    <mergeCell ref="B419:F419"/>
    <mergeCell ref="A420:G420"/>
    <mergeCell ref="A429:A430"/>
    <mergeCell ref="B429:F430"/>
    <mergeCell ref="G429:G430"/>
    <mergeCell ref="A445:A446"/>
    <mergeCell ref="B445:F446"/>
    <mergeCell ref="G445:G446"/>
    <mergeCell ref="H445:J445"/>
    <mergeCell ref="B447:F447"/>
    <mergeCell ref="B448:F448"/>
    <mergeCell ref="B437:F437"/>
    <mergeCell ref="B438:F438"/>
    <mergeCell ref="B439:F439"/>
    <mergeCell ref="B440:F440"/>
    <mergeCell ref="B441:F441"/>
    <mergeCell ref="A442:G442"/>
    <mergeCell ref="H455:J455"/>
    <mergeCell ref="B457:F457"/>
    <mergeCell ref="B458:F458"/>
    <mergeCell ref="A459:G459"/>
    <mergeCell ref="A461:A462"/>
    <mergeCell ref="B461:F462"/>
    <mergeCell ref="G461:G462"/>
    <mergeCell ref="H461:J461"/>
    <mergeCell ref="B449:F449"/>
    <mergeCell ref="B450:F450"/>
    <mergeCell ref="B451:F451"/>
    <mergeCell ref="A452:G452"/>
    <mergeCell ref="A455:A456"/>
    <mergeCell ref="B455:F456"/>
    <mergeCell ref="G455:G456"/>
    <mergeCell ref="A475:A476"/>
    <mergeCell ref="B475:F476"/>
    <mergeCell ref="G475:G476"/>
    <mergeCell ref="H475:J475"/>
    <mergeCell ref="B477:F477"/>
    <mergeCell ref="A478:G478"/>
    <mergeCell ref="B463:F463"/>
    <mergeCell ref="B464:F464"/>
    <mergeCell ref="B465:F465"/>
    <mergeCell ref="B466:F466"/>
    <mergeCell ref="B467:F467"/>
    <mergeCell ref="A468:G468"/>
    <mergeCell ref="H495:J495"/>
    <mergeCell ref="B485:F485"/>
    <mergeCell ref="B486:F486"/>
    <mergeCell ref="B487:F487"/>
    <mergeCell ref="B488:F488"/>
    <mergeCell ref="B489:F489"/>
    <mergeCell ref="B490:F490"/>
    <mergeCell ref="A481:A482"/>
    <mergeCell ref="B481:F482"/>
    <mergeCell ref="G481:G482"/>
    <mergeCell ref="H481:J481"/>
    <mergeCell ref="B483:F483"/>
    <mergeCell ref="B484:F484"/>
    <mergeCell ref="B497:F497"/>
    <mergeCell ref="B498:F498"/>
    <mergeCell ref="A499:G499"/>
    <mergeCell ref="A502:A503"/>
    <mergeCell ref="B502:F503"/>
    <mergeCell ref="G502:G503"/>
    <mergeCell ref="B491:F491"/>
    <mergeCell ref="A492:G492"/>
    <mergeCell ref="A495:A496"/>
    <mergeCell ref="B495:F496"/>
    <mergeCell ref="G495:G496"/>
    <mergeCell ref="B510:F510"/>
    <mergeCell ref="B511:F511"/>
    <mergeCell ref="B512:F512"/>
    <mergeCell ref="B513:F513"/>
    <mergeCell ref="B514:F514"/>
    <mergeCell ref="A515:G515"/>
    <mergeCell ref="H502:J502"/>
    <mergeCell ref="B504:F504"/>
    <mergeCell ref="B505:F505"/>
    <mergeCell ref="A506:G506"/>
    <mergeCell ref="A508:A509"/>
    <mergeCell ref="B508:F509"/>
    <mergeCell ref="G508:G509"/>
    <mergeCell ref="H508:J508"/>
    <mergeCell ref="H532:J532"/>
    <mergeCell ref="A534:J534"/>
    <mergeCell ref="B535:F535"/>
    <mergeCell ref="A522:A523"/>
    <mergeCell ref="B522:F523"/>
    <mergeCell ref="G522:G523"/>
    <mergeCell ref="H522:J522"/>
    <mergeCell ref="B524:F524"/>
    <mergeCell ref="A525:G525"/>
    <mergeCell ref="B536:F536"/>
    <mergeCell ref="B537:F537"/>
    <mergeCell ref="B538:F538"/>
    <mergeCell ref="B539:F539"/>
    <mergeCell ref="B540:F540"/>
    <mergeCell ref="B541:F541"/>
    <mergeCell ref="A532:A533"/>
    <mergeCell ref="B532:F533"/>
    <mergeCell ref="G532:G533"/>
    <mergeCell ref="H566:J566"/>
    <mergeCell ref="A548:G548"/>
    <mergeCell ref="A555:A556"/>
    <mergeCell ref="B555:F556"/>
    <mergeCell ref="G555:G556"/>
    <mergeCell ref="H555:J555"/>
    <mergeCell ref="B557:F557"/>
    <mergeCell ref="B542:F542"/>
    <mergeCell ref="B543:F543"/>
    <mergeCell ref="B544:F544"/>
    <mergeCell ref="B545:F545"/>
    <mergeCell ref="B546:F546"/>
    <mergeCell ref="B547:F547"/>
    <mergeCell ref="B568:F568"/>
    <mergeCell ref="B569:F569"/>
    <mergeCell ref="B570:F570"/>
    <mergeCell ref="B571:F571"/>
    <mergeCell ref="B572:F572"/>
    <mergeCell ref="A573:G573"/>
    <mergeCell ref="B558:F558"/>
    <mergeCell ref="A559:G559"/>
    <mergeCell ref="A566:A567"/>
    <mergeCell ref="B566:F567"/>
    <mergeCell ref="G566:G567"/>
    <mergeCell ref="B580:F580"/>
    <mergeCell ref="A581:G581"/>
    <mergeCell ref="A584:A585"/>
    <mergeCell ref="B584:F585"/>
    <mergeCell ref="G584:G585"/>
    <mergeCell ref="H584:J584"/>
    <mergeCell ref="A576:A577"/>
    <mergeCell ref="B576:F577"/>
    <mergeCell ref="G576:G577"/>
    <mergeCell ref="H576:J576"/>
    <mergeCell ref="B578:F578"/>
    <mergeCell ref="B579:F579"/>
    <mergeCell ref="A600:G600"/>
    <mergeCell ref="A603:A604"/>
    <mergeCell ref="B603:F604"/>
    <mergeCell ref="G603:G604"/>
    <mergeCell ref="H603:J603"/>
    <mergeCell ref="B605:F605"/>
    <mergeCell ref="B586:F586"/>
    <mergeCell ref="A587:G587"/>
    <mergeCell ref="A594:A595"/>
    <mergeCell ref="B594:F595"/>
    <mergeCell ref="G594:G595"/>
    <mergeCell ref="H594:J594"/>
    <mergeCell ref="B621:F622"/>
    <mergeCell ref="G621:G622"/>
    <mergeCell ref="H621:J621"/>
    <mergeCell ref="B606:F606"/>
    <mergeCell ref="B607:F607"/>
    <mergeCell ref="A608:G608"/>
    <mergeCell ref="A611:A612"/>
    <mergeCell ref="B611:F612"/>
    <mergeCell ref="G611:G612"/>
    <mergeCell ref="B229:E229"/>
    <mergeCell ref="I649:J649"/>
    <mergeCell ref="B639:F639"/>
    <mergeCell ref="B640:F640"/>
    <mergeCell ref="A641:G641"/>
    <mergeCell ref="A642:I642"/>
    <mergeCell ref="I644:J644"/>
    <mergeCell ref="I646:J646"/>
    <mergeCell ref="B633:F633"/>
    <mergeCell ref="B634:F634"/>
    <mergeCell ref="B635:F635"/>
    <mergeCell ref="B636:F636"/>
    <mergeCell ref="B637:F637"/>
    <mergeCell ref="B638:F638"/>
    <mergeCell ref="B623:F623"/>
    <mergeCell ref="A624:G624"/>
    <mergeCell ref="A631:A632"/>
    <mergeCell ref="B631:F632"/>
    <mergeCell ref="G631:G632"/>
    <mergeCell ref="H631:J631"/>
    <mergeCell ref="H611:J611"/>
    <mergeCell ref="B613:F613"/>
    <mergeCell ref="A614:G614"/>
    <mergeCell ref="A621:A622"/>
    <mergeCell ref="A227:A228"/>
    <mergeCell ref="G227:J227"/>
    <mergeCell ref="A197:I197"/>
    <mergeCell ref="A198:I198"/>
    <mergeCell ref="A202:F203"/>
    <mergeCell ref="G202:G203"/>
    <mergeCell ref="H202:J202"/>
    <mergeCell ref="A204:F204"/>
    <mergeCell ref="A205:I205"/>
    <mergeCell ref="A206:J206"/>
    <mergeCell ref="A207:I207"/>
    <mergeCell ref="A199:I199"/>
    <mergeCell ref="A208:I208"/>
    <mergeCell ref="A209:I209"/>
    <mergeCell ref="H212:J212"/>
    <mergeCell ref="A214:F214"/>
    <mergeCell ref="A215:I215"/>
    <mergeCell ref="A216:J216"/>
    <mergeCell ref="A217:I217"/>
    <mergeCell ref="A218:I218"/>
    <mergeCell ref="B227:E228"/>
    <mergeCell ref="F227:F228"/>
    <mergeCell ref="A191:J191"/>
    <mergeCell ref="A192:A193"/>
    <mergeCell ref="B171:E171"/>
    <mergeCell ref="B192:F192"/>
    <mergeCell ref="B193:F193"/>
    <mergeCell ref="B159:G159"/>
    <mergeCell ref="B160:G160"/>
    <mergeCell ref="A161:G161"/>
    <mergeCell ref="A164:A165"/>
    <mergeCell ref="B164:G165"/>
    <mergeCell ref="H164:J164"/>
    <mergeCell ref="B151:G151"/>
    <mergeCell ref="B152:G152"/>
    <mergeCell ref="B153:G153"/>
    <mergeCell ref="A154:G154"/>
    <mergeCell ref="A156:J156"/>
    <mergeCell ref="A157:A158"/>
    <mergeCell ref="B157:G158"/>
    <mergeCell ref="H157:J157"/>
    <mergeCell ref="B189:F190"/>
    <mergeCell ref="G189:J189"/>
  </mergeCells>
  <printOptions horizontalCentered="1"/>
  <pageMargins left="0.78740157480314965" right="0.19685039370078741" top="0.19685039370078741" bottom="0.19685039370078741" header="0" footer="0"/>
  <pageSetup paperSize="9"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DF1176"/>
  <sheetViews>
    <sheetView view="pageBreakPreview" topLeftCell="A472" zoomScale="80" zoomScaleNormal="70" zoomScaleSheetLayoutView="80" workbookViewId="0">
      <selection activeCell="G816" sqref="G816"/>
    </sheetView>
  </sheetViews>
  <sheetFormatPr defaultColWidth="8.7109375" defaultRowHeight="15" x14ac:dyDescent="0.25"/>
  <cols>
    <col min="1" max="1" width="4.28515625" style="1644" customWidth="1"/>
    <col min="2" max="2" width="14.140625" style="1644" customWidth="1"/>
    <col min="3" max="3" width="15.85546875" style="1644" customWidth="1"/>
    <col min="4" max="4" width="21.5703125" style="1644" customWidth="1"/>
    <col min="5" max="5" width="14.140625" style="1644" customWidth="1"/>
    <col min="6" max="6" width="11.42578125" style="1644" customWidth="1"/>
    <col min="7" max="7" width="13.42578125" style="1644" customWidth="1"/>
    <col min="8" max="8" width="15.7109375" style="60" customWidth="1"/>
    <col min="9" max="9" width="16.7109375" style="69" customWidth="1"/>
    <col min="10" max="10" width="18.85546875" style="69" customWidth="1"/>
    <col min="11" max="11" width="24.28515625" style="81" customWidth="1"/>
    <col min="12" max="12" width="27.140625" style="70" customWidth="1"/>
    <col min="13" max="13" width="43.85546875" style="70" customWidth="1"/>
    <col min="14" max="14" width="18.85546875" style="70" customWidth="1"/>
    <col min="15" max="15" width="13.140625" style="70" customWidth="1"/>
    <col min="16" max="16" width="13.28515625" style="70" bestFit="1" customWidth="1"/>
    <col min="17" max="17" width="12.7109375" style="70" bestFit="1" customWidth="1"/>
    <col min="18" max="18" width="21.5703125" style="70" customWidth="1"/>
    <col min="19" max="19" width="12" style="70" customWidth="1"/>
    <col min="20" max="20" width="9.140625" style="70" bestFit="1" customWidth="1"/>
    <col min="21" max="21" width="11.5703125" style="70" customWidth="1"/>
    <col min="22" max="22" width="8.5703125" style="70" customWidth="1"/>
    <col min="23" max="23" width="14.42578125" style="70" customWidth="1"/>
    <col min="24" max="28" width="8.7109375" style="70"/>
    <col min="29" max="109" width="8.7109375" style="61"/>
    <col min="110" max="110" width="13.42578125" style="61" bestFit="1" customWidth="1"/>
    <col min="111" max="16384" width="8.7109375" style="61"/>
  </cols>
  <sheetData>
    <row r="1" spans="1:18" ht="19.5" customHeight="1" x14ac:dyDescent="0.25">
      <c r="A1" s="1967" t="s">
        <v>833</v>
      </c>
      <c r="B1" s="1967"/>
      <c r="C1" s="1967"/>
      <c r="D1" s="1967"/>
      <c r="E1" s="1967"/>
      <c r="F1" s="1967"/>
      <c r="G1" s="1967"/>
      <c r="H1" s="1967"/>
      <c r="I1" s="1967"/>
      <c r="J1" s="1967"/>
      <c r="L1" s="108" t="s">
        <v>2042</v>
      </c>
      <c r="M1" s="108" t="s">
        <v>1334</v>
      </c>
      <c r="R1" s="70" t="s">
        <v>1284</v>
      </c>
    </row>
    <row r="2" spans="1:18" ht="14.25" customHeight="1" x14ac:dyDescent="0.25">
      <c r="A2" s="1592"/>
      <c r="B2" s="1592"/>
      <c r="C2" s="1592"/>
      <c r="D2" s="1592"/>
      <c r="E2" s="1592"/>
      <c r="F2" s="1592"/>
      <c r="G2" s="1592"/>
      <c r="H2" s="1592"/>
      <c r="I2" s="76"/>
      <c r="J2" s="76"/>
      <c r="K2" s="1666" t="s">
        <v>621</v>
      </c>
      <c r="L2" s="711">
        <f>338908412.87-L6</f>
        <v>290446166.56999999</v>
      </c>
      <c r="M2" s="711">
        <f>J46+J69+J155+J180</f>
        <v>290446166.56999999</v>
      </c>
      <c r="N2" s="711">
        <f t="shared" ref="N2:N7" si="0">L2-M2</f>
        <v>0</v>
      </c>
      <c r="O2" s="711" t="b">
        <f t="shared" ref="O2:O7" si="1">L2=M2</f>
        <v>1</v>
      </c>
      <c r="R2" s="70">
        <f>J221+'5 (2025)'!G147+'2 (2025)'!J273-'2 (2025)'!J314-'2 (2025)'!J749</f>
        <v>80120383.969999999</v>
      </c>
    </row>
    <row r="3" spans="1:18" ht="40.5" customHeight="1" x14ac:dyDescent="0.25">
      <c r="A3" s="1968" t="s">
        <v>609</v>
      </c>
      <c r="B3" s="1968"/>
      <c r="C3" s="1968"/>
      <c r="D3" s="1968"/>
      <c r="E3" s="1968"/>
      <c r="F3" s="1968"/>
      <c r="G3" s="1968"/>
      <c r="H3" s="1968"/>
      <c r="I3" s="1968"/>
      <c r="J3" s="1968"/>
      <c r="K3" s="1667" t="s">
        <v>335</v>
      </c>
      <c r="L3" s="711">
        <f>50514810.89-L7</f>
        <v>45963521.039999999</v>
      </c>
      <c r="M3" s="711">
        <f>J32+J61+J111+J153+J167+J198+J226+J255+J264+J290+J474+J791+J817+J1102+J1077</f>
        <v>45963521.039999999</v>
      </c>
      <c r="N3" s="711">
        <f t="shared" si="0"/>
        <v>0</v>
      </c>
      <c r="O3" s="711" t="b">
        <f t="shared" si="1"/>
        <v>1</v>
      </c>
      <c r="P3" s="70">
        <f>N7+N3</f>
        <v>0</v>
      </c>
    </row>
    <row r="4" spans="1:18" ht="19.5" customHeight="1" x14ac:dyDescent="0.25">
      <c r="A4" s="58"/>
      <c r="B4" s="58"/>
      <c r="C4" s="58"/>
      <c r="D4" s="58"/>
      <c r="E4" s="58"/>
      <c r="F4" s="58"/>
      <c r="G4" s="58"/>
      <c r="H4" s="58"/>
      <c r="I4" s="77"/>
      <c r="J4" s="77"/>
      <c r="K4" s="1666" t="s">
        <v>641</v>
      </c>
      <c r="L4" s="711">
        <v>1400100</v>
      </c>
      <c r="M4" s="711">
        <f>J565</f>
        <v>1400100</v>
      </c>
      <c r="N4" s="711">
        <f t="shared" si="0"/>
        <v>0</v>
      </c>
      <c r="O4" s="711" t="b">
        <f t="shared" si="1"/>
        <v>1</v>
      </c>
      <c r="P4" s="1974"/>
    </row>
    <row r="5" spans="1:18" ht="15.75" x14ac:dyDescent="0.25">
      <c r="A5" s="1643" t="s">
        <v>21</v>
      </c>
      <c r="B5" s="104"/>
      <c r="C5" s="104"/>
      <c r="D5" s="104"/>
      <c r="E5" s="104"/>
      <c r="F5" s="104"/>
      <c r="G5" s="104"/>
      <c r="H5" s="105"/>
      <c r="I5" s="106"/>
      <c r="J5" s="106"/>
      <c r="K5" s="1666" t="s">
        <v>642</v>
      </c>
      <c r="L5" s="711">
        <v>1060895</v>
      </c>
      <c r="M5" s="711">
        <f>J547+J556+J606+J880</f>
        <v>1060895</v>
      </c>
      <c r="N5" s="711">
        <f t="shared" si="0"/>
        <v>0</v>
      </c>
      <c r="O5" s="711" t="b">
        <f t="shared" si="1"/>
        <v>1</v>
      </c>
      <c r="P5" s="1974"/>
    </row>
    <row r="6" spans="1:18" ht="15.75" x14ac:dyDescent="0.25">
      <c r="A6" s="104"/>
      <c r="B6" s="104"/>
      <c r="C6" s="104"/>
      <c r="D6" s="104"/>
      <c r="E6" s="104"/>
      <c r="F6" s="104"/>
      <c r="G6" s="104"/>
      <c r="H6" s="105"/>
      <c r="I6" s="106"/>
      <c r="J6" s="106"/>
      <c r="K6" s="1668" t="s">
        <v>622</v>
      </c>
      <c r="L6" s="1669">
        <v>48462246.299999997</v>
      </c>
      <c r="M6" s="1669">
        <f>J575+J618+J899+J767+J1087</f>
        <v>48462246.299999997</v>
      </c>
      <c r="N6" s="1669">
        <f t="shared" si="0"/>
        <v>0</v>
      </c>
      <c r="O6" s="1669" t="b">
        <f t="shared" si="1"/>
        <v>1</v>
      </c>
    </row>
    <row r="7" spans="1:18" ht="15.75" x14ac:dyDescent="0.25">
      <c r="A7" s="1643" t="s">
        <v>23</v>
      </c>
      <c r="B7" s="1643"/>
      <c r="C7" s="1643"/>
      <c r="D7" s="1643"/>
      <c r="E7" s="1643"/>
      <c r="F7" s="1643"/>
      <c r="G7" s="1643"/>
      <c r="H7" s="704"/>
      <c r="I7" s="107"/>
      <c r="J7" s="107">
        <f>J9</f>
        <v>391884218.75999999</v>
      </c>
      <c r="K7" s="1667" t="s">
        <v>623</v>
      </c>
      <c r="L7" s="1669">
        <v>4551289.8499999996</v>
      </c>
      <c r="M7" s="1669">
        <f>J98+J143</f>
        <v>4551289.8499999996</v>
      </c>
      <c r="N7" s="1669">
        <f t="shared" si="0"/>
        <v>0</v>
      </c>
      <c r="O7" s="1669" t="b">
        <f t="shared" si="1"/>
        <v>1</v>
      </c>
      <c r="Q7" s="354"/>
    </row>
    <row r="8" spans="1:18" ht="15.75" x14ac:dyDescent="0.25">
      <c r="A8" s="1643" t="s">
        <v>504</v>
      </c>
      <c r="B8" s="1643"/>
      <c r="C8" s="1643"/>
      <c r="D8" s="1643"/>
      <c r="E8" s="1643"/>
      <c r="F8" s="1643"/>
      <c r="G8" s="1643"/>
      <c r="H8" s="704"/>
      <c r="I8" s="107"/>
      <c r="J8" s="107"/>
      <c r="K8" s="713"/>
      <c r="L8" s="1670">
        <f>391884218.76</f>
        <v>391884218.75999999</v>
      </c>
      <c r="M8" s="1593"/>
      <c r="N8" s="1593"/>
      <c r="O8" s="1593"/>
    </row>
    <row r="9" spans="1:18" ht="15.75" x14ac:dyDescent="0.25">
      <c r="A9" s="1972" t="s">
        <v>2134</v>
      </c>
      <c r="B9" s="1972"/>
      <c r="C9" s="1972"/>
      <c r="D9" s="1972"/>
      <c r="E9" s="1972"/>
      <c r="F9" s="1972"/>
      <c r="G9" s="1972"/>
      <c r="H9" s="1972"/>
      <c r="I9" s="1972"/>
      <c r="J9" s="107">
        <f>J14+J15+J17+J18+J11+J12</f>
        <v>391884218.75999999</v>
      </c>
      <c r="K9" s="82" t="b">
        <f>J9=L8</f>
        <v>1</v>
      </c>
      <c r="L9" s="1671" t="b">
        <f>L2+L3+L4+L5+L6+L7=L8</f>
        <v>1</v>
      </c>
      <c r="M9" s="1593"/>
      <c r="N9" s="1593"/>
      <c r="O9" s="1593"/>
      <c r="P9" s="1974"/>
    </row>
    <row r="10" spans="1:18" ht="30" hidden="1" customHeight="1" x14ac:dyDescent="0.25">
      <c r="A10" s="1975" t="s">
        <v>336</v>
      </c>
      <c r="B10" s="1975"/>
      <c r="C10" s="1975"/>
      <c r="D10" s="1975"/>
      <c r="E10" s="1975"/>
      <c r="F10" s="1975"/>
      <c r="G10" s="1975"/>
      <c r="H10" s="1975"/>
      <c r="I10" s="1975"/>
      <c r="J10" s="107"/>
      <c r="K10" s="1593"/>
      <c r="L10" s="1593"/>
      <c r="M10" s="1593"/>
      <c r="N10" s="1593"/>
      <c r="O10" s="1593"/>
      <c r="P10" s="1974"/>
    </row>
    <row r="11" spans="1:18" ht="19.5" hidden="1" customHeight="1" x14ac:dyDescent="0.25">
      <c r="A11" s="2119" t="s">
        <v>834</v>
      </c>
      <c r="B11" s="2119"/>
      <c r="C11" s="2119"/>
      <c r="D11" s="2119"/>
      <c r="E11" s="2119"/>
      <c r="F11" s="2119"/>
      <c r="G11" s="2119"/>
      <c r="H11" s="2119"/>
      <c r="I11" s="2119"/>
      <c r="J11" s="107"/>
      <c r="P11" s="1974"/>
    </row>
    <row r="12" spans="1:18" ht="45" hidden="1" customHeight="1" x14ac:dyDescent="0.25">
      <c r="A12" s="1972" t="s">
        <v>526</v>
      </c>
      <c r="B12" s="1972"/>
      <c r="C12" s="1972"/>
      <c r="D12" s="1972"/>
      <c r="E12" s="1972"/>
      <c r="F12" s="1972"/>
      <c r="G12" s="1972"/>
      <c r="H12" s="1972"/>
      <c r="I12" s="1972"/>
      <c r="J12" s="107"/>
      <c r="P12" s="1974"/>
    </row>
    <row r="13" spans="1:18" ht="34.5" customHeight="1" x14ac:dyDescent="0.25">
      <c r="A13" s="1975" t="s">
        <v>2260</v>
      </c>
      <c r="B13" s="1975"/>
      <c r="C13" s="1975"/>
      <c r="D13" s="1975"/>
      <c r="E13" s="1975"/>
      <c r="F13" s="1975"/>
      <c r="G13" s="1975"/>
      <c r="H13" s="1975"/>
      <c r="I13" s="1975"/>
      <c r="J13" s="107"/>
      <c r="K13" s="713"/>
      <c r="L13" s="1593"/>
      <c r="M13" s="1593"/>
      <c r="N13" s="1593"/>
      <c r="O13" s="1593"/>
      <c r="P13" s="1974"/>
    </row>
    <row r="14" spans="1:18" ht="33.75" customHeight="1" x14ac:dyDescent="0.25">
      <c r="A14" s="2112" t="s">
        <v>1150</v>
      </c>
      <c r="B14" s="2112"/>
      <c r="C14" s="2112"/>
      <c r="D14" s="2112"/>
      <c r="E14" s="2112"/>
      <c r="F14" s="2112"/>
      <c r="G14" s="2112"/>
      <c r="H14" s="2112"/>
      <c r="I14" s="2112"/>
      <c r="J14" s="107">
        <f>M3+M7</f>
        <v>50514810.890000001</v>
      </c>
      <c r="K14" s="81" t="b">
        <f>L3+L7=J14</f>
        <v>1</v>
      </c>
      <c r="L14" s="70">
        <f>L2-J191-J75</f>
        <v>289355439.47000003</v>
      </c>
    </row>
    <row r="15" spans="1:18" ht="72.75" customHeight="1" x14ac:dyDescent="0.25">
      <c r="A15" s="1980" t="s">
        <v>2137</v>
      </c>
      <c r="B15" s="1980"/>
      <c r="C15" s="1980"/>
      <c r="D15" s="1980"/>
      <c r="E15" s="1980"/>
      <c r="F15" s="1980"/>
      <c r="G15" s="1980"/>
      <c r="H15" s="1980"/>
      <c r="I15" s="1980"/>
      <c r="J15" s="107">
        <f>M2+M6</f>
        <v>338908412.87</v>
      </c>
      <c r="K15" s="81" t="b">
        <f>J15=L2+L6</f>
        <v>1</v>
      </c>
    </row>
    <row r="16" spans="1:18" ht="32.25" customHeight="1" x14ac:dyDescent="0.25">
      <c r="A16" s="1975" t="s">
        <v>2261</v>
      </c>
      <c r="B16" s="1975"/>
      <c r="C16" s="1975"/>
      <c r="D16" s="1975"/>
      <c r="E16" s="1975"/>
      <c r="F16" s="1975"/>
      <c r="G16" s="1975"/>
      <c r="H16" s="1975"/>
      <c r="I16" s="1975"/>
      <c r="J16" s="107"/>
      <c r="K16" s="82"/>
    </row>
    <row r="17" spans="1:110" ht="36.75" customHeight="1" x14ac:dyDescent="0.25">
      <c r="A17" s="1980" t="s">
        <v>2135</v>
      </c>
      <c r="B17" s="1980"/>
      <c r="C17" s="1980"/>
      <c r="D17" s="1980"/>
      <c r="E17" s="1980"/>
      <c r="F17" s="1980"/>
      <c r="G17" s="1980"/>
      <c r="H17" s="1980"/>
      <c r="I17" s="1980"/>
      <c r="J17" s="107">
        <f>M5</f>
        <v>1060895</v>
      </c>
      <c r="K17" s="81" t="b">
        <f>J17=L5</f>
        <v>1</v>
      </c>
    </row>
    <row r="18" spans="1:110" ht="68.25" customHeight="1" x14ac:dyDescent="0.25">
      <c r="A18" s="2112" t="s">
        <v>2136</v>
      </c>
      <c r="B18" s="2112"/>
      <c r="C18" s="2112"/>
      <c r="D18" s="2112"/>
      <c r="E18" s="2112"/>
      <c r="F18" s="2112"/>
      <c r="G18" s="2112"/>
      <c r="H18" s="2112"/>
      <c r="I18" s="2112"/>
      <c r="J18" s="107">
        <f>M4</f>
        <v>1400100</v>
      </c>
      <c r="K18" s="81" t="b">
        <f>J18=L4</f>
        <v>1</v>
      </c>
      <c r="L18" s="108" t="s">
        <v>305</v>
      </c>
      <c r="M18" s="108" t="s">
        <v>236</v>
      </c>
    </row>
    <row r="19" spans="1:110" x14ac:dyDescent="0.25">
      <c r="H19" s="69"/>
      <c r="L19" s="108">
        <f>J28+J87+J124+J177+J195+J207+J223+J1099</f>
        <v>391884218.75999999</v>
      </c>
      <c r="M19" s="108">
        <f>J30+J59+J89+J110+J135+J166+J179+J197+J209+J225+J263+J289+J472+J593+J617+J815+J1101+J766+J254+J790+J1076</f>
        <v>391884218.75999999</v>
      </c>
    </row>
    <row r="20" spans="1:110" x14ac:dyDescent="0.25">
      <c r="A20" s="1645" t="s">
        <v>25</v>
      </c>
      <c r="L20" s="108" t="b">
        <f>L19=J7</f>
        <v>1</v>
      </c>
      <c r="M20" s="108" t="b">
        <f>M19=J7</f>
        <v>1</v>
      </c>
    </row>
    <row r="21" spans="1:110" x14ac:dyDescent="0.25">
      <c r="A21" s="1645"/>
    </row>
    <row r="22" spans="1:110" ht="32.25" customHeight="1" x14ac:dyDescent="0.25">
      <c r="A22" s="1645" t="s">
        <v>145</v>
      </c>
      <c r="E22" s="1984" t="s">
        <v>285</v>
      </c>
      <c r="F22" s="1985"/>
      <c r="G22" s="1985"/>
      <c r="H22" s="1985"/>
      <c r="I22" s="1985"/>
      <c r="J22" s="85">
        <f>J23</f>
        <v>391884218.75999999</v>
      </c>
      <c r="K22" s="82"/>
    </row>
    <row r="23" spans="1:110" x14ac:dyDescent="0.25">
      <c r="A23" s="1645" t="s">
        <v>29</v>
      </c>
      <c r="B23" s="1645"/>
      <c r="C23" s="1645"/>
      <c r="D23" s="1645"/>
      <c r="E23" s="394">
        <v>4</v>
      </c>
      <c r="J23" s="85">
        <f>J25+J175+J193+J220+J221</f>
        <v>391884218.75999999</v>
      </c>
    </row>
    <row r="24" spans="1:110" ht="12.75" customHeight="1" x14ac:dyDescent="0.25">
      <c r="N24" s="70" t="s">
        <v>2069</v>
      </c>
      <c r="O24" s="70">
        <f>J226+J272+J290-J470+J474-J530-J545+J561+J571+J1101</f>
        <v>21577658.390000001</v>
      </c>
      <c r="P24" s="70">
        <v>4</v>
      </c>
    </row>
    <row r="25" spans="1:110" x14ac:dyDescent="0.25">
      <c r="A25" s="1644" t="s">
        <v>158</v>
      </c>
      <c r="J25" s="69">
        <f>J28+J87+J124</f>
        <v>298566373.91000003</v>
      </c>
      <c r="N25" s="70" t="s">
        <v>2069</v>
      </c>
      <c r="O25" s="70">
        <f>'2 (2025)'!J312+'2 (2025)'!J745</f>
        <v>9348054.7400000002</v>
      </c>
      <c r="P25" s="70">
        <v>2</v>
      </c>
    </row>
    <row r="26" spans="1:110" hidden="1" x14ac:dyDescent="0.25">
      <c r="A26" s="1644" t="s">
        <v>312</v>
      </c>
    </row>
    <row r="28" spans="1:110" s="87" customFormat="1" ht="14.25" x14ac:dyDescent="0.25">
      <c r="A28" s="1645" t="s">
        <v>147</v>
      </c>
      <c r="B28" s="1645"/>
      <c r="C28" s="1645"/>
      <c r="D28" s="1645"/>
      <c r="E28" s="86" t="s">
        <v>65</v>
      </c>
      <c r="F28" s="1645"/>
      <c r="G28" s="1645"/>
      <c r="H28" s="95"/>
      <c r="I28" s="85"/>
      <c r="J28" s="85">
        <f>J30+J59</f>
        <v>225987779.83000001</v>
      </c>
      <c r="K28" s="17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4"/>
      <c r="Y28" s="354"/>
      <c r="Z28" s="354"/>
      <c r="AA28" s="354"/>
      <c r="AB28" s="354"/>
      <c r="DF28" s="354" t="e">
        <f>#REF!</f>
        <v>#REF!</v>
      </c>
    </row>
    <row r="29" spans="1:110" x14ac:dyDescent="0.25">
      <c r="A29" s="1645"/>
      <c r="J29" s="85"/>
    </row>
    <row r="30" spans="1:110" x14ac:dyDescent="0.25">
      <c r="A30" s="1645" t="s">
        <v>63</v>
      </c>
      <c r="E30" s="86" t="s">
        <v>64</v>
      </c>
      <c r="J30" s="99">
        <f>J46+J32</f>
        <v>224909171.91999999</v>
      </c>
    </row>
    <row r="31" spans="1:110" x14ac:dyDescent="0.25">
      <c r="A31" s="1645"/>
      <c r="E31" s="86"/>
      <c r="J31" s="99"/>
    </row>
    <row r="32" spans="1:110" x14ac:dyDescent="0.25">
      <c r="A32" s="1645" t="s">
        <v>26</v>
      </c>
      <c r="B32" s="1645"/>
      <c r="C32" s="1645"/>
      <c r="D32" s="1645"/>
      <c r="E32" s="71" t="s">
        <v>624</v>
      </c>
      <c r="J32" s="85">
        <f>J44</f>
        <v>2669971.1</v>
      </c>
      <c r="L32" s="970"/>
      <c r="M32" s="970"/>
      <c r="N32" s="972"/>
      <c r="O32" s="970"/>
      <c r="P32" s="970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5"/>
      <c r="AE32" s="75"/>
    </row>
    <row r="33" spans="1:31" x14ac:dyDescent="0.25">
      <c r="A33" s="1645" t="s">
        <v>27</v>
      </c>
      <c r="B33" s="1645"/>
      <c r="C33" s="1645"/>
      <c r="D33" s="1645"/>
      <c r="E33" s="71" t="s">
        <v>1830</v>
      </c>
      <c r="J33" s="85">
        <f>J44</f>
        <v>2669971.1</v>
      </c>
      <c r="K33" s="81">
        <v>3512659.94</v>
      </c>
      <c r="L33" s="972">
        <f>J44+J67+J153</f>
        <v>3512659.94</v>
      </c>
      <c r="M33" s="972"/>
      <c r="N33" s="972"/>
      <c r="O33" s="970"/>
      <c r="P33" s="970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5"/>
      <c r="AE33" s="75"/>
    </row>
    <row r="34" spans="1:31" x14ac:dyDescent="0.25">
      <c r="A34" s="745" t="s">
        <v>317</v>
      </c>
      <c r="G34" s="60"/>
      <c r="H34" s="90"/>
      <c r="I34" s="60"/>
      <c r="J34" s="60"/>
      <c r="L34" s="970"/>
      <c r="M34" s="970"/>
      <c r="N34" s="972"/>
      <c r="O34" s="970"/>
      <c r="P34" s="970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5"/>
      <c r="AE34" s="75"/>
    </row>
    <row r="35" spans="1:31" x14ac:dyDescent="0.25">
      <c r="A35" s="1926" t="s">
        <v>8</v>
      </c>
      <c r="B35" s="1956" t="s">
        <v>35</v>
      </c>
      <c r="C35" s="1959"/>
      <c r="D35" s="1959"/>
      <c r="E35" s="1959"/>
      <c r="F35" s="1959"/>
      <c r="G35" s="1959"/>
      <c r="H35" s="1959"/>
      <c r="I35" s="2044"/>
      <c r="J35" s="2024" t="s">
        <v>256</v>
      </c>
      <c r="L35" s="970"/>
      <c r="M35" s="970"/>
      <c r="N35" s="972"/>
      <c r="O35" s="970"/>
      <c r="P35" s="970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5"/>
      <c r="AE35" s="75"/>
    </row>
    <row r="36" spans="1:31" x14ac:dyDescent="0.25">
      <c r="A36" s="1926"/>
      <c r="B36" s="2009"/>
      <c r="C36" s="1961"/>
      <c r="D36" s="1961"/>
      <c r="E36" s="1961"/>
      <c r="F36" s="1961"/>
      <c r="G36" s="1961"/>
      <c r="H36" s="1961"/>
      <c r="I36" s="1962"/>
      <c r="J36" s="1906"/>
      <c r="L36" s="970"/>
      <c r="M36" s="970"/>
      <c r="N36" s="972"/>
      <c r="O36" s="970"/>
      <c r="P36" s="970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5"/>
      <c r="AE36" s="75"/>
    </row>
    <row r="37" spans="1:31" ht="15" customHeight="1" x14ac:dyDescent="0.25">
      <c r="A37" s="1598">
        <v>1</v>
      </c>
      <c r="B37" s="2003" t="s">
        <v>1831</v>
      </c>
      <c r="C37" s="2047"/>
      <c r="D37" s="2047"/>
      <c r="E37" s="2007"/>
      <c r="F37" s="2007"/>
      <c r="G37" s="2007"/>
      <c r="H37" s="2007"/>
      <c r="I37" s="2008"/>
      <c r="J37" s="1617">
        <f>2299410.28+55848.8</f>
        <v>2355259.08</v>
      </c>
      <c r="K37" s="98"/>
      <c r="L37" s="79"/>
      <c r="M37" s="79"/>
      <c r="N37" s="79"/>
      <c r="O37" s="79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75"/>
    </row>
    <row r="38" spans="1:31" x14ac:dyDescent="0.25">
      <c r="A38" s="1605">
        <v>2</v>
      </c>
      <c r="B38" s="1986" t="s">
        <v>1471</v>
      </c>
      <c r="C38" s="1986"/>
      <c r="D38" s="1986"/>
      <c r="E38" s="1986"/>
      <c r="F38" s="1986"/>
      <c r="G38" s="1986"/>
      <c r="H38" s="1986"/>
      <c r="I38" s="1986"/>
      <c r="J38" s="1617">
        <f>194050.48+0.01</f>
        <v>194050.49</v>
      </c>
      <c r="K38" s="98"/>
      <c r="L38" s="79"/>
      <c r="M38" s="79"/>
      <c r="N38" s="79"/>
      <c r="O38" s="79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75"/>
    </row>
    <row r="39" spans="1:31" x14ac:dyDescent="0.25">
      <c r="A39" s="1605">
        <v>3</v>
      </c>
      <c r="B39" s="1986" t="s">
        <v>1472</v>
      </c>
      <c r="C39" s="1986"/>
      <c r="D39" s="1986"/>
      <c r="E39" s="1986"/>
      <c r="F39" s="1986"/>
      <c r="G39" s="1986"/>
      <c r="H39" s="1986"/>
      <c r="I39" s="1986"/>
      <c r="J39" s="1617">
        <f>4*2*10000</f>
        <v>80000</v>
      </c>
      <c r="K39" s="98"/>
      <c r="L39" s="79"/>
      <c r="M39" s="79"/>
      <c r="N39" s="79"/>
      <c r="O39" s="79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75"/>
    </row>
    <row r="40" spans="1:31" x14ac:dyDescent="0.25">
      <c r="A40" s="1605">
        <v>4</v>
      </c>
      <c r="B40" s="1986" t="s">
        <v>1473</v>
      </c>
      <c r="C40" s="1986"/>
      <c r="D40" s="1986"/>
      <c r="E40" s="1986"/>
      <c r="F40" s="1986"/>
      <c r="G40" s="1986"/>
      <c r="H40" s="1986"/>
      <c r="I40" s="1986"/>
      <c r="J40" s="1617">
        <v>9572.93</v>
      </c>
      <c r="K40" s="98"/>
      <c r="L40" s="79"/>
      <c r="M40" s="79"/>
      <c r="N40" s="79"/>
      <c r="O40" s="79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75"/>
    </row>
    <row r="41" spans="1:31" x14ac:dyDescent="0.25">
      <c r="A41" s="1605">
        <v>5</v>
      </c>
      <c r="B41" s="1986" t="s">
        <v>1474</v>
      </c>
      <c r="C41" s="1986"/>
      <c r="D41" s="1986"/>
      <c r="E41" s="1986"/>
      <c r="F41" s="1986"/>
      <c r="G41" s="1986"/>
      <c r="H41" s="1986"/>
      <c r="I41" s="1986"/>
      <c r="J41" s="1617">
        <v>29848.22</v>
      </c>
      <c r="K41" s="98"/>
      <c r="L41" s="79"/>
      <c r="M41" s="79"/>
      <c r="N41" s="79"/>
      <c r="O41" s="79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75"/>
    </row>
    <row r="42" spans="1:31" x14ac:dyDescent="0.25">
      <c r="A42" s="1605">
        <v>6</v>
      </c>
      <c r="B42" s="1986" t="s">
        <v>1832</v>
      </c>
      <c r="C42" s="1986"/>
      <c r="D42" s="1986"/>
      <c r="E42" s="1986"/>
      <c r="F42" s="1986"/>
      <c r="G42" s="1986"/>
      <c r="H42" s="1986"/>
      <c r="I42" s="1986"/>
      <c r="J42" s="1617">
        <v>1240.3800000000001</v>
      </c>
      <c r="K42" s="98"/>
      <c r="L42" s="79"/>
      <c r="M42" s="79"/>
      <c r="N42" s="79"/>
      <c r="O42" s="79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75"/>
    </row>
    <row r="43" spans="1:31" hidden="1" x14ac:dyDescent="0.25">
      <c r="A43" s="1605">
        <v>7</v>
      </c>
      <c r="B43" s="1986" t="s">
        <v>1475</v>
      </c>
      <c r="C43" s="1986"/>
      <c r="D43" s="1986"/>
      <c r="E43" s="1986"/>
      <c r="F43" s="1986"/>
      <c r="G43" s="1986"/>
      <c r="H43" s="1986"/>
      <c r="I43" s="1986"/>
      <c r="J43" s="1617"/>
      <c r="K43" s="98"/>
      <c r="L43" s="79"/>
      <c r="M43" s="79"/>
      <c r="N43" s="79"/>
      <c r="O43" s="79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75"/>
    </row>
    <row r="44" spans="1:31" x14ac:dyDescent="0.25">
      <c r="A44" s="2039" t="s">
        <v>39</v>
      </c>
      <c r="B44" s="2040"/>
      <c r="C44" s="2040"/>
      <c r="D44" s="2040"/>
      <c r="E44" s="2040"/>
      <c r="F44" s="2040"/>
      <c r="G44" s="2040"/>
      <c r="H44" s="2040"/>
      <c r="I44" s="2041"/>
      <c r="J44" s="1192">
        <f>SUM(J37:J43)</f>
        <v>2669971.1</v>
      </c>
      <c r="K44" s="344">
        <v>0</v>
      </c>
      <c r="L44" s="972">
        <f>J44-K44</f>
        <v>2669971.1</v>
      </c>
      <c r="M44" s="970"/>
      <c r="N44" s="972"/>
      <c r="O44" s="970"/>
      <c r="P44" s="970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5"/>
      <c r="AE44" s="75"/>
    </row>
    <row r="45" spans="1:31" x14ac:dyDescent="0.25">
      <c r="A45" s="1645"/>
      <c r="E45" s="86"/>
      <c r="J45" s="99"/>
    </row>
    <row r="46" spans="1:31" x14ac:dyDescent="0.25">
      <c r="A46" s="1645" t="s">
        <v>26</v>
      </c>
      <c r="B46" s="1645"/>
      <c r="C46" s="1645"/>
      <c r="D46" s="1645"/>
      <c r="E46" s="86" t="s">
        <v>625</v>
      </c>
      <c r="J46" s="85">
        <f>J57</f>
        <v>222239200.81999999</v>
      </c>
      <c r="K46" s="81">
        <f>L2</f>
        <v>290446166.56999999</v>
      </c>
      <c r="L46" s="972">
        <f>J57+J75+J164+J191</f>
        <v>290446166.56999999</v>
      </c>
    </row>
    <row r="47" spans="1:31" x14ac:dyDescent="0.25">
      <c r="A47" s="1645" t="s">
        <v>27</v>
      </c>
      <c r="B47" s="1645"/>
      <c r="C47" s="1645"/>
      <c r="D47" s="1645"/>
      <c r="E47" s="86" t="s">
        <v>1837</v>
      </c>
    </row>
    <row r="48" spans="1:31" x14ac:dyDescent="0.25">
      <c r="A48" s="1644" t="s">
        <v>313</v>
      </c>
      <c r="E48" s="72"/>
      <c r="L48" s="79"/>
      <c r="M48" s="79"/>
      <c r="N48" s="79"/>
      <c r="O48" s="79"/>
      <c r="P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5"/>
      <c r="AE48" s="75"/>
    </row>
    <row r="49" spans="1:31" ht="31.5" customHeight="1" x14ac:dyDescent="0.25">
      <c r="A49" s="1581" t="s">
        <v>8</v>
      </c>
      <c r="B49" s="2120" t="s">
        <v>35</v>
      </c>
      <c r="C49" s="2026"/>
      <c r="D49" s="2026"/>
      <c r="E49" s="2026"/>
      <c r="F49" s="2026"/>
      <c r="G49" s="2026"/>
      <c r="H49" s="2026"/>
      <c r="I49" s="2027"/>
      <c r="J49" s="1588" t="s">
        <v>256</v>
      </c>
      <c r="K49" s="98"/>
      <c r="L49" s="79"/>
      <c r="M49" s="79"/>
      <c r="N49" s="79"/>
      <c r="O49" s="79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75"/>
    </row>
    <row r="50" spans="1:31" x14ac:dyDescent="0.25">
      <c r="A50" s="1581">
        <v>1</v>
      </c>
      <c r="B50" s="2003" t="s">
        <v>1470</v>
      </c>
      <c r="C50" s="2047"/>
      <c r="D50" s="2047"/>
      <c r="E50" s="2007"/>
      <c r="F50" s="2007"/>
      <c r="G50" s="2007"/>
      <c r="H50" s="2007"/>
      <c r="I50" s="2008"/>
      <c r="J50" s="1617">
        <v>208167112.44</v>
      </c>
      <c r="K50" s="98"/>
      <c r="L50" s="79"/>
      <c r="M50" s="79"/>
      <c r="N50" s="79"/>
      <c r="O50" s="79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75"/>
    </row>
    <row r="51" spans="1:31" x14ac:dyDescent="0.25">
      <c r="A51" s="1581">
        <v>2</v>
      </c>
      <c r="B51" s="1909" t="s">
        <v>1471</v>
      </c>
      <c r="C51" s="1909"/>
      <c r="D51" s="1909"/>
      <c r="E51" s="1909"/>
      <c r="F51" s="1909"/>
      <c r="G51" s="1909"/>
      <c r="H51" s="1909"/>
      <c r="I51" s="1909"/>
      <c r="J51" s="1617">
        <v>8308182.5499999998</v>
      </c>
      <c r="K51" s="98"/>
      <c r="L51" s="79"/>
      <c r="M51" s="79"/>
      <c r="N51" s="79"/>
      <c r="O51" s="79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75"/>
    </row>
    <row r="52" spans="1:31" ht="15" customHeight="1" x14ac:dyDescent="0.25">
      <c r="A52" s="1581">
        <v>3</v>
      </c>
      <c r="B52" s="1909" t="s">
        <v>1472</v>
      </c>
      <c r="C52" s="1909"/>
      <c r="D52" s="1909"/>
      <c r="E52" s="1909"/>
      <c r="F52" s="1909"/>
      <c r="G52" s="1909"/>
      <c r="H52" s="1909"/>
      <c r="I52" s="1909"/>
      <c r="J52" s="1617">
        <f>171*2*10000</f>
        <v>3420000</v>
      </c>
      <c r="K52" s="1601"/>
      <c r="P52" s="98"/>
      <c r="Q52" s="98"/>
      <c r="R52" s="98"/>
      <c r="S52" s="98"/>
      <c r="T52" s="98"/>
      <c r="U52" s="98"/>
      <c r="V52" s="79"/>
      <c r="W52" s="79"/>
      <c r="X52" s="79"/>
      <c r="Y52" s="79"/>
      <c r="Z52" s="79"/>
      <c r="AA52" s="79"/>
      <c r="AB52" s="79"/>
      <c r="AC52" s="79"/>
      <c r="AD52" s="75"/>
      <c r="AE52" s="75"/>
    </row>
    <row r="53" spans="1:31" ht="15" customHeight="1" x14ac:dyDescent="0.25">
      <c r="A53" s="1581">
        <v>4</v>
      </c>
      <c r="B53" s="1909" t="s">
        <v>1473</v>
      </c>
      <c r="C53" s="1909"/>
      <c r="D53" s="1909"/>
      <c r="E53" s="1909"/>
      <c r="F53" s="1909"/>
      <c r="G53" s="1909"/>
      <c r="H53" s="1909"/>
      <c r="I53" s="1909"/>
      <c r="J53" s="1617">
        <f>(J50)/12*5%</f>
        <v>867362.97</v>
      </c>
      <c r="K53" s="1601"/>
      <c r="L53" s="61"/>
      <c r="M53" s="61"/>
      <c r="N53" s="61"/>
      <c r="O53" s="61"/>
      <c r="P53" s="98"/>
      <c r="Q53" s="98"/>
      <c r="R53" s="98"/>
      <c r="S53" s="98"/>
      <c r="T53" s="98"/>
      <c r="U53" s="98"/>
      <c r="V53" s="79"/>
      <c r="W53" s="79"/>
      <c r="X53" s="79"/>
      <c r="Y53" s="79"/>
      <c r="Z53" s="79"/>
      <c r="AA53" s="79"/>
      <c r="AB53" s="79"/>
      <c r="AC53" s="79"/>
      <c r="AD53" s="75"/>
      <c r="AE53" s="75"/>
    </row>
    <row r="54" spans="1:31" ht="15" customHeight="1" x14ac:dyDescent="0.25">
      <c r="A54" s="1581">
        <v>5</v>
      </c>
      <c r="B54" s="1909" t="s">
        <v>1474</v>
      </c>
      <c r="C54" s="1909"/>
      <c r="D54" s="1909"/>
      <c r="E54" s="1909"/>
      <c r="F54" s="1909"/>
      <c r="G54" s="1909"/>
      <c r="H54" s="1909"/>
      <c r="I54" s="1909"/>
      <c r="J54" s="1617">
        <f>J50/12*4%</f>
        <v>693890.37</v>
      </c>
      <c r="K54" s="1601"/>
      <c r="L54" s="97"/>
      <c r="M54" s="98"/>
      <c r="N54" s="98"/>
      <c r="O54" s="98"/>
      <c r="P54" s="98"/>
      <c r="Q54" s="98"/>
      <c r="R54" s="98"/>
      <c r="S54" s="98"/>
      <c r="T54" s="98"/>
      <c r="U54" s="98"/>
      <c r="V54" s="79"/>
      <c r="W54" s="79"/>
      <c r="X54" s="79"/>
      <c r="Y54" s="79"/>
      <c r="Z54" s="79"/>
      <c r="AA54" s="79"/>
      <c r="AB54" s="79"/>
      <c r="AC54" s="79"/>
      <c r="AD54" s="75"/>
      <c r="AE54" s="75"/>
    </row>
    <row r="55" spans="1:31" ht="15" customHeight="1" x14ac:dyDescent="0.25">
      <c r="A55" s="1581">
        <v>6</v>
      </c>
      <c r="B55" s="1986" t="s">
        <v>1832</v>
      </c>
      <c r="C55" s="1986"/>
      <c r="D55" s="1986"/>
      <c r="E55" s="1986"/>
      <c r="F55" s="1986"/>
      <c r="G55" s="1986"/>
      <c r="H55" s="1986"/>
      <c r="I55" s="1986"/>
      <c r="J55" s="1617">
        <v>782652.49</v>
      </c>
      <c r="L55" s="970"/>
      <c r="M55" s="970"/>
      <c r="N55" s="970"/>
      <c r="O55" s="970"/>
      <c r="P55" s="970"/>
      <c r="Q55" s="98"/>
      <c r="R55" s="98"/>
      <c r="S55" s="98"/>
      <c r="T55" s="98"/>
      <c r="U55" s="98"/>
      <c r="V55" s="79"/>
      <c r="W55" s="79"/>
      <c r="X55" s="79"/>
      <c r="Y55" s="79"/>
      <c r="Z55" s="79"/>
      <c r="AA55" s="79"/>
      <c r="AB55" s="79"/>
      <c r="AC55" s="79"/>
      <c r="AD55" s="75"/>
      <c r="AE55" s="75"/>
    </row>
    <row r="56" spans="1:31" ht="15" hidden="1" customHeight="1" x14ac:dyDescent="0.25">
      <c r="A56" s="1581">
        <v>7</v>
      </c>
      <c r="B56" s="1909" t="s">
        <v>1475</v>
      </c>
      <c r="C56" s="1909"/>
      <c r="D56" s="1909"/>
      <c r="E56" s="1909"/>
      <c r="F56" s="1909"/>
      <c r="G56" s="1909"/>
      <c r="H56" s="1909"/>
      <c r="I56" s="1909"/>
      <c r="J56" s="1617"/>
      <c r="L56" s="970"/>
      <c r="M56" s="970"/>
      <c r="N56" s="970"/>
      <c r="O56" s="970"/>
      <c r="P56" s="970"/>
      <c r="Q56" s="98"/>
      <c r="R56" s="98"/>
      <c r="S56" s="98"/>
      <c r="T56" s="98"/>
      <c r="U56" s="98"/>
      <c r="V56" s="79"/>
      <c r="W56" s="79"/>
      <c r="X56" s="79"/>
      <c r="Y56" s="79"/>
      <c r="Z56" s="79"/>
      <c r="AA56" s="79"/>
      <c r="AB56" s="79"/>
      <c r="AC56" s="79"/>
      <c r="AD56" s="75"/>
      <c r="AE56" s="75"/>
    </row>
    <row r="57" spans="1:31" x14ac:dyDescent="0.25">
      <c r="A57" s="2039" t="s">
        <v>39</v>
      </c>
      <c r="B57" s="2040"/>
      <c r="C57" s="2040"/>
      <c r="D57" s="2040"/>
      <c r="E57" s="2040"/>
      <c r="F57" s="2040"/>
      <c r="G57" s="2040"/>
      <c r="H57" s="2040"/>
      <c r="I57" s="2041"/>
      <c r="J57" s="1589">
        <f>SUM(J50:J56)</f>
        <v>222239200.81999999</v>
      </c>
      <c r="K57" s="344">
        <v>0</v>
      </c>
      <c r="L57" s="81">
        <f>J57-K57</f>
        <v>222239200.81999999</v>
      </c>
      <c r="M57" s="971"/>
      <c r="N57" s="972"/>
      <c r="O57" s="972"/>
      <c r="P57" s="972"/>
      <c r="Q57" s="98"/>
      <c r="R57" s="98"/>
      <c r="S57" s="98"/>
      <c r="T57" s="98"/>
      <c r="U57" s="98"/>
      <c r="V57" s="79"/>
      <c r="W57" s="79"/>
      <c r="X57" s="79"/>
      <c r="Y57" s="79"/>
      <c r="Z57" s="79"/>
      <c r="AA57" s="79"/>
      <c r="AB57" s="79"/>
      <c r="AC57" s="79"/>
      <c r="AD57" s="75"/>
      <c r="AE57" s="75"/>
    </row>
    <row r="59" spans="1:31" x14ac:dyDescent="0.25">
      <c r="A59" s="1645" t="s">
        <v>63</v>
      </c>
      <c r="B59" s="1645"/>
      <c r="C59" s="1645"/>
      <c r="D59" s="61"/>
      <c r="E59" s="1645" t="s">
        <v>66</v>
      </c>
      <c r="J59" s="99">
        <f>J69+J61</f>
        <v>1078607.9099999999</v>
      </c>
    </row>
    <row r="60" spans="1:31" x14ac:dyDescent="0.25">
      <c r="A60" s="1645"/>
      <c r="B60" s="1645"/>
      <c r="C60" s="1645"/>
      <c r="D60" s="61"/>
      <c r="E60" s="1645"/>
      <c r="J60" s="99"/>
    </row>
    <row r="61" spans="1:31" x14ac:dyDescent="0.25">
      <c r="A61" s="1645" t="s">
        <v>26</v>
      </c>
      <c r="B61" s="1645"/>
      <c r="C61" s="1645"/>
      <c r="D61" s="1645"/>
      <c r="E61" s="71" t="s">
        <v>624</v>
      </c>
      <c r="J61" s="85">
        <f>J67</f>
        <v>36357.57</v>
      </c>
      <c r="L61" s="970"/>
      <c r="M61" s="970"/>
      <c r="N61" s="972"/>
      <c r="O61" s="970"/>
      <c r="P61" s="970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5"/>
      <c r="AE61" s="75"/>
    </row>
    <row r="62" spans="1:31" x14ac:dyDescent="0.25">
      <c r="A62" s="1645" t="s">
        <v>27</v>
      </c>
      <c r="B62" s="1645"/>
      <c r="C62" s="1645"/>
      <c r="D62" s="1645"/>
      <c r="E62" s="71" t="s">
        <v>1830</v>
      </c>
      <c r="J62" s="85">
        <f>J67</f>
        <v>36357.57</v>
      </c>
      <c r="L62" s="970"/>
      <c r="M62" s="970"/>
      <c r="N62" s="972"/>
      <c r="O62" s="970"/>
      <c r="P62" s="970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5"/>
      <c r="AE62" s="75"/>
    </row>
    <row r="63" spans="1:31" x14ac:dyDescent="0.25">
      <c r="A63" s="1644" t="s">
        <v>322</v>
      </c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5"/>
      <c r="AE63" s="75"/>
    </row>
    <row r="64" spans="1:31" x14ac:dyDescent="0.25">
      <c r="A64" s="1926" t="s">
        <v>8</v>
      </c>
      <c r="B64" s="2045" t="s">
        <v>35</v>
      </c>
      <c r="C64" s="2046"/>
      <c r="D64" s="2046"/>
      <c r="E64" s="2046"/>
      <c r="F64" s="2046"/>
      <c r="G64" s="1992" t="s">
        <v>1827</v>
      </c>
      <c r="H64" s="1927"/>
      <c r="I64" s="1927"/>
      <c r="J64" s="1927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5"/>
      <c r="AE64" s="75"/>
    </row>
    <row r="65" spans="1:31" ht="74.25" customHeight="1" x14ac:dyDescent="0.2">
      <c r="A65" s="2046"/>
      <c r="B65" s="2046"/>
      <c r="C65" s="2046"/>
      <c r="D65" s="2046"/>
      <c r="E65" s="2046"/>
      <c r="F65" s="2046"/>
      <c r="G65" s="1547" t="s">
        <v>1604</v>
      </c>
      <c r="H65" s="1598" t="s">
        <v>276</v>
      </c>
      <c r="I65" s="1598" t="s">
        <v>36</v>
      </c>
      <c r="J65" s="1617" t="s">
        <v>256</v>
      </c>
      <c r="L65" s="1328"/>
      <c r="M65" s="1328"/>
      <c r="N65" s="1329"/>
      <c r="O65" s="1329"/>
      <c r="P65" s="79"/>
      <c r="Q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5"/>
      <c r="AE65" s="75"/>
    </row>
    <row r="66" spans="1:31" x14ac:dyDescent="0.25">
      <c r="A66" s="1598">
        <v>1</v>
      </c>
      <c r="B66" s="2003" t="s">
        <v>37</v>
      </c>
      <c r="C66" s="2007"/>
      <c r="D66" s="2007"/>
      <c r="E66" s="2007"/>
      <c r="F66" s="2008"/>
      <c r="G66" s="1142">
        <v>4039.73</v>
      </c>
      <c r="H66" s="1285">
        <v>3</v>
      </c>
      <c r="I66" s="1285">
        <v>3</v>
      </c>
      <c r="J66" s="1617">
        <f>G66*H66*I66</f>
        <v>36357.57</v>
      </c>
      <c r="L66" s="970"/>
      <c r="M66" s="970"/>
      <c r="N66" s="970"/>
      <c r="O66" s="970"/>
      <c r="P66" s="79"/>
      <c r="Q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5"/>
      <c r="AE66" s="75"/>
    </row>
    <row r="67" spans="1:31" ht="15.75" customHeight="1" x14ac:dyDescent="0.25">
      <c r="A67" s="2036" t="s">
        <v>39</v>
      </c>
      <c r="B67" s="2037"/>
      <c r="C67" s="2037"/>
      <c r="D67" s="2037"/>
      <c r="E67" s="2037"/>
      <c r="F67" s="2026"/>
      <c r="G67" s="2026"/>
      <c r="H67" s="2026"/>
      <c r="I67" s="2027"/>
      <c r="J67" s="1192">
        <f>SUM(J65:J66)</f>
        <v>36357.57</v>
      </c>
      <c r="K67" s="344">
        <v>0</v>
      </c>
      <c r="L67" s="972">
        <f>J67-K67</f>
        <v>36357.57</v>
      </c>
      <c r="M67" s="970"/>
      <c r="N67" s="972"/>
      <c r="O67" s="972"/>
      <c r="P67" s="972"/>
      <c r="Q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5"/>
      <c r="AE67" s="75"/>
    </row>
    <row r="68" spans="1:31" x14ac:dyDescent="0.25">
      <c r="A68" s="1645"/>
      <c r="B68" s="1645"/>
      <c r="C68" s="1645"/>
      <c r="D68" s="61"/>
      <c r="E68" s="1645"/>
      <c r="J68" s="99"/>
    </row>
    <row r="69" spans="1:31" x14ac:dyDescent="0.25">
      <c r="A69" s="1645" t="s">
        <v>26</v>
      </c>
      <c r="B69" s="1645"/>
      <c r="C69" s="1645"/>
      <c r="D69" s="61"/>
      <c r="E69" s="1645" t="s">
        <v>625</v>
      </c>
      <c r="J69" s="85">
        <f>J75</f>
        <v>1042250.34</v>
      </c>
    </row>
    <row r="70" spans="1:31" x14ac:dyDescent="0.25">
      <c r="A70" s="1645" t="s">
        <v>27</v>
      </c>
      <c r="B70" s="1645"/>
      <c r="C70" s="1645"/>
      <c r="D70" s="61"/>
      <c r="E70" s="1645" t="s">
        <v>1837</v>
      </c>
    </row>
    <row r="71" spans="1:31" x14ac:dyDescent="0.25">
      <c r="A71" s="1644" t="s">
        <v>322</v>
      </c>
    </row>
    <row r="72" spans="1:31" x14ac:dyDescent="0.25">
      <c r="A72" s="1926" t="s">
        <v>8</v>
      </c>
      <c r="B72" s="2045" t="s">
        <v>35</v>
      </c>
      <c r="C72" s="2046"/>
      <c r="D72" s="2046"/>
      <c r="E72" s="2046"/>
      <c r="F72" s="2046"/>
      <c r="G72" s="1926" t="s">
        <v>1827</v>
      </c>
      <c r="H72" s="1927"/>
      <c r="I72" s="1927"/>
      <c r="J72" s="1927"/>
    </row>
    <row r="73" spans="1:31" ht="76.5" customHeight="1" x14ac:dyDescent="0.25">
      <c r="A73" s="2046"/>
      <c r="B73" s="2046"/>
      <c r="C73" s="2046"/>
      <c r="D73" s="2046"/>
      <c r="E73" s="2046"/>
      <c r="F73" s="2046"/>
      <c r="G73" s="1547" t="s">
        <v>1604</v>
      </c>
      <c r="H73" s="1598" t="s">
        <v>276</v>
      </c>
      <c r="I73" s="1598" t="s">
        <v>36</v>
      </c>
      <c r="J73" s="1588" t="s">
        <v>256</v>
      </c>
    </row>
    <row r="74" spans="1:31" x14ac:dyDescent="0.25">
      <c r="A74" s="1581">
        <v>1</v>
      </c>
      <c r="B74" s="1626" t="s">
        <v>37</v>
      </c>
      <c r="C74" s="1627"/>
      <c r="D74" s="1628"/>
      <c r="E74" s="1628"/>
      <c r="F74" s="1628"/>
      <c r="G74" s="1142">
        <v>4039.73</v>
      </c>
      <c r="H74" s="1285">
        <v>86</v>
      </c>
      <c r="I74" s="1285">
        <v>3</v>
      </c>
      <c r="J74" s="1588">
        <f>G74*H74*I74</f>
        <v>1042250.34</v>
      </c>
    </row>
    <row r="75" spans="1:31" x14ac:dyDescent="0.25">
      <c r="A75" s="1946" t="s">
        <v>39</v>
      </c>
      <c r="B75" s="1947"/>
      <c r="C75" s="2096"/>
      <c r="D75" s="1947"/>
      <c r="E75" s="1947"/>
      <c r="F75" s="1947"/>
      <c r="G75" s="1947"/>
      <c r="H75" s="1947"/>
      <c r="I75" s="1948"/>
      <c r="J75" s="1589">
        <f>SUM(J73:J74)</f>
        <v>1042250.34</v>
      </c>
      <c r="K75" s="347">
        <v>0</v>
      </c>
      <c r="L75" s="81">
        <f>J75-K75</f>
        <v>1042250.34</v>
      </c>
    </row>
    <row r="76" spans="1:31" ht="19.5" hidden="1" customHeight="1" x14ac:dyDescent="0.25">
      <c r="A76" s="1644" t="s">
        <v>40</v>
      </c>
    </row>
    <row r="77" spans="1:31" ht="32.25" hidden="1" customHeight="1" x14ac:dyDescent="0.25">
      <c r="A77" s="1644" t="s">
        <v>41</v>
      </c>
    </row>
    <row r="78" spans="1:31" ht="12" hidden="1" customHeight="1" x14ac:dyDescent="0.25"/>
    <row r="79" spans="1:31" ht="12" hidden="1" customHeight="1" x14ac:dyDescent="0.25">
      <c r="A79" s="1943" t="s">
        <v>42</v>
      </c>
      <c r="B79" s="1943"/>
      <c r="C79" s="1943"/>
      <c r="D79" s="1943"/>
      <c r="E79" s="1943"/>
      <c r="F79" s="1943"/>
      <c r="G79" s="1943"/>
      <c r="H79" s="1943"/>
      <c r="I79" s="1943"/>
      <c r="J79" s="1943"/>
    </row>
    <row r="80" spans="1:31" ht="12" hidden="1" customHeight="1" x14ac:dyDescent="0.25"/>
    <row r="81" spans="1:28" ht="12" hidden="1" customHeight="1" x14ac:dyDescent="0.25"/>
    <row r="82" spans="1:28" ht="12" hidden="1" customHeight="1" x14ac:dyDescent="0.25"/>
    <row r="83" spans="1:28" ht="12" hidden="1" customHeight="1" x14ac:dyDescent="0.25"/>
    <row r="84" spans="1:28" ht="12" hidden="1" customHeight="1" x14ac:dyDescent="0.25"/>
    <row r="85" spans="1:28" ht="12" hidden="1" customHeight="1" x14ac:dyDescent="0.25"/>
    <row r="87" spans="1:28" x14ac:dyDescent="0.25">
      <c r="A87" s="1645" t="s">
        <v>147</v>
      </c>
      <c r="B87" s="1645"/>
      <c r="C87" s="1645"/>
      <c r="D87" s="1645"/>
      <c r="E87" s="86" t="s">
        <v>68</v>
      </c>
      <c r="J87" s="85">
        <f>J89+J100+J110</f>
        <v>4421949.2699999996</v>
      </c>
    </row>
    <row r="88" spans="1:28" x14ac:dyDescent="0.25">
      <c r="E88" s="72"/>
    </row>
    <row r="89" spans="1:28" x14ac:dyDescent="0.25">
      <c r="A89" s="1645" t="s">
        <v>63</v>
      </c>
      <c r="E89" s="71" t="s">
        <v>73</v>
      </c>
      <c r="G89" s="60"/>
      <c r="H89" s="90"/>
      <c r="I89" s="60"/>
      <c r="J89" s="85">
        <f>J90</f>
        <v>4341508.17</v>
      </c>
      <c r="K89" s="1648"/>
      <c r="L89" s="1648"/>
      <c r="M89" s="1648"/>
      <c r="N89" s="1648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x14ac:dyDescent="0.25">
      <c r="A90" s="1645" t="s">
        <v>26</v>
      </c>
      <c r="E90" s="71" t="s">
        <v>624</v>
      </c>
      <c r="G90" s="60"/>
      <c r="H90" s="90"/>
      <c r="I90" s="60"/>
      <c r="J90" s="85">
        <f>J98</f>
        <v>4341508.17</v>
      </c>
      <c r="K90" s="1648"/>
      <c r="L90" s="1648"/>
      <c r="M90" s="1648"/>
      <c r="N90" s="1648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x14ac:dyDescent="0.25">
      <c r="A91" s="1645" t="s">
        <v>27</v>
      </c>
      <c r="E91" s="86" t="s">
        <v>2068</v>
      </c>
      <c r="G91" s="60"/>
      <c r="H91" s="90"/>
      <c r="I91" s="60"/>
      <c r="J91" s="60"/>
      <c r="K91" s="1648"/>
      <c r="L91" s="1648"/>
      <c r="M91" s="1648"/>
      <c r="N91" s="1648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30" customHeight="1" x14ac:dyDescent="0.25">
      <c r="A92" s="1943" t="s">
        <v>319</v>
      </c>
      <c r="B92" s="1943"/>
      <c r="C92" s="1943"/>
      <c r="D92" s="1943"/>
      <c r="E92" s="1943"/>
      <c r="F92" s="1943"/>
      <c r="G92" s="1943"/>
      <c r="H92" s="1943"/>
      <c r="I92" s="1943"/>
      <c r="J92" s="1943"/>
      <c r="L92" s="1648"/>
      <c r="M92" s="1648"/>
      <c r="N92" s="1648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x14ac:dyDescent="0.25">
      <c r="A93" s="1898" t="s">
        <v>8</v>
      </c>
      <c r="B93" s="1898" t="s">
        <v>35</v>
      </c>
      <c r="C93" s="1898"/>
      <c r="D93" s="1898"/>
      <c r="E93" s="1898"/>
      <c r="F93" s="1898"/>
      <c r="G93" s="1898"/>
      <c r="H93" s="1899" t="s">
        <v>1827</v>
      </c>
      <c r="I93" s="1998"/>
      <c r="J93" s="1999"/>
      <c r="K93" s="81">
        <f>4551289.85</f>
        <v>4551289.8499999996</v>
      </c>
      <c r="L93" s="972">
        <f>J98+J143</f>
        <v>4551289.8499999996</v>
      </c>
      <c r="M93" s="81"/>
      <c r="N93" s="1648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60" x14ac:dyDescent="0.25">
      <c r="A94" s="1898"/>
      <c r="B94" s="1898"/>
      <c r="C94" s="1898"/>
      <c r="D94" s="1898"/>
      <c r="E94" s="1898"/>
      <c r="F94" s="1898"/>
      <c r="G94" s="1898"/>
      <c r="H94" s="1364" t="s">
        <v>1833</v>
      </c>
      <c r="I94" s="1598" t="s">
        <v>276</v>
      </c>
      <c r="J94" s="1598" t="s">
        <v>256</v>
      </c>
      <c r="K94" s="1648"/>
      <c r="L94" s="1648"/>
      <c r="M94" s="1648"/>
      <c r="N94" s="1648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29.25" customHeight="1" x14ac:dyDescent="0.25">
      <c r="A95" s="1630">
        <v>1</v>
      </c>
      <c r="B95" s="1909" t="s">
        <v>101</v>
      </c>
      <c r="C95" s="1909"/>
      <c r="D95" s="1909"/>
      <c r="E95" s="1909"/>
      <c r="F95" s="1909"/>
      <c r="G95" s="1909"/>
      <c r="H95" s="1363">
        <v>35504.559999999998</v>
      </c>
      <c r="I95" s="59">
        <f>63+6</f>
        <v>69</v>
      </c>
      <c r="J95" s="1588">
        <f>H95*I95</f>
        <v>2449814.64</v>
      </c>
      <c r="L95" s="1672"/>
      <c r="M95" s="81"/>
      <c r="N95" s="1648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30" customHeight="1" x14ac:dyDescent="0.25">
      <c r="A96" s="1630">
        <f>A95+1</f>
        <v>2</v>
      </c>
      <c r="B96" s="1909" t="s">
        <v>278</v>
      </c>
      <c r="C96" s="1909"/>
      <c r="D96" s="1909"/>
      <c r="E96" s="1909"/>
      <c r="F96" s="1909"/>
      <c r="G96" s="1909"/>
      <c r="H96" s="1363">
        <v>35504.559999999998</v>
      </c>
      <c r="I96" s="59">
        <f>47+6</f>
        <v>53</v>
      </c>
      <c r="J96" s="1588">
        <f>H96*I96</f>
        <v>1881741.68</v>
      </c>
      <c r="K96" s="344"/>
      <c r="L96" s="81"/>
      <c r="M96" s="1648"/>
      <c r="N96" s="1648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30" customHeight="1" x14ac:dyDescent="0.25">
      <c r="A97" s="1141">
        <v>3</v>
      </c>
      <c r="B97" s="1909" t="s">
        <v>278</v>
      </c>
      <c r="C97" s="1909"/>
      <c r="D97" s="1909"/>
      <c r="E97" s="1909"/>
      <c r="F97" s="1909"/>
      <c r="G97" s="1909"/>
      <c r="H97" s="1363">
        <f>9928.62+23.18+0.05</f>
        <v>9951.85</v>
      </c>
      <c r="I97" s="1230">
        <v>1</v>
      </c>
      <c r="J97" s="1588">
        <f>H97*I97</f>
        <v>9951.85</v>
      </c>
      <c r="K97" s="344"/>
      <c r="L97" s="81"/>
      <c r="M97" s="1648"/>
      <c r="N97" s="1648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x14ac:dyDescent="0.25">
      <c r="A98" s="1895" t="s">
        <v>39</v>
      </c>
      <c r="B98" s="1895"/>
      <c r="C98" s="1895"/>
      <c r="D98" s="1895"/>
      <c r="E98" s="1895"/>
      <c r="F98" s="1895"/>
      <c r="G98" s="1895"/>
      <c r="H98" s="100" t="s">
        <v>5</v>
      </c>
      <c r="I98" s="1589" t="s">
        <v>5</v>
      </c>
      <c r="J98" s="1589">
        <f>SUM(J95:J97)</f>
        <v>4341508.17</v>
      </c>
      <c r="K98" s="344">
        <v>0</v>
      </c>
      <c r="L98" s="81">
        <f>J98-K98</f>
        <v>4341508.17</v>
      </c>
      <c r="M98" s="1648"/>
      <c r="N98" s="1648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x14ac:dyDescent="0.25">
      <c r="G99" s="60"/>
      <c r="H99" s="90"/>
      <c r="I99" s="60"/>
      <c r="J99" s="60"/>
      <c r="L99" s="1648"/>
      <c r="M99" s="1648"/>
      <c r="N99" s="1648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7.25" hidden="1" customHeight="1" x14ac:dyDescent="0.25">
      <c r="A100" s="1645" t="s">
        <v>63</v>
      </c>
      <c r="E100" s="71" t="s">
        <v>66</v>
      </c>
      <c r="G100" s="60"/>
      <c r="H100" s="90"/>
      <c r="I100" s="60"/>
      <c r="J100" s="85">
        <f>J101</f>
        <v>0</v>
      </c>
      <c r="L100" s="1648"/>
      <c r="M100" s="1648"/>
      <c r="N100" s="1648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17.25" hidden="1" customHeight="1" x14ac:dyDescent="0.25">
      <c r="A101" s="1645" t="s">
        <v>26</v>
      </c>
      <c r="E101" s="71" t="s">
        <v>624</v>
      </c>
      <c r="G101" s="60"/>
      <c r="H101" s="90"/>
      <c r="I101" s="60"/>
      <c r="J101" s="85">
        <f>J108</f>
        <v>0</v>
      </c>
      <c r="K101" s="1648"/>
      <c r="L101" s="1648"/>
      <c r="M101" s="1648"/>
      <c r="N101" s="1648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17.25" hidden="1" customHeight="1" x14ac:dyDescent="0.25">
      <c r="A102" s="1645" t="s">
        <v>27</v>
      </c>
      <c r="E102" s="71" t="s">
        <v>91</v>
      </c>
      <c r="G102" s="60"/>
      <c r="H102" s="90"/>
      <c r="I102" s="60"/>
      <c r="J102" s="60"/>
      <c r="K102" s="1648"/>
      <c r="L102" s="1648"/>
      <c r="M102" s="1648"/>
      <c r="N102" s="1648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7.25" hidden="1" customHeight="1" x14ac:dyDescent="0.25">
      <c r="A103" s="1645"/>
      <c r="E103" s="71"/>
      <c r="G103" s="60"/>
      <c r="H103" s="90"/>
      <c r="I103" s="60"/>
      <c r="J103" s="60"/>
      <c r="K103" s="1648"/>
      <c r="L103" s="1648"/>
      <c r="M103" s="1648"/>
      <c r="N103" s="1648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7.25" hidden="1" customHeight="1" x14ac:dyDescent="0.25">
      <c r="A104" s="1908" t="s">
        <v>513</v>
      </c>
      <c r="B104" s="1908"/>
      <c r="C104" s="1908"/>
      <c r="D104" s="1908"/>
      <c r="E104" s="1908"/>
      <c r="F104" s="1908"/>
      <c r="G104" s="1908"/>
      <c r="H104" s="1908"/>
      <c r="I104" s="1908"/>
      <c r="J104" s="1908"/>
      <c r="L104" s="1648"/>
      <c r="M104" s="1648"/>
      <c r="N104" s="1648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7.25" hidden="1" customHeight="1" x14ac:dyDescent="0.25">
      <c r="A105" s="1898" t="s">
        <v>8</v>
      </c>
      <c r="B105" s="1898" t="s">
        <v>35</v>
      </c>
      <c r="C105" s="1898"/>
      <c r="D105" s="1898"/>
      <c r="E105" s="1898"/>
      <c r="F105" s="1898"/>
      <c r="G105" s="1899" t="s">
        <v>352</v>
      </c>
      <c r="H105" s="1998"/>
      <c r="I105" s="1998"/>
      <c r="J105" s="1999"/>
      <c r="L105" s="81"/>
      <c r="M105" s="1648"/>
      <c r="N105" s="1648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7.25" hidden="1" customHeight="1" x14ac:dyDescent="0.25">
      <c r="A106" s="1898"/>
      <c r="B106" s="1898"/>
      <c r="C106" s="1898"/>
      <c r="D106" s="1898"/>
      <c r="E106" s="1898"/>
      <c r="F106" s="1898"/>
      <c r="G106" s="1581" t="s">
        <v>44</v>
      </c>
      <c r="H106" s="96" t="s">
        <v>277</v>
      </c>
      <c r="I106" s="1581" t="s">
        <v>275</v>
      </c>
      <c r="J106" s="1581" t="s">
        <v>256</v>
      </c>
      <c r="K106" s="1648"/>
      <c r="L106" s="1648"/>
      <c r="M106" s="1648"/>
      <c r="N106" s="1648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7.25" hidden="1" customHeight="1" x14ac:dyDescent="0.25">
      <c r="A107" s="1673">
        <v>1</v>
      </c>
      <c r="B107" s="2135" t="s">
        <v>100</v>
      </c>
      <c r="C107" s="2030"/>
      <c r="D107" s="2136"/>
      <c r="E107" s="2136"/>
      <c r="F107" s="2137"/>
      <c r="G107" s="59"/>
      <c r="H107" s="96"/>
      <c r="I107" s="1588"/>
      <c r="J107" s="1588">
        <f>G107*H107*I107</f>
        <v>0</v>
      </c>
      <c r="K107" s="1648"/>
      <c r="L107" s="1648"/>
      <c r="M107" s="1648"/>
      <c r="N107" s="1648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7.25" hidden="1" customHeight="1" x14ac:dyDescent="0.25">
      <c r="A108" s="1895" t="s">
        <v>39</v>
      </c>
      <c r="B108" s="1895"/>
      <c r="C108" s="1895"/>
      <c r="D108" s="1895"/>
      <c r="E108" s="1895"/>
      <c r="F108" s="1895"/>
      <c r="G108" s="100" t="s">
        <v>5</v>
      </c>
      <c r="H108" s="100" t="s">
        <v>5</v>
      </c>
      <c r="I108" s="1589" t="s">
        <v>5</v>
      </c>
      <c r="J108" s="1589">
        <f>SUM(J107:J107)</f>
        <v>0</v>
      </c>
      <c r="K108" s="344"/>
      <c r="L108" s="81"/>
      <c r="M108" s="1648"/>
      <c r="N108" s="1648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7.25" hidden="1" customHeight="1" x14ac:dyDescent="0.25">
      <c r="G109" s="60"/>
      <c r="H109" s="90"/>
      <c r="I109" s="60"/>
      <c r="J109" s="60"/>
      <c r="K109" s="1648"/>
      <c r="L109" s="1648"/>
      <c r="M109" s="1648"/>
      <c r="N109" s="1648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x14ac:dyDescent="0.25">
      <c r="A110" s="1645" t="s">
        <v>63</v>
      </c>
      <c r="E110" s="71" t="s">
        <v>106</v>
      </c>
      <c r="G110" s="60"/>
      <c r="H110" s="90"/>
      <c r="I110" s="60"/>
      <c r="J110" s="85">
        <f>J111</f>
        <v>80441.100000000006</v>
      </c>
      <c r="L110" s="1648"/>
      <c r="M110" s="1648"/>
      <c r="N110" s="1648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x14ac:dyDescent="0.25">
      <c r="A111" s="1645" t="s">
        <v>26</v>
      </c>
      <c r="E111" s="71" t="s">
        <v>624</v>
      </c>
      <c r="G111" s="60"/>
      <c r="H111" s="90"/>
      <c r="I111" s="60"/>
      <c r="J111" s="85">
        <f>J117</f>
        <v>80441.100000000006</v>
      </c>
      <c r="K111" s="1648"/>
      <c r="L111" s="1648"/>
      <c r="M111" s="1648"/>
      <c r="N111" s="1648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x14ac:dyDescent="0.25">
      <c r="A112" s="1645" t="s">
        <v>27</v>
      </c>
      <c r="E112" s="71" t="s">
        <v>1830</v>
      </c>
      <c r="G112" s="60"/>
      <c r="H112" s="90"/>
      <c r="I112" s="60"/>
      <c r="J112" s="60"/>
      <c r="K112" s="1648"/>
      <c r="L112" s="1648"/>
      <c r="M112" s="1648"/>
      <c r="N112" s="1648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7.25" customHeight="1" x14ac:dyDescent="0.25">
      <c r="A113" s="1644" t="s">
        <v>320</v>
      </c>
      <c r="G113" s="60"/>
      <c r="H113" s="90"/>
      <c r="I113" s="60"/>
      <c r="J113" s="60"/>
      <c r="K113" s="1648"/>
      <c r="L113" s="1648"/>
      <c r="M113" s="1648"/>
      <c r="N113" s="1648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" customHeight="1" x14ac:dyDescent="0.25">
      <c r="A114" s="1898" t="s">
        <v>8</v>
      </c>
      <c r="B114" s="1956" t="s">
        <v>35</v>
      </c>
      <c r="C114" s="1959"/>
      <c r="D114" s="1959"/>
      <c r="E114" s="1959"/>
      <c r="F114" s="1959"/>
      <c r="G114" s="2044"/>
      <c r="H114" s="1990" t="s">
        <v>1827</v>
      </c>
      <c r="I114" s="2026"/>
      <c r="J114" s="2026"/>
      <c r="K114" s="81">
        <v>105386.24000000001</v>
      </c>
      <c r="L114" s="972">
        <f>J117+J173</f>
        <v>104734.31</v>
      </c>
      <c r="M114" s="81"/>
      <c r="N114" s="1648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60.75" customHeight="1" x14ac:dyDescent="0.25">
      <c r="A115" s="1898"/>
      <c r="B115" s="2009"/>
      <c r="C115" s="1961"/>
      <c r="D115" s="1961"/>
      <c r="E115" s="1961"/>
      <c r="F115" s="1961"/>
      <c r="G115" s="1962"/>
      <c r="H115" s="1364" t="s">
        <v>1833</v>
      </c>
      <c r="I115" s="1598" t="s">
        <v>276</v>
      </c>
      <c r="J115" s="1598" t="s">
        <v>256</v>
      </c>
      <c r="K115" s="1648"/>
      <c r="L115" s="1648"/>
      <c r="M115" s="1648"/>
      <c r="N115" s="1648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x14ac:dyDescent="0.25">
      <c r="A116" s="1630">
        <v>1</v>
      </c>
      <c r="B116" s="1626" t="s">
        <v>107</v>
      </c>
      <c r="C116" s="1627"/>
      <c r="D116" s="1628"/>
      <c r="E116" s="1628"/>
      <c r="F116" s="1628"/>
      <c r="G116" s="1674"/>
      <c r="H116" s="1617">
        <v>993.1</v>
      </c>
      <c r="I116" s="1285">
        <f>84-3</f>
        <v>81</v>
      </c>
      <c r="J116" s="1617">
        <f>H116*I116</f>
        <v>80441.100000000006</v>
      </c>
      <c r="K116" s="1648"/>
      <c r="L116" s="1648"/>
      <c r="M116" s="81"/>
      <c r="N116" s="1648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7.25" customHeight="1" x14ac:dyDescent="0.25">
      <c r="A117" s="1944" t="s">
        <v>39</v>
      </c>
      <c r="B117" s="2116"/>
      <c r="C117" s="1945"/>
      <c r="D117" s="2116"/>
      <c r="E117" s="2116"/>
      <c r="F117" s="2116"/>
      <c r="G117" s="2117"/>
      <c r="H117" s="2117"/>
      <c r="I117" s="2118"/>
      <c r="J117" s="1589">
        <f>SUM(J116:J116)</f>
        <v>80441.100000000006</v>
      </c>
      <c r="L117" s="81"/>
      <c r="M117" s="1648"/>
      <c r="N117" s="1648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x14ac:dyDescent="0.25">
      <c r="E118" s="72"/>
      <c r="N118" s="1648"/>
    </row>
    <row r="119" spans="1:28" ht="33.75" hidden="1" customHeight="1" x14ac:dyDescent="0.25">
      <c r="A119" s="1943" t="s">
        <v>42</v>
      </c>
      <c r="B119" s="1943"/>
      <c r="C119" s="1943"/>
      <c r="D119" s="1943"/>
      <c r="E119" s="1943"/>
      <c r="F119" s="1943"/>
      <c r="G119" s="1943"/>
      <c r="H119" s="1943"/>
      <c r="I119" s="1943"/>
      <c r="J119" s="1943"/>
      <c r="K119" s="82"/>
      <c r="L119" s="1543"/>
      <c r="M119" s="1543"/>
      <c r="N119" s="1648"/>
    </row>
    <row r="120" spans="1:28" ht="34.5" hidden="1" customHeight="1" x14ac:dyDescent="0.25">
      <c r="A120" s="1943" t="s">
        <v>43</v>
      </c>
      <c r="B120" s="1943"/>
      <c r="C120" s="1943"/>
      <c r="D120" s="1943"/>
      <c r="E120" s="1943"/>
      <c r="F120" s="1943"/>
      <c r="G120" s="1943"/>
      <c r="H120" s="1943"/>
      <c r="I120" s="1943"/>
      <c r="J120" s="1943"/>
      <c r="K120" s="2121"/>
      <c r="L120" s="2121"/>
      <c r="M120" s="2121"/>
      <c r="N120" s="1648"/>
    </row>
    <row r="121" spans="1:28" hidden="1" x14ac:dyDescent="0.25">
      <c r="A121" s="1943" t="s">
        <v>45</v>
      </c>
      <c r="B121" s="1943"/>
      <c r="C121" s="1943"/>
      <c r="D121" s="1943"/>
      <c r="E121" s="1943"/>
      <c r="F121" s="1943"/>
      <c r="G121" s="1943"/>
      <c r="H121" s="1943"/>
      <c r="I121" s="1943"/>
      <c r="J121" s="1943"/>
      <c r="N121" s="1648"/>
    </row>
    <row r="122" spans="1:28" ht="45" hidden="1" customHeight="1" x14ac:dyDescent="0.25">
      <c r="A122" s="1943" t="s">
        <v>240</v>
      </c>
      <c r="B122" s="1943"/>
      <c r="C122" s="1943"/>
      <c r="D122" s="1943"/>
      <c r="E122" s="1943"/>
      <c r="F122" s="1943"/>
      <c r="G122" s="1943"/>
      <c r="H122" s="1943"/>
      <c r="I122" s="1943"/>
      <c r="J122" s="1943"/>
      <c r="K122" s="2121"/>
      <c r="L122" s="2121"/>
      <c r="M122" s="2121"/>
      <c r="N122" s="1648"/>
    </row>
    <row r="123" spans="1:28" ht="27" hidden="1" customHeight="1" x14ac:dyDescent="0.25">
      <c r="A123" s="2121" t="s">
        <v>316</v>
      </c>
      <c r="B123" s="2121"/>
      <c r="C123" s="2121"/>
      <c r="D123" s="2121"/>
      <c r="E123" s="2121"/>
      <c r="F123" s="2121"/>
      <c r="G123" s="2121"/>
      <c r="H123" s="2121"/>
      <c r="I123" s="2121"/>
      <c r="J123" s="2121"/>
      <c r="M123" s="355"/>
      <c r="N123" s="1648"/>
    </row>
    <row r="124" spans="1:28" x14ac:dyDescent="0.25">
      <c r="A124" s="1645" t="s">
        <v>147</v>
      </c>
      <c r="B124" s="1645"/>
      <c r="C124" s="1645"/>
      <c r="D124" s="1645"/>
      <c r="E124" s="86" t="s">
        <v>72</v>
      </c>
      <c r="J124" s="85">
        <f>J126+J135+J166</f>
        <v>68156644.810000002</v>
      </c>
      <c r="M124" s="355"/>
      <c r="N124" s="1648"/>
    </row>
    <row r="125" spans="1:28" s="75" customFormat="1" x14ac:dyDescent="0.25">
      <c r="A125" s="72"/>
      <c r="B125" s="72"/>
      <c r="C125" s="72"/>
      <c r="D125" s="72"/>
      <c r="E125" s="72"/>
      <c r="F125" s="72"/>
      <c r="G125" s="72"/>
      <c r="H125" s="74"/>
      <c r="I125" s="78"/>
      <c r="J125" s="78"/>
      <c r="K125" s="83"/>
      <c r="L125" s="79"/>
      <c r="M125" s="355"/>
      <c r="N125" s="1648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7.25" hidden="1" customHeight="1" x14ac:dyDescent="0.25">
      <c r="A126" s="1645" t="s">
        <v>63</v>
      </c>
      <c r="E126" s="71" t="s">
        <v>106</v>
      </c>
      <c r="G126" s="60"/>
      <c r="H126" s="90"/>
      <c r="I126" s="60"/>
      <c r="J126" s="85">
        <f>J127</f>
        <v>0</v>
      </c>
      <c r="K126" s="1648"/>
      <c r="L126" s="1648"/>
      <c r="M126" s="355">
        <v>6</v>
      </c>
      <c r="N126" s="1648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7.25" hidden="1" customHeight="1" x14ac:dyDescent="0.25">
      <c r="A127" s="1645" t="s">
        <v>26</v>
      </c>
      <c r="E127" s="71" t="s">
        <v>624</v>
      </c>
      <c r="G127" s="60"/>
      <c r="H127" s="90"/>
      <c r="I127" s="60"/>
      <c r="J127" s="85">
        <f>J134</f>
        <v>0</v>
      </c>
      <c r="K127" s="1648"/>
      <c r="L127" s="1648"/>
      <c r="M127" s="355">
        <v>5</v>
      </c>
      <c r="N127" s="1648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7.25" hidden="1" customHeight="1" x14ac:dyDescent="0.25">
      <c r="A128" s="1645" t="s">
        <v>27</v>
      </c>
      <c r="E128" s="71" t="s">
        <v>91</v>
      </c>
      <c r="G128" s="60"/>
      <c r="H128" s="90"/>
      <c r="I128" s="60"/>
      <c r="J128" s="60"/>
      <c r="K128" s="1648"/>
      <c r="L128" s="1648"/>
      <c r="M128" s="355">
        <v>4</v>
      </c>
      <c r="N128" s="1648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17.25" hidden="1" customHeight="1" x14ac:dyDescent="0.25">
      <c r="A129" s="1645"/>
      <c r="E129" s="71"/>
      <c r="G129" s="60"/>
      <c r="H129" s="90"/>
      <c r="I129" s="60"/>
      <c r="J129" s="60"/>
      <c r="K129" s="1648"/>
      <c r="L129" s="1648"/>
      <c r="M129" s="355">
        <v>3</v>
      </c>
      <c r="N129" s="1648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7.25" hidden="1" customHeight="1" x14ac:dyDescent="0.25">
      <c r="A130" s="1644" t="s">
        <v>48</v>
      </c>
      <c r="G130" s="60"/>
      <c r="H130" s="90"/>
      <c r="I130" s="60"/>
      <c r="J130" s="60"/>
      <c r="K130" s="1648"/>
      <c r="L130" s="1648"/>
      <c r="M130" s="355">
        <v>2</v>
      </c>
      <c r="N130" s="1648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17.25" hidden="1" customHeight="1" x14ac:dyDescent="0.25">
      <c r="A131" s="2052" t="s">
        <v>8</v>
      </c>
      <c r="B131" s="1914" t="s">
        <v>35</v>
      </c>
      <c r="C131" s="1916"/>
      <c r="D131" s="1915"/>
      <c r="E131" s="1915"/>
      <c r="F131" s="1915"/>
      <c r="G131" s="1915"/>
      <c r="H131" s="2113"/>
      <c r="I131" s="1960"/>
      <c r="J131" s="1582" t="s">
        <v>735</v>
      </c>
      <c r="L131" s="1648"/>
      <c r="M131" s="355">
        <v>1</v>
      </c>
      <c r="N131" s="1648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17.25" hidden="1" customHeight="1" x14ac:dyDescent="0.25">
      <c r="A132" s="2053"/>
      <c r="B132" s="1918"/>
      <c r="C132" s="1919"/>
      <c r="D132" s="1919"/>
      <c r="E132" s="1919"/>
      <c r="F132" s="1919"/>
      <c r="G132" s="1919"/>
      <c r="H132" s="1961"/>
      <c r="I132" s="1962"/>
      <c r="J132" s="1588" t="s">
        <v>256</v>
      </c>
      <c r="K132" s="1648"/>
      <c r="L132" s="1648"/>
      <c r="M132" s="355">
        <v>0</v>
      </c>
      <c r="N132" s="1648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17.25" hidden="1" customHeight="1" x14ac:dyDescent="0.25">
      <c r="A133" s="1630">
        <v>1</v>
      </c>
      <c r="B133" s="1921" t="s">
        <v>279</v>
      </c>
      <c r="C133" s="2006"/>
      <c r="D133" s="1922"/>
      <c r="E133" s="1922"/>
      <c r="F133" s="1922"/>
      <c r="G133" s="1922"/>
      <c r="H133" s="2114"/>
      <c r="I133" s="2115"/>
      <c r="J133" s="1588"/>
      <c r="K133" s="1648"/>
      <c r="L133" s="1648"/>
      <c r="M133" s="355">
        <v>-1</v>
      </c>
      <c r="N133" s="1648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idden="1" x14ac:dyDescent="0.25">
      <c r="A134" s="1944" t="s">
        <v>39</v>
      </c>
      <c r="B134" s="2116"/>
      <c r="C134" s="1945"/>
      <c r="D134" s="2116"/>
      <c r="E134" s="2116"/>
      <c r="F134" s="2116"/>
      <c r="G134" s="2116"/>
      <c r="H134" s="2117"/>
      <c r="I134" s="2118"/>
      <c r="J134" s="1589">
        <f>SUM(J133:J133)</f>
        <v>0</v>
      </c>
      <c r="L134" s="81"/>
      <c r="M134" s="355">
        <v>-2</v>
      </c>
      <c r="N134" s="1648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x14ac:dyDescent="0.25">
      <c r="A135" s="1645" t="s">
        <v>63</v>
      </c>
      <c r="D135" s="61"/>
      <c r="E135" s="71" t="s">
        <v>74</v>
      </c>
      <c r="J135" s="99">
        <f>J155+J137</f>
        <v>68132351.599999994</v>
      </c>
      <c r="M135" s="355"/>
      <c r="N135" s="1648"/>
    </row>
    <row r="136" spans="1:28" x14ac:dyDescent="0.25">
      <c r="A136" s="1645"/>
      <c r="D136" s="61"/>
      <c r="E136" s="71"/>
      <c r="J136" s="99"/>
      <c r="M136" s="355"/>
      <c r="N136" s="1648"/>
    </row>
    <row r="137" spans="1:28" x14ac:dyDescent="0.25">
      <c r="A137" s="1645" t="s">
        <v>26</v>
      </c>
      <c r="E137" s="71" t="s">
        <v>624</v>
      </c>
      <c r="G137" s="60"/>
      <c r="H137" s="90"/>
      <c r="I137" s="60"/>
      <c r="J137" s="85">
        <f>J143+J153</f>
        <v>1016112.95</v>
      </c>
      <c r="M137" s="355"/>
      <c r="N137" s="1648"/>
    </row>
    <row r="138" spans="1:28" x14ac:dyDescent="0.25">
      <c r="A138" s="1645" t="s">
        <v>27</v>
      </c>
      <c r="E138" s="71" t="s">
        <v>2068</v>
      </c>
      <c r="G138" s="60"/>
      <c r="H138" s="90"/>
      <c r="I138" s="60"/>
      <c r="J138" s="85">
        <f>J143</f>
        <v>209781.68</v>
      </c>
      <c r="M138" s="355"/>
      <c r="N138" s="1648"/>
    </row>
    <row r="139" spans="1:28" x14ac:dyDescent="0.25">
      <c r="A139" s="745" t="s">
        <v>317</v>
      </c>
      <c r="G139" s="60"/>
      <c r="H139" s="90"/>
      <c r="I139" s="60"/>
      <c r="J139" s="60"/>
      <c r="M139" s="355"/>
      <c r="N139" s="1648"/>
    </row>
    <row r="140" spans="1:28" x14ac:dyDescent="0.25">
      <c r="A140" s="1926" t="s">
        <v>8</v>
      </c>
      <c r="B140" s="1926" t="s">
        <v>35</v>
      </c>
      <c r="C140" s="2046"/>
      <c r="D140" s="2046"/>
      <c r="E140" s="2046"/>
      <c r="F140" s="2046"/>
      <c r="G140" s="2046"/>
      <c r="H140" s="2122" t="s">
        <v>1827</v>
      </c>
      <c r="I140" s="1927"/>
      <c r="J140" s="1927"/>
      <c r="M140" s="355"/>
      <c r="N140" s="1648"/>
    </row>
    <row r="141" spans="1:28" ht="60" x14ac:dyDescent="0.25">
      <c r="A141" s="2046"/>
      <c r="B141" s="2046"/>
      <c r="C141" s="2046"/>
      <c r="D141" s="2046"/>
      <c r="E141" s="2046"/>
      <c r="F141" s="2046"/>
      <c r="G141" s="2046"/>
      <c r="H141" s="1617" t="s">
        <v>260</v>
      </c>
      <c r="I141" s="1617" t="s">
        <v>53</v>
      </c>
      <c r="J141" s="1581" t="s">
        <v>256</v>
      </c>
      <c r="M141" s="355"/>
      <c r="N141" s="1648"/>
    </row>
    <row r="142" spans="1:28" x14ac:dyDescent="0.25">
      <c r="A142" s="1630">
        <v>1</v>
      </c>
      <c r="B142" s="705" t="s">
        <v>732</v>
      </c>
      <c r="C142" s="705"/>
      <c r="D142" s="705"/>
      <c r="E142" s="705"/>
      <c r="F142" s="705"/>
      <c r="G142" s="705"/>
      <c r="H142" s="1675">
        <f>J98*16%</f>
        <v>694641.31</v>
      </c>
      <c r="I142" s="1676">
        <v>0.30199999999999999</v>
      </c>
      <c r="J142" s="1617">
        <f>H142*I142</f>
        <v>209781.68</v>
      </c>
      <c r="M142" s="355"/>
      <c r="N142" s="1648"/>
    </row>
    <row r="143" spans="1:28" x14ac:dyDescent="0.25">
      <c r="A143" s="1895" t="s">
        <v>39</v>
      </c>
      <c r="B143" s="1895"/>
      <c r="C143" s="1895"/>
      <c r="D143" s="1895"/>
      <c r="E143" s="1895"/>
      <c r="F143" s="1895"/>
      <c r="G143" s="1895"/>
      <c r="H143" s="1895"/>
      <c r="I143" s="1895"/>
      <c r="J143" s="1589">
        <f>SUM(J142:J142)</f>
        <v>209781.68</v>
      </c>
      <c r="K143" s="344">
        <v>0</v>
      </c>
      <c r="L143" s="81">
        <f>J143-K143</f>
        <v>209781.68</v>
      </c>
      <c r="M143" s="355"/>
    </row>
    <row r="144" spans="1:28" x14ac:dyDescent="0.25">
      <c r="A144" s="63"/>
      <c r="B144" s="63"/>
      <c r="C144" s="63"/>
      <c r="D144" s="63"/>
      <c r="E144" s="63"/>
      <c r="F144" s="63"/>
      <c r="G144" s="63"/>
      <c r="H144" s="63"/>
      <c r="I144" s="63"/>
      <c r="J144" s="64"/>
      <c r="K144" s="344"/>
      <c r="L144" s="81"/>
      <c r="M144" s="355"/>
    </row>
    <row r="145" spans="1:31" x14ac:dyDescent="0.25">
      <c r="A145" s="1645" t="s">
        <v>27</v>
      </c>
      <c r="E145" s="71" t="s">
        <v>1830</v>
      </c>
      <c r="G145" s="60"/>
      <c r="H145" s="90"/>
      <c r="I145" s="60"/>
      <c r="J145" s="85">
        <f>J153</f>
        <v>806331.27</v>
      </c>
      <c r="M145" s="355"/>
      <c r="N145" s="1648"/>
    </row>
    <row r="146" spans="1:31" x14ac:dyDescent="0.25">
      <c r="A146" s="745" t="s">
        <v>317</v>
      </c>
      <c r="C146" s="73"/>
      <c r="D146" s="73"/>
      <c r="E146" s="72"/>
      <c r="L146" s="970"/>
      <c r="M146" s="1330"/>
      <c r="N146" s="1593"/>
      <c r="O146" s="1593"/>
      <c r="P146" s="972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5"/>
      <c r="AE146" s="75"/>
    </row>
    <row r="147" spans="1:31" x14ac:dyDescent="0.25">
      <c r="A147" s="1926" t="s">
        <v>8</v>
      </c>
      <c r="B147" s="1956" t="s">
        <v>35</v>
      </c>
      <c r="C147" s="1916"/>
      <c r="D147" s="1916"/>
      <c r="E147" s="1916"/>
      <c r="F147" s="1916"/>
      <c r="G147" s="1957"/>
      <c r="H147" s="2045" t="s">
        <v>1834</v>
      </c>
      <c r="I147" s="2045"/>
      <c r="J147" s="2045"/>
      <c r="L147" s="970"/>
      <c r="M147" s="970"/>
      <c r="N147" s="1593"/>
      <c r="O147" s="1593"/>
      <c r="P147" s="972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5"/>
      <c r="AE147" s="75"/>
    </row>
    <row r="148" spans="1:31" ht="60" x14ac:dyDescent="0.25">
      <c r="A148" s="1926"/>
      <c r="B148" s="1918"/>
      <c r="C148" s="1919"/>
      <c r="D148" s="1919"/>
      <c r="E148" s="1919"/>
      <c r="F148" s="1919"/>
      <c r="G148" s="1920"/>
      <c r="H148" s="1617" t="s">
        <v>260</v>
      </c>
      <c r="I148" s="1617" t="s">
        <v>53</v>
      </c>
      <c r="J148" s="1617" t="s">
        <v>261</v>
      </c>
      <c r="L148" s="970"/>
      <c r="M148" s="970"/>
      <c r="N148" s="1593"/>
      <c r="O148" s="1593"/>
      <c r="P148" s="972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5"/>
      <c r="AE148" s="75"/>
    </row>
    <row r="149" spans="1:31" x14ac:dyDescent="0.25">
      <c r="A149" s="1331">
        <v>1</v>
      </c>
      <c r="B149" s="2049" t="s">
        <v>1606</v>
      </c>
      <c r="C149" s="2050"/>
      <c r="D149" s="2050"/>
      <c r="E149" s="2050"/>
      <c r="F149" s="2050"/>
      <c r="G149" s="2051"/>
      <c r="H149" s="1675" t="s">
        <v>82</v>
      </c>
      <c r="I149" s="1676" t="s">
        <v>82</v>
      </c>
      <c r="J149" s="1532">
        <f>J150</f>
        <v>800991.33</v>
      </c>
      <c r="L149" s="970"/>
      <c r="M149" s="970"/>
      <c r="N149" s="79"/>
      <c r="O149" s="79"/>
      <c r="P149" s="972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5"/>
      <c r="AE149" s="75"/>
    </row>
    <row r="150" spans="1:31" ht="43.5" customHeight="1" x14ac:dyDescent="0.25">
      <c r="A150" s="1332" t="s">
        <v>1607</v>
      </c>
      <c r="B150" s="1929" t="s">
        <v>1608</v>
      </c>
      <c r="C150" s="1930"/>
      <c r="D150" s="1930"/>
      <c r="E150" s="1930"/>
      <c r="F150" s="1930"/>
      <c r="G150" s="1930"/>
      <c r="H150" s="1675">
        <f>J44</f>
        <v>2669971.1</v>
      </c>
      <c r="I150" s="1676">
        <v>0.3</v>
      </c>
      <c r="J150" s="1617">
        <f>H150*I150</f>
        <v>800991.33</v>
      </c>
      <c r="L150" s="970"/>
      <c r="M150" s="970"/>
      <c r="N150" s="79"/>
      <c r="O150" s="79"/>
      <c r="P150" s="972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5"/>
      <c r="AE150" s="75"/>
    </row>
    <row r="151" spans="1:31" ht="30.75" customHeight="1" x14ac:dyDescent="0.25">
      <c r="A151" s="1332" t="s">
        <v>281</v>
      </c>
      <c r="B151" s="2055" t="s">
        <v>1609</v>
      </c>
      <c r="C151" s="2056"/>
      <c r="D151" s="2056"/>
      <c r="E151" s="2056"/>
      <c r="F151" s="2056"/>
      <c r="G151" s="2056"/>
      <c r="H151" s="1675" t="s">
        <v>82</v>
      </c>
      <c r="I151" s="1676" t="s">
        <v>82</v>
      </c>
      <c r="J151" s="1532">
        <f>J152</f>
        <v>5339.94</v>
      </c>
      <c r="L151" s="970"/>
      <c r="M151" s="970"/>
      <c r="N151" s="79"/>
      <c r="O151" s="79"/>
      <c r="P151" s="972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5"/>
      <c r="AE151" s="75"/>
    </row>
    <row r="152" spans="1:31" ht="45.75" customHeight="1" x14ac:dyDescent="0.25">
      <c r="A152" s="1332" t="s">
        <v>1607</v>
      </c>
      <c r="B152" s="1929" t="s">
        <v>1610</v>
      </c>
      <c r="C152" s="1930"/>
      <c r="D152" s="1930"/>
      <c r="E152" s="1930"/>
      <c r="F152" s="1930"/>
      <c r="G152" s="1930"/>
      <c r="H152" s="1675">
        <f>H150</f>
        <v>2669971.1</v>
      </c>
      <c r="I152" s="1676">
        <v>2E-3</v>
      </c>
      <c r="J152" s="1617">
        <f>H152*I152</f>
        <v>5339.94</v>
      </c>
      <c r="L152" s="970"/>
      <c r="M152" s="970"/>
      <c r="N152" s="79"/>
      <c r="O152" s="79"/>
      <c r="P152" s="972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5"/>
      <c r="AE152" s="75"/>
    </row>
    <row r="153" spans="1:31" x14ac:dyDescent="0.25">
      <c r="A153" s="2036" t="s">
        <v>39</v>
      </c>
      <c r="B153" s="2026"/>
      <c r="C153" s="2026"/>
      <c r="D153" s="2026"/>
      <c r="E153" s="2026"/>
      <c r="F153" s="2026"/>
      <c r="G153" s="2026"/>
      <c r="H153" s="2026"/>
      <c r="I153" s="2027"/>
      <c r="J153" s="1192">
        <f>J149+J151</f>
        <v>806331.27</v>
      </c>
      <c r="K153" s="344">
        <v>0</v>
      </c>
      <c r="L153" s="972">
        <f>J153-K153</f>
        <v>806331.27</v>
      </c>
      <c r="M153" s="1328"/>
      <c r="N153" s="1334"/>
      <c r="O153" s="1593"/>
      <c r="P153" s="970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5"/>
      <c r="AE153" s="75"/>
    </row>
    <row r="154" spans="1:31" x14ac:dyDescent="0.25">
      <c r="A154" s="63"/>
      <c r="B154" s="63"/>
      <c r="C154" s="63"/>
      <c r="D154" s="63"/>
      <c r="E154" s="63"/>
      <c r="F154" s="63"/>
      <c r="G154" s="63"/>
      <c r="H154" s="63"/>
      <c r="I154" s="63"/>
      <c r="J154" s="64"/>
      <c r="K154" s="344"/>
      <c r="L154" s="81"/>
      <c r="M154" s="355"/>
    </row>
    <row r="155" spans="1:31" x14ac:dyDescent="0.25">
      <c r="A155" s="1645" t="s">
        <v>26</v>
      </c>
      <c r="D155" s="61"/>
      <c r="E155" s="71" t="s">
        <v>626</v>
      </c>
      <c r="J155" s="85">
        <f>J164</f>
        <v>67116238.650000006</v>
      </c>
      <c r="M155" s="355"/>
    </row>
    <row r="156" spans="1:31" x14ac:dyDescent="0.25">
      <c r="A156" s="1645" t="s">
        <v>27</v>
      </c>
      <c r="D156" s="61"/>
      <c r="E156" s="71" t="s">
        <v>67</v>
      </c>
    </row>
    <row r="157" spans="1:31" x14ac:dyDescent="0.25">
      <c r="A157" s="745" t="s">
        <v>317</v>
      </c>
      <c r="D157" s="73"/>
      <c r="E157" s="72"/>
    </row>
    <row r="158" spans="1:31" ht="15" customHeight="1" x14ac:dyDescent="0.25">
      <c r="A158" s="1926" t="s">
        <v>8</v>
      </c>
      <c r="B158" s="1956" t="s">
        <v>35</v>
      </c>
      <c r="C158" s="1916"/>
      <c r="D158" s="1916"/>
      <c r="E158" s="1916"/>
      <c r="F158" s="1916"/>
      <c r="G158" s="1957"/>
      <c r="H158" s="2045" t="s">
        <v>1834</v>
      </c>
      <c r="I158" s="2045"/>
      <c r="J158" s="2045"/>
    </row>
    <row r="159" spans="1:31" ht="64.5" customHeight="1" x14ac:dyDescent="0.25">
      <c r="A159" s="1926"/>
      <c r="B159" s="1918"/>
      <c r="C159" s="1919"/>
      <c r="D159" s="1919"/>
      <c r="E159" s="1919"/>
      <c r="F159" s="1919"/>
      <c r="G159" s="1920"/>
      <c r="H159" s="1617" t="s">
        <v>260</v>
      </c>
      <c r="I159" s="1617" t="s">
        <v>53</v>
      </c>
      <c r="J159" s="1617" t="s">
        <v>261</v>
      </c>
    </row>
    <row r="160" spans="1:31" x14ac:dyDescent="0.25">
      <c r="A160" s="1331">
        <v>1</v>
      </c>
      <c r="B160" s="2049" t="s">
        <v>1606</v>
      </c>
      <c r="C160" s="2050"/>
      <c r="D160" s="2050"/>
      <c r="E160" s="2050"/>
      <c r="F160" s="2050"/>
      <c r="G160" s="2051"/>
      <c r="H160" s="1675" t="s">
        <v>82</v>
      </c>
      <c r="I160" s="1676" t="s">
        <v>82</v>
      </c>
      <c r="J160" s="1532">
        <f>J161</f>
        <v>66671760.25</v>
      </c>
    </row>
    <row r="161" spans="1:28" ht="43.5" customHeight="1" x14ac:dyDescent="0.25">
      <c r="A161" s="1331" t="s">
        <v>1607</v>
      </c>
      <c r="B161" s="1929" t="s">
        <v>1608</v>
      </c>
      <c r="C161" s="1930"/>
      <c r="D161" s="1930"/>
      <c r="E161" s="1930"/>
      <c r="F161" s="1930"/>
      <c r="G161" s="1930"/>
      <c r="H161" s="1675">
        <f>J57</f>
        <v>222239200.81999999</v>
      </c>
      <c r="I161" s="1676">
        <v>0.3</v>
      </c>
      <c r="J161" s="1617">
        <f>H161*I161</f>
        <v>66671760.25</v>
      </c>
    </row>
    <row r="162" spans="1:28" ht="28.5" customHeight="1" x14ac:dyDescent="0.25">
      <c r="A162" s="1331" t="s">
        <v>281</v>
      </c>
      <c r="B162" s="2055" t="s">
        <v>1609</v>
      </c>
      <c r="C162" s="2056"/>
      <c r="D162" s="2056"/>
      <c r="E162" s="2056"/>
      <c r="F162" s="2056"/>
      <c r="G162" s="2056"/>
      <c r="H162" s="1675" t="s">
        <v>82</v>
      </c>
      <c r="I162" s="1676" t="s">
        <v>82</v>
      </c>
      <c r="J162" s="1532">
        <f>J163</f>
        <v>444478.4</v>
      </c>
    </row>
    <row r="163" spans="1:28" ht="45" customHeight="1" x14ac:dyDescent="0.25">
      <c r="A163" s="1331" t="s">
        <v>1607</v>
      </c>
      <c r="B163" s="1929" t="s">
        <v>1610</v>
      </c>
      <c r="C163" s="1930"/>
      <c r="D163" s="1930"/>
      <c r="E163" s="1930"/>
      <c r="F163" s="1930"/>
      <c r="G163" s="1930"/>
      <c r="H163" s="1675">
        <f>H161</f>
        <v>222239200.81999999</v>
      </c>
      <c r="I163" s="1676">
        <v>2E-3</v>
      </c>
      <c r="J163" s="1617">
        <f>H163*I163</f>
        <v>444478.4</v>
      </c>
    </row>
    <row r="164" spans="1:28" x14ac:dyDescent="0.25">
      <c r="A164" s="2059" t="s">
        <v>39</v>
      </c>
      <c r="B164" s="2060"/>
      <c r="C164" s="2060"/>
      <c r="D164" s="2060"/>
      <c r="E164" s="2060"/>
      <c r="F164" s="2060"/>
      <c r="G164" s="2061"/>
      <c r="H164" s="2061" t="s">
        <v>5</v>
      </c>
      <c r="I164" s="2062" t="s">
        <v>5</v>
      </c>
      <c r="J164" s="1192">
        <f>J160+J162</f>
        <v>67116238.650000006</v>
      </c>
      <c r="K164" s="347">
        <v>144.47999999999999</v>
      </c>
      <c r="L164" s="81">
        <f>J164-K164</f>
        <v>67116094.170000002</v>
      </c>
      <c r="M164" s="1748"/>
      <c r="N164" s="1749"/>
    </row>
    <row r="165" spans="1:28" x14ac:dyDescent="0.25">
      <c r="M165" s="1750"/>
      <c r="N165" s="1749"/>
    </row>
    <row r="166" spans="1:28" x14ac:dyDescent="0.25">
      <c r="A166" s="1645" t="s">
        <v>63</v>
      </c>
      <c r="E166" s="71" t="s">
        <v>106</v>
      </c>
      <c r="G166" s="60"/>
      <c r="H166" s="90"/>
      <c r="I166" s="60"/>
      <c r="J166" s="85">
        <f>J167</f>
        <v>24293.21</v>
      </c>
      <c r="L166" s="1648"/>
      <c r="M166" s="1648"/>
      <c r="N166" s="1648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x14ac:dyDescent="0.25">
      <c r="A167" s="1645" t="s">
        <v>26</v>
      </c>
      <c r="E167" s="71" t="s">
        <v>624</v>
      </c>
      <c r="G167" s="60"/>
      <c r="H167" s="90"/>
      <c r="I167" s="60"/>
      <c r="J167" s="85">
        <f>J173</f>
        <v>24293.21</v>
      </c>
      <c r="K167" s="1648"/>
      <c r="L167" s="1648"/>
      <c r="M167" s="1648"/>
      <c r="N167" s="1648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7.25" customHeight="1" x14ac:dyDescent="0.25">
      <c r="A168" s="1645" t="s">
        <v>27</v>
      </c>
      <c r="E168" s="71" t="s">
        <v>1830</v>
      </c>
      <c r="G168" s="60"/>
      <c r="H168" s="90"/>
      <c r="I168" s="60"/>
      <c r="J168" s="60"/>
      <c r="K168" s="1648"/>
      <c r="L168" s="1648"/>
      <c r="M168" s="1648"/>
      <c r="N168" s="1648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17.25" customHeight="1" x14ac:dyDescent="0.25">
      <c r="A169" s="1644" t="s">
        <v>320</v>
      </c>
      <c r="G169" s="60"/>
      <c r="H169" s="90"/>
      <c r="I169" s="60"/>
      <c r="J169" s="60"/>
      <c r="K169" s="1648"/>
      <c r="L169" s="1648"/>
      <c r="M169" s="1648"/>
      <c r="N169" s="1648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15" customHeight="1" x14ac:dyDescent="0.25">
      <c r="A170" s="1898" t="s">
        <v>8</v>
      </c>
      <c r="B170" s="1956" t="s">
        <v>46</v>
      </c>
      <c r="C170" s="1959"/>
      <c r="D170" s="1959"/>
      <c r="E170" s="1959"/>
      <c r="F170" s="1959"/>
      <c r="G170" s="2044"/>
      <c r="H170" s="1990" t="s">
        <v>1827</v>
      </c>
      <c r="I170" s="1991"/>
      <c r="J170" s="1992"/>
      <c r="K170" s="344"/>
      <c r="L170" s="81"/>
      <c r="M170" s="355"/>
    </row>
    <row r="171" spans="1:28" ht="33" customHeight="1" x14ac:dyDescent="0.25">
      <c r="A171" s="1898"/>
      <c r="B171" s="2009"/>
      <c r="C171" s="1961"/>
      <c r="D171" s="1961"/>
      <c r="E171" s="1961"/>
      <c r="F171" s="1961"/>
      <c r="G171" s="1962"/>
      <c r="H171" s="1598" t="s">
        <v>262</v>
      </c>
      <c r="I171" s="1617" t="s">
        <v>50</v>
      </c>
      <c r="J171" s="1617" t="s">
        <v>261</v>
      </c>
      <c r="K171" s="344"/>
      <c r="L171" s="81"/>
      <c r="M171" s="355"/>
    </row>
    <row r="172" spans="1:28" x14ac:dyDescent="0.25">
      <c r="A172" s="62">
        <v>1</v>
      </c>
      <c r="B172" s="1129" t="s">
        <v>1494</v>
      </c>
      <c r="C172" s="1751"/>
      <c r="D172" s="1751"/>
      <c r="E172" s="1751"/>
      <c r="F172" s="1751"/>
      <c r="G172" s="1751"/>
      <c r="H172" s="1617">
        <f>J117</f>
        <v>80441.100000000006</v>
      </c>
      <c r="I172" s="1376">
        <v>30.2</v>
      </c>
      <c r="J172" s="1617">
        <f>H172*I172%</f>
        <v>24293.21</v>
      </c>
      <c r="K172" s="344"/>
      <c r="L172" s="81"/>
      <c r="M172" s="355"/>
    </row>
    <row r="173" spans="1:28" x14ac:dyDescent="0.25">
      <c r="A173" s="1944" t="s">
        <v>39</v>
      </c>
      <c r="B173" s="1911"/>
      <c r="C173" s="1911"/>
      <c r="D173" s="1911"/>
      <c r="E173" s="1911"/>
      <c r="F173" s="1911"/>
      <c r="G173" s="1911"/>
      <c r="H173" s="1911"/>
      <c r="I173" s="1912"/>
      <c r="J173" s="1589">
        <f>SUM(J172)</f>
        <v>24293.21</v>
      </c>
      <c r="K173" s="344"/>
      <c r="L173" s="81"/>
      <c r="M173" s="355"/>
    </row>
    <row r="174" spans="1:28" x14ac:dyDescent="0.25">
      <c r="M174" s="1750"/>
      <c r="N174" s="1749"/>
    </row>
    <row r="175" spans="1:28" x14ac:dyDescent="0.25">
      <c r="A175" s="1644" t="s">
        <v>51</v>
      </c>
      <c r="J175" s="69">
        <f>J177</f>
        <v>48476.76</v>
      </c>
    </row>
    <row r="177" spans="1:12" ht="19.5" customHeight="1" x14ac:dyDescent="0.25">
      <c r="A177" s="1645" t="s">
        <v>147</v>
      </c>
      <c r="B177" s="1645"/>
      <c r="C177" s="1645"/>
      <c r="D177" s="1645"/>
      <c r="E177" s="86" t="s">
        <v>1704</v>
      </c>
      <c r="J177" s="85">
        <f>J179</f>
        <v>48476.76</v>
      </c>
    </row>
    <row r="178" spans="1:12" x14ac:dyDescent="0.25">
      <c r="E178" s="72"/>
    </row>
    <row r="179" spans="1:12" x14ac:dyDescent="0.25">
      <c r="A179" s="1645" t="s">
        <v>63</v>
      </c>
      <c r="B179" s="1645"/>
      <c r="C179" s="1645"/>
      <c r="D179" s="61"/>
      <c r="E179" s="71" t="s">
        <v>90</v>
      </c>
      <c r="J179" s="85">
        <f>J180</f>
        <v>48476.76</v>
      </c>
    </row>
    <row r="180" spans="1:12" x14ac:dyDescent="0.25">
      <c r="A180" s="1645" t="s">
        <v>26</v>
      </c>
      <c r="B180" s="1645"/>
      <c r="C180" s="1645"/>
      <c r="D180" s="61"/>
      <c r="E180" s="71" t="s">
        <v>625</v>
      </c>
      <c r="J180" s="85">
        <f>J191</f>
        <v>48476.76</v>
      </c>
    </row>
    <row r="181" spans="1:12" x14ac:dyDescent="0.25">
      <c r="A181" s="1645" t="s">
        <v>27</v>
      </c>
      <c r="B181" s="1645"/>
      <c r="C181" s="1645"/>
      <c r="D181" s="61"/>
      <c r="E181" s="71" t="s">
        <v>1837</v>
      </c>
    </row>
    <row r="182" spans="1:12" ht="12.75" hidden="1" customHeight="1" x14ac:dyDescent="0.25">
      <c r="A182" s="1644" t="s">
        <v>1153</v>
      </c>
    </row>
    <row r="183" spans="1:12" ht="19.5" hidden="1" customHeight="1" x14ac:dyDescent="0.25">
      <c r="A183" s="2052" t="s">
        <v>8</v>
      </c>
      <c r="B183" s="2057" t="s">
        <v>35</v>
      </c>
      <c r="C183" s="1964"/>
      <c r="D183" s="2058"/>
      <c r="E183" s="2058"/>
      <c r="F183" s="1898" t="s">
        <v>735</v>
      </c>
      <c r="G183" s="1898"/>
      <c r="H183" s="1898"/>
      <c r="I183" s="1898"/>
      <c r="J183" s="1898"/>
    </row>
    <row r="184" spans="1:12" ht="47.25" hidden="1" customHeight="1" x14ac:dyDescent="0.25">
      <c r="A184" s="2053"/>
      <c r="B184" s="1965"/>
      <c r="C184" s="1966"/>
      <c r="D184" s="1966"/>
      <c r="E184" s="1966"/>
      <c r="F184" s="1977" t="s">
        <v>263</v>
      </c>
      <c r="G184" s="1979"/>
      <c r="H184" s="1588" t="s">
        <v>255</v>
      </c>
      <c r="I184" s="1588" t="s">
        <v>627</v>
      </c>
      <c r="J184" s="1588" t="s">
        <v>256</v>
      </c>
    </row>
    <row r="185" spans="1:12" ht="30.75" hidden="1" customHeight="1" x14ac:dyDescent="0.25">
      <c r="A185" s="1581">
        <v>1</v>
      </c>
      <c r="B185" s="2094" t="s">
        <v>695</v>
      </c>
      <c r="C185" s="2006"/>
      <c r="D185" s="1922"/>
      <c r="E185" s="1922"/>
      <c r="F185" s="1954"/>
      <c r="G185" s="1954"/>
      <c r="H185" s="1588"/>
      <c r="I185" s="59"/>
      <c r="J185" s="1588">
        <f>F185*H185*I185</f>
        <v>0</v>
      </c>
    </row>
    <row r="186" spans="1:12" ht="13.5" hidden="1" customHeight="1" x14ac:dyDescent="0.25">
      <c r="A186" s="2095" t="s">
        <v>39</v>
      </c>
      <c r="B186" s="1947"/>
      <c r="C186" s="2096"/>
      <c r="D186" s="1947"/>
      <c r="E186" s="1947"/>
      <c r="F186" s="1955" t="s">
        <v>5</v>
      </c>
      <c r="G186" s="1955"/>
      <c r="H186" s="1589" t="s">
        <v>5</v>
      </c>
      <c r="I186" s="1589" t="s">
        <v>5</v>
      </c>
      <c r="J186" s="1589">
        <f>SUM(J183:J185)</f>
        <v>0</v>
      </c>
    </row>
    <row r="187" spans="1:12" x14ac:dyDescent="0.25">
      <c r="A187" s="1644" t="s">
        <v>1153</v>
      </c>
    </row>
    <row r="188" spans="1:12" x14ac:dyDescent="0.25">
      <c r="A188" s="1926" t="s">
        <v>8</v>
      </c>
      <c r="B188" s="2045" t="s">
        <v>35</v>
      </c>
      <c r="C188" s="2046"/>
      <c r="D188" s="2046"/>
      <c r="E188" s="2046"/>
      <c r="F188" s="2046"/>
      <c r="G188" s="1926" t="s">
        <v>1827</v>
      </c>
      <c r="H188" s="1927"/>
      <c r="I188" s="1927"/>
      <c r="J188" s="1927"/>
    </row>
    <row r="189" spans="1:12" ht="75" x14ac:dyDescent="0.25">
      <c r="A189" s="2046"/>
      <c r="B189" s="2046"/>
      <c r="C189" s="2046"/>
      <c r="D189" s="2046"/>
      <c r="E189" s="2046"/>
      <c r="F189" s="2046"/>
      <c r="G189" s="1547" t="s">
        <v>1604</v>
      </c>
      <c r="H189" s="1598" t="s">
        <v>276</v>
      </c>
      <c r="I189" s="1598" t="s">
        <v>36</v>
      </c>
      <c r="J189" s="1588" t="s">
        <v>256</v>
      </c>
    </row>
    <row r="190" spans="1:12" ht="30" customHeight="1" x14ac:dyDescent="0.25">
      <c r="A190" s="1581">
        <v>1</v>
      </c>
      <c r="B190" s="2003" t="s">
        <v>1107</v>
      </c>
      <c r="C190" s="2047"/>
      <c r="D190" s="2047"/>
      <c r="E190" s="2047"/>
      <c r="F190" s="2048"/>
      <c r="G190" s="1142">
        <v>4039.73</v>
      </c>
      <c r="H190" s="1285">
        <v>4</v>
      </c>
      <c r="I190" s="1285">
        <v>3</v>
      </c>
      <c r="J190" s="1588">
        <f>G190*H190*I190</f>
        <v>48476.76</v>
      </c>
    </row>
    <row r="191" spans="1:12" x14ac:dyDescent="0.25">
      <c r="A191" s="1946" t="s">
        <v>39</v>
      </c>
      <c r="B191" s="1947"/>
      <c r="C191" s="2096"/>
      <c r="D191" s="1947"/>
      <c r="E191" s="1947"/>
      <c r="F191" s="1947"/>
      <c r="G191" s="1947"/>
      <c r="H191" s="1947"/>
      <c r="I191" s="1948"/>
      <c r="J191" s="1589">
        <f>SUM(J189:J190)</f>
        <v>48476.76</v>
      </c>
      <c r="K191" s="344">
        <v>0</v>
      </c>
      <c r="L191" s="81">
        <f>J191-K191</f>
        <v>48476.76</v>
      </c>
    </row>
    <row r="193" spans="1:28" x14ac:dyDescent="0.25">
      <c r="A193" s="1644" t="s">
        <v>52</v>
      </c>
      <c r="J193" s="69">
        <f>J195+J207</f>
        <v>19972284</v>
      </c>
    </row>
    <row r="194" spans="1:28" ht="10.5" customHeight="1" x14ac:dyDescent="0.25"/>
    <row r="195" spans="1:28" s="395" customFormat="1" ht="15.75" customHeight="1" x14ac:dyDescent="0.25">
      <c r="A195" s="1677" t="s">
        <v>147</v>
      </c>
      <c r="B195" s="1677"/>
      <c r="C195" s="1677"/>
      <c r="D195" s="1677"/>
      <c r="E195" s="1678" t="s">
        <v>1709</v>
      </c>
      <c r="F195" s="1679"/>
      <c r="G195" s="1679"/>
      <c r="H195" s="4"/>
      <c r="I195" s="1680"/>
      <c r="J195" s="1681">
        <f>J197</f>
        <v>19972284</v>
      </c>
      <c r="K195" s="1682"/>
      <c r="L195" s="1683"/>
      <c r="M195" s="1683"/>
      <c r="N195" s="1683"/>
      <c r="O195" s="1684"/>
      <c r="P195" s="1684"/>
      <c r="Q195" s="1684"/>
      <c r="R195" s="1684"/>
      <c r="S195" s="1684"/>
      <c r="T195" s="1684"/>
      <c r="U195" s="1684"/>
      <c r="V195" s="1684"/>
      <c r="W195" s="1684"/>
      <c r="X195" s="1684"/>
      <c r="Y195" s="1684"/>
      <c r="Z195" s="1684"/>
      <c r="AA195" s="1684"/>
      <c r="AB195" s="1684"/>
    </row>
    <row r="196" spans="1:28" ht="10.5" customHeight="1" x14ac:dyDescent="0.25">
      <c r="E196" s="72"/>
    </row>
    <row r="197" spans="1:28" x14ac:dyDescent="0.25">
      <c r="A197" s="1645" t="s">
        <v>63</v>
      </c>
      <c r="D197" s="75"/>
      <c r="E197" s="71" t="s">
        <v>75</v>
      </c>
      <c r="J197" s="99">
        <f>J198</f>
        <v>19972284</v>
      </c>
    </row>
    <row r="198" spans="1:28" x14ac:dyDescent="0.25">
      <c r="A198" s="1645" t="s">
        <v>26</v>
      </c>
      <c r="D198" s="75"/>
      <c r="E198" s="71" t="s">
        <v>624</v>
      </c>
      <c r="J198" s="85">
        <f>J205</f>
        <v>19972284</v>
      </c>
    </row>
    <row r="199" spans="1:28" x14ac:dyDescent="0.25">
      <c r="A199" s="1645" t="s">
        <v>27</v>
      </c>
      <c r="D199" s="75"/>
      <c r="E199" s="71" t="s">
        <v>1830</v>
      </c>
    </row>
    <row r="200" spans="1:28" ht="16.5" customHeight="1" x14ac:dyDescent="0.25">
      <c r="A200" s="1644" t="s">
        <v>1084</v>
      </c>
      <c r="E200" s="73"/>
    </row>
    <row r="201" spans="1:28" x14ac:dyDescent="0.25">
      <c r="A201" s="1898" t="s">
        <v>8</v>
      </c>
      <c r="B201" s="1898" t="s">
        <v>35</v>
      </c>
      <c r="C201" s="1898"/>
      <c r="D201" s="1898"/>
      <c r="E201" s="1898"/>
      <c r="F201" s="1898"/>
      <c r="G201" s="1898"/>
      <c r="H201" s="1899" t="s">
        <v>1827</v>
      </c>
      <c r="I201" s="1998"/>
      <c r="J201" s="1999"/>
    </row>
    <row r="202" spans="1:28" ht="60" customHeight="1" x14ac:dyDescent="0.25">
      <c r="A202" s="1898"/>
      <c r="B202" s="1898"/>
      <c r="C202" s="1898"/>
      <c r="D202" s="1898"/>
      <c r="E202" s="1898"/>
      <c r="F202" s="1898"/>
      <c r="G202" s="1898"/>
      <c r="H202" s="1581" t="s">
        <v>257</v>
      </c>
      <c r="I202" s="1588" t="s">
        <v>53</v>
      </c>
      <c r="J202" s="1588" t="s">
        <v>1612</v>
      </c>
    </row>
    <row r="203" spans="1:28" ht="15" customHeight="1" x14ac:dyDescent="0.25">
      <c r="A203" s="1630">
        <v>1</v>
      </c>
      <c r="B203" s="1986" t="s">
        <v>1835</v>
      </c>
      <c r="C203" s="1986"/>
      <c r="D203" s="1986"/>
      <c r="E203" s="1986"/>
      <c r="F203" s="1986"/>
      <c r="G203" s="1986"/>
      <c r="H203" s="1588">
        <v>226957773</v>
      </c>
      <c r="I203" s="1588">
        <v>2.2000000000000002</v>
      </c>
      <c r="J203" s="59">
        <f>H203*I203%</f>
        <v>4993071</v>
      </c>
      <c r="K203" s="344"/>
      <c r="L203" s="81"/>
    </row>
    <row r="204" spans="1:28" ht="15" customHeight="1" x14ac:dyDescent="0.25">
      <c r="A204" s="1630">
        <v>2</v>
      </c>
      <c r="B204" s="1986" t="s">
        <v>1836</v>
      </c>
      <c r="C204" s="1986"/>
      <c r="D204" s="1986"/>
      <c r="E204" s="1986"/>
      <c r="F204" s="1986"/>
      <c r="G204" s="1986"/>
      <c r="H204" s="1588">
        <v>680873318</v>
      </c>
      <c r="I204" s="1588">
        <v>2.2000000000000002</v>
      </c>
      <c r="J204" s="59">
        <f>H204*I204%</f>
        <v>14979213</v>
      </c>
      <c r="K204" s="344"/>
      <c r="L204" s="81"/>
      <c r="M204" s="81"/>
    </row>
    <row r="205" spans="1:28" x14ac:dyDescent="0.25">
      <c r="A205" s="1895" t="s">
        <v>39</v>
      </c>
      <c r="B205" s="1895"/>
      <c r="C205" s="1895"/>
      <c r="D205" s="1895"/>
      <c r="E205" s="1895"/>
      <c r="F205" s="1895"/>
      <c r="G205" s="1895"/>
      <c r="H205" s="1589" t="s">
        <v>5</v>
      </c>
      <c r="I205" s="1589" t="s">
        <v>5</v>
      </c>
      <c r="J205" s="1589">
        <f>SUM(J203:J204)</f>
        <v>19972284</v>
      </c>
      <c r="K205" s="718">
        <f>SUM(K203:K204)</f>
        <v>0</v>
      </c>
      <c r="L205" s="174">
        <f>J205-K205</f>
        <v>19972284</v>
      </c>
      <c r="M205" s="81"/>
    </row>
    <row r="206" spans="1:28" x14ac:dyDescent="0.25">
      <c r="A206" s="781"/>
      <c r="B206" s="781"/>
      <c r="C206" s="781"/>
      <c r="D206" s="781"/>
      <c r="E206" s="781"/>
      <c r="F206" s="781"/>
      <c r="G206" s="781"/>
      <c r="H206" s="781"/>
      <c r="I206" s="781"/>
      <c r="J206" s="782"/>
    </row>
    <row r="207" spans="1:28" hidden="1" x14ac:dyDescent="0.25">
      <c r="A207" s="1645" t="s">
        <v>147</v>
      </c>
      <c r="B207" s="1645"/>
      <c r="C207" s="1645"/>
      <c r="D207" s="1645"/>
      <c r="E207" s="86" t="s">
        <v>1710</v>
      </c>
      <c r="J207" s="85">
        <f>J209</f>
        <v>0</v>
      </c>
    </row>
    <row r="208" spans="1:28" hidden="1" x14ac:dyDescent="0.25">
      <c r="E208" s="72"/>
    </row>
    <row r="209" spans="1:28" hidden="1" x14ac:dyDescent="0.25">
      <c r="A209" s="1645" t="s">
        <v>63</v>
      </c>
      <c r="D209" s="75"/>
      <c r="E209" s="71" t="s">
        <v>75</v>
      </c>
      <c r="J209" s="99">
        <f>J210</f>
        <v>0</v>
      </c>
    </row>
    <row r="210" spans="1:28" hidden="1" x14ac:dyDescent="0.25">
      <c r="A210" s="1645" t="s">
        <v>26</v>
      </c>
      <c r="D210" s="75"/>
      <c r="E210" s="71" t="s">
        <v>624</v>
      </c>
      <c r="J210" s="85">
        <f>J217</f>
        <v>0</v>
      </c>
    </row>
    <row r="211" spans="1:28" hidden="1" x14ac:dyDescent="0.25">
      <c r="A211" s="1645" t="s">
        <v>27</v>
      </c>
      <c r="D211" s="75"/>
      <c r="E211" s="71" t="s">
        <v>1477</v>
      </c>
    </row>
    <row r="212" spans="1:28" ht="12.75" hidden="1" customHeight="1" x14ac:dyDescent="0.25">
      <c r="A212" s="1644" t="s">
        <v>1088</v>
      </c>
      <c r="D212" s="75"/>
      <c r="E212" s="71"/>
    </row>
    <row r="213" spans="1:28" ht="15" hidden="1" customHeight="1" x14ac:dyDescent="0.25">
      <c r="A213" s="1898" t="s">
        <v>8</v>
      </c>
      <c r="B213" s="1898" t="s">
        <v>35</v>
      </c>
      <c r="C213" s="1898"/>
      <c r="D213" s="1898"/>
      <c r="E213" s="1898"/>
      <c r="F213" s="1898"/>
      <c r="G213" s="1990" t="s">
        <v>1476</v>
      </c>
      <c r="H213" s="2026"/>
      <c r="I213" s="2026"/>
      <c r="J213" s="2027"/>
    </row>
    <row r="214" spans="1:28" ht="59.25" hidden="1" customHeight="1" x14ac:dyDescent="0.25">
      <c r="A214" s="1898"/>
      <c r="B214" s="1898"/>
      <c r="C214" s="1898"/>
      <c r="D214" s="1898"/>
      <c r="E214" s="1898"/>
      <c r="F214" s="1898"/>
      <c r="G214" s="1581" t="s">
        <v>1766</v>
      </c>
      <c r="H214" s="1581" t="s">
        <v>293</v>
      </c>
      <c r="I214" s="1588" t="s">
        <v>1768</v>
      </c>
      <c r="J214" s="1588" t="s">
        <v>1612</v>
      </c>
    </row>
    <row r="215" spans="1:28" ht="29.25" hidden="1" customHeight="1" x14ac:dyDescent="0.25">
      <c r="A215" s="1630">
        <v>1</v>
      </c>
      <c r="B215" s="2071" t="s">
        <v>338</v>
      </c>
      <c r="C215" s="2109"/>
      <c r="D215" s="2109"/>
      <c r="E215" s="2109"/>
      <c r="F215" s="2132"/>
      <c r="G215" s="59" t="s">
        <v>1765</v>
      </c>
      <c r="H215" s="1588"/>
      <c r="I215" s="59">
        <v>15</v>
      </c>
      <c r="J215" s="96">
        <f>(H215*I215)/12*9</f>
        <v>0</v>
      </c>
      <c r="K215" s="61"/>
    </row>
    <row r="216" spans="1:28" ht="30" hidden="1" x14ac:dyDescent="0.25">
      <c r="A216" s="1141">
        <v>2</v>
      </c>
      <c r="B216" s="2032"/>
      <c r="C216" s="2033"/>
      <c r="D216" s="2033"/>
      <c r="E216" s="2033"/>
      <c r="F216" s="2034"/>
      <c r="G216" s="59" t="s">
        <v>1767</v>
      </c>
      <c r="H216" s="1588"/>
      <c r="I216" s="59">
        <v>15</v>
      </c>
      <c r="J216" s="96">
        <f>(H216*I216)/12*2</f>
        <v>0</v>
      </c>
      <c r="K216" s="61"/>
    </row>
    <row r="217" spans="1:28" hidden="1" x14ac:dyDescent="0.25">
      <c r="A217" s="1895" t="s">
        <v>39</v>
      </c>
      <c r="B217" s="1895"/>
      <c r="C217" s="1895"/>
      <c r="D217" s="1895"/>
      <c r="E217" s="1895"/>
      <c r="F217" s="1895"/>
      <c r="G217" s="1895"/>
      <c r="H217" s="1589" t="s">
        <v>5</v>
      </c>
      <c r="I217" s="1589" t="s">
        <v>5</v>
      </c>
      <c r="J217" s="1589">
        <f>SUM(J215:J216)</f>
        <v>0</v>
      </c>
      <c r="K217" s="344"/>
      <c r="L217" s="81">
        <f>J217-K217</f>
        <v>0</v>
      </c>
    </row>
    <row r="218" spans="1:28" hidden="1" x14ac:dyDescent="0.25"/>
    <row r="219" spans="1:28" x14ac:dyDescent="0.25">
      <c r="A219" s="1644" t="s">
        <v>1229</v>
      </c>
      <c r="J219" s="69">
        <v>0</v>
      </c>
    </row>
    <row r="220" spans="1:28" x14ac:dyDescent="0.25">
      <c r="A220" s="1644" t="s">
        <v>1838</v>
      </c>
      <c r="J220" s="69">
        <v>0</v>
      </c>
    </row>
    <row r="221" spans="1:28" x14ac:dyDescent="0.25">
      <c r="A221" s="1644" t="s">
        <v>1839</v>
      </c>
      <c r="J221" s="69">
        <f>J223+J1099</f>
        <v>73297084.090000004</v>
      </c>
    </row>
    <row r="222" spans="1:28" ht="9" customHeight="1" x14ac:dyDescent="0.25"/>
    <row r="223" spans="1:28" s="395" customFormat="1" x14ac:dyDescent="0.25">
      <c r="A223" s="1677" t="s">
        <v>147</v>
      </c>
      <c r="B223" s="1677"/>
      <c r="C223" s="1677"/>
      <c r="D223" s="1677"/>
      <c r="E223" s="1678" t="s">
        <v>71</v>
      </c>
      <c r="F223" s="1679"/>
      <c r="G223" s="1679"/>
      <c r="H223" s="4"/>
      <c r="I223" s="1680"/>
      <c r="J223" s="1681">
        <f>J225+J263+J289+J472+J593+J617+J776+J815+J790+J766+J254+J1076</f>
        <v>58810212.43</v>
      </c>
      <c r="K223" s="341"/>
      <c r="L223" s="1685"/>
      <c r="M223" s="1684"/>
      <c r="N223" s="1683"/>
      <c r="O223" s="1684"/>
      <c r="P223" s="1684"/>
      <c r="Q223" s="1684"/>
      <c r="R223" s="1684"/>
      <c r="S223" s="1684"/>
      <c r="T223" s="1684"/>
      <c r="U223" s="1684"/>
      <c r="V223" s="1684"/>
      <c r="W223" s="1684"/>
      <c r="X223" s="1684"/>
      <c r="Y223" s="1684"/>
      <c r="Z223" s="1684"/>
      <c r="AA223" s="1684"/>
      <c r="AB223" s="1684"/>
    </row>
    <row r="224" spans="1:28" ht="9" customHeight="1" x14ac:dyDescent="0.25">
      <c r="E224" s="72"/>
      <c r="L224" s="108"/>
      <c r="N224" s="354"/>
    </row>
    <row r="225" spans="1:15" x14ac:dyDescent="0.25">
      <c r="A225" s="1645" t="s">
        <v>63</v>
      </c>
      <c r="B225" s="72"/>
      <c r="C225" s="72"/>
      <c r="D225" s="75"/>
      <c r="E225" s="71" t="s">
        <v>76</v>
      </c>
      <c r="J225" s="85">
        <f>J226</f>
        <v>102504</v>
      </c>
      <c r="L225" s="61"/>
      <c r="M225" s="81"/>
    </row>
    <row r="226" spans="1:15" x14ac:dyDescent="0.25">
      <c r="A226" s="1645" t="s">
        <v>26</v>
      </c>
      <c r="B226" s="72"/>
      <c r="C226" s="72"/>
      <c r="D226" s="75"/>
      <c r="E226" s="71" t="s">
        <v>624</v>
      </c>
      <c r="J226" s="85">
        <f>J227</f>
        <v>102504</v>
      </c>
      <c r="L226" s="81"/>
      <c r="M226" s="61"/>
    </row>
    <row r="227" spans="1:15" x14ac:dyDescent="0.25">
      <c r="A227" s="1645" t="s">
        <v>27</v>
      </c>
      <c r="B227" s="72"/>
      <c r="C227" s="72"/>
      <c r="D227" s="75"/>
      <c r="E227" s="71" t="s">
        <v>1830</v>
      </c>
      <c r="J227" s="85">
        <f>J234+J246</f>
        <v>102504</v>
      </c>
      <c r="K227" s="354"/>
      <c r="L227" s="1686"/>
      <c r="M227" s="99"/>
      <c r="N227" s="99"/>
      <c r="O227" s="99"/>
    </row>
    <row r="228" spans="1:15" x14ac:dyDescent="0.25">
      <c r="A228" s="1644" t="s">
        <v>307</v>
      </c>
      <c r="E228" s="72"/>
      <c r="K228" s="174"/>
    </row>
    <row r="229" spans="1:15" x14ac:dyDescent="0.25">
      <c r="A229" s="1898" t="s">
        <v>8</v>
      </c>
      <c r="B229" s="1898" t="s">
        <v>35</v>
      </c>
      <c r="C229" s="1898"/>
      <c r="D229" s="1898"/>
      <c r="E229" s="1898"/>
      <c r="F229" s="1898" t="s">
        <v>272</v>
      </c>
      <c r="G229" s="1899" t="s">
        <v>1827</v>
      </c>
      <c r="H229" s="1998"/>
      <c r="I229" s="1998"/>
      <c r="J229" s="1999"/>
      <c r="K229" s="81" t="s">
        <v>1478</v>
      </c>
    </row>
    <row r="230" spans="1:15" ht="33" customHeight="1" x14ac:dyDescent="0.25">
      <c r="A230" s="1898"/>
      <c r="B230" s="1898"/>
      <c r="C230" s="1898"/>
      <c r="D230" s="1898"/>
      <c r="E230" s="1898"/>
      <c r="F230" s="1898"/>
      <c r="G230" s="1581" t="s">
        <v>248</v>
      </c>
      <c r="H230" s="1581" t="s">
        <v>274</v>
      </c>
      <c r="I230" s="1588" t="s">
        <v>264</v>
      </c>
      <c r="J230" s="1588" t="s">
        <v>256</v>
      </c>
    </row>
    <row r="231" spans="1:15" ht="15.75" customHeight="1" x14ac:dyDescent="0.25">
      <c r="A231" s="1902" t="s">
        <v>1536</v>
      </c>
      <c r="B231" s="2104"/>
      <c r="C231" s="2105"/>
      <c r="D231" s="2104"/>
      <c r="E231" s="2104"/>
      <c r="F231" s="2104"/>
      <c r="G231" s="2104"/>
      <c r="H231" s="2104"/>
      <c r="I231" s="2104"/>
      <c r="J231" s="2106"/>
    </row>
    <row r="232" spans="1:15" ht="30.75" customHeight="1" x14ac:dyDescent="0.25">
      <c r="A232" s="1582">
        <v>1</v>
      </c>
      <c r="B232" s="2063" t="s">
        <v>1840</v>
      </c>
      <c r="C232" s="2064"/>
      <c r="D232" s="2065"/>
      <c r="E232" s="2065"/>
      <c r="F232" s="1581" t="s">
        <v>750</v>
      </c>
      <c r="G232" s="541">
        <v>1</v>
      </c>
      <c r="H232" s="1687">
        <f>12-5+1+1+3</f>
        <v>12</v>
      </c>
      <c r="I232" s="1595">
        <v>2592</v>
      </c>
      <c r="J232" s="1588">
        <f>H232*I232*G232</f>
        <v>31104</v>
      </c>
      <c r="K232" s="1688"/>
    </row>
    <row r="233" spans="1:15" hidden="1" x14ac:dyDescent="0.25">
      <c r="A233" s="1582">
        <v>4</v>
      </c>
      <c r="B233" s="2131" t="s">
        <v>1076</v>
      </c>
      <c r="C233" s="2131"/>
      <c r="D233" s="2131"/>
      <c r="E233" s="2131"/>
      <c r="F233" s="2131"/>
      <c r="G233" s="2131"/>
      <c r="H233" s="2131"/>
      <c r="I233" s="2131"/>
      <c r="J233" s="1595"/>
      <c r="K233" s="1688"/>
    </row>
    <row r="234" spans="1:15" x14ac:dyDescent="0.25">
      <c r="A234" s="2130" t="s">
        <v>39</v>
      </c>
      <c r="B234" s="2099"/>
      <c r="C234" s="2100"/>
      <c r="D234" s="2099"/>
      <c r="E234" s="2099"/>
      <c r="F234" s="2099"/>
      <c r="G234" s="2099"/>
      <c r="H234" s="2099"/>
      <c r="I234" s="2101"/>
      <c r="J234" s="1343">
        <f>SUM(J232:J233)</f>
        <v>31104</v>
      </c>
      <c r="K234" s="344">
        <v>2400.0100000000002</v>
      </c>
      <c r="L234" s="81">
        <f>J234-K234</f>
        <v>28703.99</v>
      </c>
    </row>
    <row r="235" spans="1:15" ht="15" hidden="1" customHeight="1" x14ac:dyDescent="0.25">
      <c r="A235" s="1924" t="s">
        <v>514</v>
      </c>
      <c r="B235" s="1925"/>
      <c r="C235" s="1925"/>
      <c r="D235" s="1925"/>
      <c r="E235" s="1925"/>
      <c r="F235" s="1925"/>
      <c r="G235" s="1925"/>
      <c r="H235" s="1925"/>
      <c r="I235" s="1925"/>
      <c r="J235" s="1925"/>
      <c r="K235" s="355"/>
      <c r="L235" s="81"/>
    </row>
    <row r="236" spans="1:15" hidden="1" x14ac:dyDescent="0.25">
      <c r="A236" s="1913" t="s">
        <v>1134</v>
      </c>
      <c r="B236" s="1913"/>
      <c r="C236" s="1913"/>
      <c r="D236" s="1913"/>
      <c r="E236" s="1913"/>
      <c r="F236" s="1913"/>
      <c r="G236" s="1913"/>
      <c r="H236" s="1913"/>
      <c r="I236" s="1913"/>
      <c r="J236" s="1594">
        <v>0</v>
      </c>
      <c r="K236" s="344"/>
      <c r="L236" s="81"/>
    </row>
    <row r="237" spans="1:15" hidden="1" x14ac:dyDescent="0.25">
      <c r="A237" s="1913" t="s">
        <v>153</v>
      </c>
      <c r="B237" s="1913"/>
      <c r="C237" s="1913"/>
      <c r="D237" s="1913"/>
      <c r="E237" s="1913"/>
      <c r="F237" s="1913"/>
      <c r="G237" s="1913"/>
      <c r="H237" s="1913"/>
      <c r="I237" s="1913"/>
      <c r="J237" s="1594">
        <f>14400.06+2400.01</f>
        <v>16800.07</v>
      </c>
    </row>
    <row r="238" spans="1:15" hidden="1" x14ac:dyDescent="0.25">
      <c r="A238" s="1891" t="s">
        <v>619</v>
      </c>
      <c r="B238" s="1891"/>
      <c r="C238" s="1891"/>
      <c r="D238" s="1891"/>
      <c r="E238" s="1891"/>
      <c r="F238" s="1891"/>
      <c r="G238" s="1891"/>
      <c r="H238" s="1891"/>
      <c r="I238" s="1891"/>
      <c r="J238" s="1588">
        <f>J234-J236-J237-J239</f>
        <v>14303.93</v>
      </c>
      <c r="K238" s="344"/>
      <c r="L238" s="81"/>
    </row>
    <row r="239" spans="1:15" hidden="1" x14ac:dyDescent="0.25">
      <c r="A239" s="1891" t="s">
        <v>1147</v>
      </c>
      <c r="B239" s="1891"/>
      <c r="C239" s="1891"/>
      <c r="D239" s="1891"/>
      <c r="E239" s="1891"/>
      <c r="F239" s="1891"/>
      <c r="G239" s="1891"/>
      <c r="H239" s="1891"/>
      <c r="I239" s="1891"/>
      <c r="J239" s="360">
        <v>0</v>
      </c>
      <c r="K239" s="87"/>
      <c r="L239" s="81"/>
    </row>
    <row r="240" spans="1:15" ht="11.25" customHeight="1" x14ac:dyDescent="0.25">
      <c r="A240" s="1689"/>
      <c r="B240" s="1690"/>
      <c r="C240" s="1690"/>
      <c r="D240" s="1690"/>
      <c r="E240" s="1690"/>
      <c r="F240" s="1690"/>
      <c r="G240" s="1690"/>
      <c r="H240" s="1690"/>
      <c r="I240" s="1690"/>
      <c r="J240" s="64"/>
      <c r="K240" s="351"/>
      <c r="L240" s="81"/>
    </row>
    <row r="241" spans="1:14" x14ac:dyDescent="0.25">
      <c r="A241" s="1644" t="s">
        <v>307</v>
      </c>
      <c r="I241" s="60"/>
      <c r="J241" s="60"/>
      <c r="K241" s="344"/>
    </row>
    <row r="242" spans="1:14" x14ac:dyDescent="0.25">
      <c r="A242" s="1898" t="s">
        <v>8</v>
      </c>
      <c r="B242" s="1898" t="s">
        <v>35</v>
      </c>
      <c r="C242" s="1898"/>
      <c r="D242" s="1898"/>
      <c r="E242" s="1898"/>
      <c r="F242" s="1898" t="s">
        <v>272</v>
      </c>
      <c r="G242" s="1899" t="s">
        <v>1827</v>
      </c>
      <c r="H242" s="1998"/>
      <c r="I242" s="1998"/>
      <c r="J242" s="1999"/>
      <c r="K242" s="344" t="s">
        <v>1478</v>
      </c>
    </row>
    <row r="243" spans="1:14" ht="32.25" customHeight="1" x14ac:dyDescent="0.25">
      <c r="A243" s="1898"/>
      <c r="B243" s="1898"/>
      <c r="C243" s="1898"/>
      <c r="D243" s="1898"/>
      <c r="E243" s="1898"/>
      <c r="F243" s="1898"/>
      <c r="G243" s="1581" t="s">
        <v>248</v>
      </c>
      <c r="H243" s="1581" t="s">
        <v>274</v>
      </c>
      <c r="I243" s="1588" t="s">
        <v>264</v>
      </c>
      <c r="J243" s="1588" t="s">
        <v>256</v>
      </c>
      <c r="K243" s="344"/>
    </row>
    <row r="244" spans="1:14" ht="15" customHeight="1" x14ac:dyDescent="0.25">
      <c r="A244" s="1902" t="s">
        <v>1537</v>
      </c>
      <c r="B244" s="2104"/>
      <c r="C244" s="2105"/>
      <c r="D244" s="2104"/>
      <c r="E244" s="2104"/>
      <c r="F244" s="2104"/>
      <c r="G244" s="2104"/>
      <c r="H244" s="2104"/>
      <c r="I244" s="2104"/>
      <c r="J244" s="2106"/>
      <c r="K244" s="344"/>
    </row>
    <row r="245" spans="1:14" x14ac:dyDescent="0.25">
      <c r="A245" s="1581">
        <v>1</v>
      </c>
      <c r="B245" s="2097" t="s">
        <v>497</v>
      </c>
      <c r="C245" s="2064"/>
      <c r="D245" s="2064"/>
      <c r="E245" s="2064"/>
      <c r="F245" s="1581" t="s">
        <v>750</v>
      </c>
      <c r="G245" s="59">
        <v>7</v>
      </c>
      <c r="H245" s="59">
        <f>12-5+1+1+3</f>
        <v>12</v>
      </c>
      <c r="I245" s="1588">
        <v>850</v>
      </c>
      <c r="J245" s="1588">
        <f>G245*H245*I245</f>
        <v>71400</v>
      </c>
      <c r="K245" s="344"/>
    </row>
    <row r="246" spans="1:14" x14ac:dyDescent="0.25">
      <c r="A246" s="2098" t="s">
        <v>39</v>
      </c>
      <c r="B246" s="2099"/>
      <c r="C246" s="2100"/>
      <c r="D246" s="2099"/>
      <c r="E246" s="2099"/>
      <c r="F246" s="2099"/>
      <c r="G246" s="2099"/>
      <c r="H246" s="2099"/>
      <c r="I246" s="2101"/>
      <c r="J246" s="1343">
        <f>SUM(J245:J245)</f>
        <v>71400</v>
      </c>
      <c r="K246" s="344">
        <v>5950</v>
      </c>
      <c r="L246" s="81">
        <f>J246-K246</f>
        <v>65450</v>
      </c>
    </row>
    <row r="247" spans="1:14" ht="15.75" hidden="1" customHeight="1" x14ac:dyDescent="0.25">
      <c r="A247" s="1924" t="s">
        <v>514</v>
      </c>
      <c r="B247" s="1925"/>
      <c r="C247" s="1925"/>
      <c r="D247" s="1925"/>
      <c r="E247" s="1925"/>
      <c r="F247" s="1925"/>
      <c r="G247" s="1925"/>
      <c r="H247" s="1925"/>
      <c r="I247" s="1925"/>
      <c r="J247" s="1925"/>
      <c r="K247" s="344"/>
    </row>
    <row r="248" spans="1:14" hidden="1" x14ac:dyDescent="0.25">
      <c r="A248" s="1913" t="s">
        <v>1134</v>
      </c>
      <c r="B248" s="1913"/>
      <c r="C248" s="1913"/>
      <c r="D248" s="1913"/>
      <c r="E248" s="1913"/>
      <c r="F248" s="1913"/>
      <c r="G248" s="1913"/>
      <c r="H248" s="1913"/>
      <c r="I248" s="1913"/>
      <c r="J248" s="1594">
        <v>0</v>
      </c>
      <c r="K248" s="344"/>
    </row>
    <row r="249" spans="1:14" hidden="1" x14ac:dyDescent="0.25">
      <c r="A249" s="1913" t="s">
        <v>153</v>
      </c>
      <c r="B249" s="1913"/>
      <c r="C249" s="1913"/>
      <c r="D249" s="1913"/>
      <c r="E249" s="1913"/>
      <c r="F249" s="1913"/>
      <c r="G249" s="1913"/>
      <c r="H249" s="1913"/>
      <c r="I249" s="1913"/>
      <c r="J249" s="1594">
        <f>35700+5950</f>
        <v>41650</v>
      </c>
    </row>
    <row r="250" spans="1:14" hidden="1" x14ac:dyDescent="0.25">
      <c r="A250" s="1891" t="s">
        <v>619</v>
      </c>
      <c r="B250" s="1891"/>
      <c r="C250" s="1891"/>
      <c r="D250" s="1891"/>
      <c r="E250" s="1891"/>
      <c r="F250" s="1891"/>
      <c r="G250" s="1891"/>
      <c r="H250" s="1891"/>
      <c r="I250" s="1891"/>
      <c r="J250" s="1588">
        <f>J246-J248-J249-J251</f>
        <v>29750</v>
      </c>
      <c r="K250" s="344"/>
    </row>
    <row r="251" spans="1:14" ht="15" hidden="1" customHeight="1" x14ac:dyDescent="0.25">
      <c r="A251" s="1892" t="s">
        <v>1147</v>
      </c>
      <c r="B251" s="2010"/>
      <c r="C251" s="2010"/>
      <c r="D251" s="2010"/>
      <c r="E251" s="2010"/>
      <c r="F251" s="2010"/>
      <c r="G251" s="2010"/>
      <c r="H251" s="2010"/>
      <c r="I251" s="2129"/>
      <c r="J251" s="360">
        <v>0</v>
      </c>
      <c r="K251" s="344"/>
    </row>
    <row r="252" spans="1:14" x14ac:dyDescent="0.25">
      <c r="K252" s="718"/>
    </row>
    <row r="253" spans="1:14" hidden="1" x14ac:dyDescent="0.25">
      <c r="A253" s="1644" t="s">
        <v>54</v>
      </c>
    </row>
    <row r="254" spans="1:14" x14ac:dyDescent="0.25">
      <c r="A254" s="1645" t="s">
        <v>63</v>
      </c>
      <c r="B254" s="72"/>
      <c r="C254" s="72"/>
      <c r="D254" s="75"/>
      <c r="E254" s="94" t="s">
        <v>1845</v>
      </c>
      <c r="J254" s="85">
        <f>J255</f>
        <v>155400</v>
      </c>
      <c r="K254" s="108"/>
      <c r="L254" s="108"/>
      <c r="N254" s="1658"/>
    </row>
    <row r="255" spans="1:14" x14ac:dyDescent="0.25">
      <c r="A255" s="1645" t="s">
        <v>26</v>
      </c>
      <c r="B255" s="72"/>
      <c r="C255" s="72"/>
      <c r="D255" s="75"/>
      <c r="E255" s="71" t="s">
        <v>624</v>
      </c>
      <c r="J255" s="85">
        <f>J261</f>
        <v>155400</v>
      </c>
      <c r="K255" s="108"/>
      <c r="L255" s="108"/>
      <c r="N255" s="1658"/>
    </row>
    <row r="256" spans="1:14" x14ac:dyDescent="0.25">
      <c r="A256" s="1645" t="s">
        <v>27</v>
      </c>
      <c r="B256" s="72"/>
      <c r="C256" s="72"/>
      <c r="D256" s="75"/>
      <c r="E256" s="86" t="s">
        <v>1830</v>
      </c>
      <c r="K256" s="108"/>
      <c r="L256" s="108"/>
      <c r="N256" s="1658"/>
    </row>
    <row r="257" spans="1:28" x14ac:dyDescent="0.25">
      <c r="A257" s="1644" t="s">
        <v>1846</v>
      </c>
      <c r="K257" s="108"/>
      <c r="L257" s="108"/>
      <c r="N257" s="1658"/>
    </row>
    <row r="258" spans="1:28" x14ac:dyDescent="0.25">
      <c r="A258" s="1926" t="s">
        <v>8</v>
      </c>
      <c r="B258" s="1956" t="s">
        <v>35</v>
      </c>
      <c r="C258" s="1959"/>
      <c r="D258" s="2044"/>
      <c r="E258" s="1926" t="s">
        <v>1847</v>
      </c>
      <c r="F258" s="1926" t="s">
        <v>1848</v>
      </c>
      <c r="G258" s="1990" t="s">
        <v>1834</v>
      </c>
      <c r="H258" s="1991"/>
      <c r="I258" s="1991"/>
      <c r="J258" s="1992"/>
      <c r="K258" s="108"/>
      <c r="L258" s="108"/>
      <c r="N258" s="1658"/>
    </row>
    <row r="259" spans="1:28" ht="75" x14ac:dyDescent="0.25">
      <c r="A259" s="1926"/>
      <c r="B259" s="2009"/>
      <c r="C259" s="1961"/>
      <c r="D259" s="1962"/>
      <c r="E259" s="1926"/>
      <c r="F259" s="1926"/>
      <c r="G259" s="1598" t="s">
        <v>1853</v>
      </c>
      <c r="H259" s="1598" t="s">
        <v>1849</v>
      </c>
      <c r="I259" s="1598" t="s">
        <v>1850</v>
      </c>
      <c r="J259" s="1617" t="s">
        <v>256</v>
      </c>
      <c r="K259" s="108"/>
      <c r="L259" s="108"/>
      <c r="N259" s="1658"/>
    </row>
    <row r="260" spans="1:28" ht="30" x14ac:dyDescent="0.25">
      <c r="A260" s="1598">
        <v>1</v>
      </c>
      <c r="B260" s="2054" t="s">
        <v>1851</v>
      </c>
      <c r="C260" s="2047"/>
      <c r="D260" s="2047"/>
      <c r="E260" s="1691" t="s">
        <v>1852</v>
      </c>
      <c r="F260" s="1598">
        <v>148</v>
      </c>
      <c r="G260" s="1692">
        <v>3</v>
      </c>
      <c r="H260" s="1692">
        <f>F260*G260</f>
        <v>444</v>
      </c>
      <c r="I260" s="1693">
        <v>350</v>
      </c>
      <c r="J260" s="1617">
        <f>H260*I260</f>
        <v>155400</v>
      </c>
      <c r="K260" s="108"/>
      <c r="L260" s="108"/>
      <c r="N260" s="1658"/>
    </row>
    <row r="261" spans="1:28" x14ac:dyDescent="0.25">
      <c r="A261" s="1993" t="s">
        <v>39</v>
      </c>
      <c r="B261" s="1993"/>
      <c r="C261" s="1993"/>
      <c r="D261" s="1993"/>
      <c r="E261" s="1993"/>
      <c r="F261" s="1993"/>
      <c r="G261" s="1694" t="s">
        <v>847</v>
      </c>
      <c r="H261" s="1694" t="s">
        <v>847</v>
      </c>
      <c r="I261" s="1694" t="s">
        <v>847</v>
      </c>
      <c r="J261" s="1192">
        <f>SUM(J260:J260)</f>
        <v>155400</v>
      </c>
      <c r="K261" s="108"/>
      <c r="L261" s="108"/>
      <c r="N261" s="1658"/>
    </row>
    <row r="262" spans="1:28" x14ac:dyDescent="0.25">
      <c r="K262" s="108"/>
      <c r="L262" s="108"/>
      <c r="N262" s="1658"/>
    </row>
    <row r="263" spans="1:28" x14ac:dyDescent="0.25">
      <c r="A263" s="1645" t="s">
        <v>63</v>
      </c>
      <c r="B263" s="72"/>
      <c r="C263" s="72"/>
      <c r="D263" s="75"/>
      <c r="E263" s="71" t="s">
        <v>77</v>
      </c>
      <c r="J263" s="85">
        <f>J264</f>
        <v>513759.73</v>
      </c>
      <c r="L263" s="61"/>
      <c r="M263" s="81"/>
    </row>
    <row r="264" spans="1:28" x14ac:dyDescent="0.25">
      <c r="A264" s="1645" t="s">
        <v>26</v>
      </c>
      <c r="B264" s="72"/>
      <c r="C264" s="72"/>
      <c r="D264" s="75"/>
      <c r="E264" s="71" t="s">
        <v>624</v>
      </c>
      <c r="J264" s="85">
        <f>J272</f>
        <v>513759.73</v>
      </c>
      <c r="L264" s="174"/>
      <c r="M264" s="81"/>
    </row>
    <row r="265" spans="1:28" x14ac:dyDescent="0.25">
      <c r="A265" s="1645" t="s">
        <v>27</v>
      </c>
      <c r="B265" s="72"/>
      <c r="C265" s="72"/>
      <c r="D265" s="75"/>
      <c r="E265" s="71" t="s">
        <v>1830</v>
      </c>
      <c r="K265" s="174"/>
      <c r="L265" s="81"/>
      <c r="M265" s="81"/>
      <c r="N265" s="99"/>
    </row>
    <row r="266" spans="1:28" x14ac:dyDescent="0.25">
      <c r="A266" s="1644" t="s">
        <v>306</v>
      </c>
      <c r="K266" s="174"/>
      <c r="L266" s="81"/>
      <c r="M266" s="81"/>
    </row>
    <row r="267" spans="1:28" ht="15" customHeight="1" x14ac:dyDescent="0.25">
      <c r="A267" s="1898" t="s">
        <v>8</v>
      </c>
      <c r="B267" s="1898" t="s">
        <v>35</v>
      </c>
      <c r="C267" s="1898"/>
      <c r="D267" s="1898"/>
      <c r="E267" s="1898"/>
      <c r="F267" s="1898" t="s">
        <v>272</v>
      </c>
      <c r="G267" s="1899" t="s">
        <v>1827</v>
      </c>
      <c r="H267" s="1911"/>
      <c r="I267" s="1911"/>
      <c r="J267" s="1912"/>
      <c r="K267" s="81" t="s">
        <v>1478</v>
      </c>
    </row>
    <row r="268" spans="1:28" ht="47.25" customHeight="1" x14ac:dyDescent="0.25">
      <c r="A268" s="1898"/>
      <c r="B268" s="1898"/>
      <c r="C268" s="1898"/>
      <c r="D268" s="1898"/>
      <c r="E268" s="1898"/>
      <c r="F268" s="1898"/>
      <c r="G268" s="1581" t="s">
        <v>515</v>
      </c>
      <c r="H268" s="1581" t="s">
        <v>55</v>
      </c>
      <c r="I268" s="1588" t="s">
        <v>265</v>
      </c>
      <c r="J268" s="1588" t="s">
        <v>256</v>
      </c>
    </row>
    <row r="269" spans="1:28" ht="30" customHeight="1" x14ac:dyDescent="0.25">
      <c r="A269" s="2042">
        <v>1</v>
      </c>
      <c r="B269" s="2108" t="s">
        <v>1841</v>
      </c>
      <c r="C269" s="2109"/>
      <c r="D269" s="2109"/>
      <c r="E269" s="2109"/>
      <c r="F269" s="1175" t="s">
        <v>1646</v>
      </c>
      <c r="G269" s="1612" t="s">
        <v>1842</v>
      </c>
      <c r="H269" s="1363">
        <f>80.6-14.6</f>
        <v>66</v>
      </c>
      <c r="I269" s="1695">
        <v>946.84799999999996</v>
      </c>
      <c r="J269" s="1367">
        <f>H269*I269</f>
        <v>62491.97</v>
      </c>
      <c r="K269" s="1656"/>
      <c r="L269" s="1044" t="s">
        <v>1486</v>
      </c>
      <c r="M269" s="1045">
        <v>62491.97</v>
      </c>
      <c r="N269" s="1658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</row>
    <row r="270" spans="1:28" ht="30" customHeight="1" x14ac:dyDescent="0.25">
      <c r="A270" s="2042"/>
      <c r="B270" s="2110"/>
      <c r="C270" s="2111"/>
      <c r="D270" s="2111"/>
      <c r="E270" s="2111"/>
      <c r="F270" s="1175" t="s">
        <v>1646</v>
      </c>
      <c r="G270" s="1612" t="s">
        <v>1843</v>
      </c>
      <c r="H270" s="1363">
        <f>462+14.6</f>
        <v>476.6</v>
      </c>
      <c r="I270" s="1695">
        <v>946.84799999999996</v>
      </c>
      <c r="J270" s="1367">
        <f>H270*I270</f>
        <v>451267.76</v>
      </c>
      <c r="K270" s="1656"/>
      <c r="L270" s="1696"/>
      <c r="M270" s="2"/>
      <c r="N270" s="1658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</row>
    <row r="271" spans="1:28" ht="30" hidden="1" customHeight="1" x14ac:dyDescent="0.25">
      <c r="A271" s="2043"/>
      <c r="B271" s="2032"/>
      <c r="C271" s="2033"/>
      <c r="D271" s="2033"/>
      <c r="E271" s="2033"/>
      <c r="F271" s="1175" t="s">
        <v>1646</v>
      </c>
      <c r="G271" s="1612" t="s">
        <v>1844</v>
      </c>
      <c r="H271" s="1363"/>
      <c r="I271" s="1368">
        <v>1062.9359999999999</v>
      </c>
      <c r="J271" s="1363">
        <f>H271*I271</f>
        <v>0</v>
      </c>
      <c r="K271" s="1656"/>
      <c r="L271" s="1697"/>
      <c r="M271" s="2"/>
      <c r="N271" s="1658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</row>
    <row r="272" spans="1:28" x14ac:dyDescent="0.25">
      <c r="A272" s="2035" t="s">
        <v>39</v>
      </c>
      <c r="B272" s="2035"/>
      <c r="C272" s="2035"/>
      <c r="D272" s="2035"/>
      <c r="E272" s="2035"/>
      <c r="F272" s="2035"/>
      <c r="G272" s="2035"/>
      <c r="H272" s="2035"/>
      <c r="I272" s="2035"/>
      <c r="J272" s="1369">
        <f>SUM(J269:J271)</f>
        <v>513759.73</v>
      </c>
      <c r="K272" s="1379">
        <v>62491.97</v>
      </c>
      <c r="L272" s="81">
        <f>J272-K272</f>
        <v>451267.76</v>
      </c>
      <c r="N272" s="1698"/>
      <c r="O272" s="1699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</row>
    <row r="273" spans="1:28" hidden="1" x14ac:dyDescent="0.25">
      <c r="A273" s="1924" t="s">
        <v>514</v>
      </c>
      <c r="B273" s="1925"/>
      <c r="C273" s="1925"/>
      <c r="D273" s="1925"/>
      <c r="E273" s="1925"/>
      <c r="F273" s="1925"/>
      <c r="G273" s="1925"/>
      <c r="H273" s="1925"/>
      <c r="I273" s="1925"/>
      <c r="J273" s="1925"/>
      <c r="K273" s="102"/>
      <c r="L273" s="102"/>
      <c r="M273" s="829"/>
      <c r="N273" s="75"/>
      <c r="O273" s="75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</row>
    <row r="274" spans="1:28" ht="29.25" hidden="1" customHeight="1" x14ac:dyDescent="0.25">
      <c r="A274" s="1953" t="s">
        <v>1789</v>
      </c>
      <c r="B274" s="1953"/>
      <c r="C274" s="1953"/>
      <c r="D274" s="1953"/>
      <c r="E274" s="1953"/>
      <c r="F274" s="1953"/>
      <c r="G274" s="1953"/>
      <c r="H274" s="1953"/>
      <c r="I274" s="1953"/>
      <c r="J274" s="1616"/>
      <c r="K274" s="344"/>
      <c r="L274" s="81">
        <f>J274-K274</f>
        <v>0</v>
      </c>
      <c r="N274" s="75"/>
      <c r="O274" s="75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</row>
    <row r="275" spans="1:28" ht="29.25" hidden="1" customHeight="1" x14ac:dyDescent="0.25">
      <c r="A275" s="1953" t="s">
        <v>1790</v>
      </c>
      <c r="B275" s="1953"/>
      <c r="C275" s="1953"/>
      <c r="D275" s="1953"/>
      <c r="E275" s="1953"/>
      <c r="F275" s="1953"/>
      <c r="G275" s="1953"/>
      <c r="H275" s="1953"/>
      <c r="I275" s="1953"/>
      <c r="J275" s="1616"/>
      <c r="K275" s="344"/>
      <c r="L275" s="81">
        <f>J275-K275</f>
        <v>0</v>
      </c>
      <c r="M275" s="972"/>
      <c r="N275" s="79"/>
      <c r="O275" s="75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</row>
    <row r="276" spans="1:28" hidden="1" x14ac:dyDescent="0.25">
      <c r="A276" s="1891" t="s">
        <v>619</v>
      </c>
      <c r="B276" s="1891"/>
      <c r="C276" s="1891"/>
      <c r="D276" s="1891"/>
      <c r="E276" s="1891"/>
      <c r="F276" s="1891"/>
      <c r="G276" s="1891"/>
      <c r="H276" s="1891"/>
      <c r="I276" s="1891"/>
      <c r="J276" s="1588"/>
      <c r="K276" s="344">
        <v>0</v>
      </c>
      <c r="L276" s="81">
        <f>J276-K276</f>
        <v>0</v>
      </c>
      <c r="M276" s="1752"/>
      <c r="N276" s="75"/>
      <c r="O276" s="75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</row>
    <row r="277" spans="1:28" hidden="1" x14ac:dyDescent="0.25">
      <c r="A277" s="1891" t="s">
        <v>1147</v>
      </c>
      <c r="B277" s="1891"/>
      <c r="C277" s="1891"/>
      <c r="D277" s="1891"/>
      <c r="E277" s="1891"/>
      <c r="F277" s="1891"/>
      <c r="G277" s="1891"/>
      <c r="H277" s="1891"/>
      <c r="I277" s="1891"/>
      <c r="J277" s="360"/>
      <c r="K277" s="1700"/>
      <c r="L277" s="108"/>
      <c r="M277" s="1701"/>
      <c r="N277" s="1698"/>
      <c r="O277" s="75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</row>
    <row r="278" spans="1:28" x14ac:dyDescent="0.25">
      <c r="A278" s="63"/>
      <c r="B278" s="63"/>
      <c r="C278" s="63"/>
      <c r="D278" s="63"/>
      <c r="E278" s="63"/>
      <c r="F278" s="63"/>
      <c r="G278" s="63"/>
      <c r="H278" s="64"/>
      <c r="I278" s="64"/>
      <c r="J278" s="64"/>
      <c r="K278" s="108"/>
      <c r="L278" s="108"/>
      <c r="M278" s="2"/>
      <c r="N278" s="1658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</row>
    <row r="279" spans="1:28" ht="30" hidden="1" x14ac:dyDescent="0.25">
      <c r="A279" s="1630">
        <v>20</v>
      </c>
      <c r="B279" s="1986" t="s">
        <v>1711</v>
      </c>
      <c r="C279" s="1930"/>
      <c r="D279" s="1930"/>
      <c r="E279" s="1930"/>
      <c r="F279" s="1175" t="s">
        <v>750</v>
      </c>
      <c r="G279" s="1612" t="s">
        <v>1645</v>
      </c>
      <c r="H279" s="1239"/>
      <c r="I279" s="1702">
        <v>55.86</v>
      </c>
      <c r="J279" s="1588">
        <f>H279*I279</f>
        <v>0</v>
      </c>
      <c r="K279" s="108"/>
      <c r="L279" s="1703"/>
      <c r="M279" s="2"/>
      <c r="N279" s="1658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</row>
    <row r="280" spans="1:28" hidden="1" x14ac:dyDescent="0.25">
      <c r="A280" s="2069" t="s">
        <v>39</v>
      </c>
      <c r="B280" s="2069"/>
      <c r="C280" s="2069"/>
      <c r="D280" s="2069"/>
      <c r="E280" s="2069"/>
      <c r="F280" s="2069"/>
      <c r="G280" s="1927" t="s">
        <v>82</v>
      </c>
      <c r="H280" s="1704" t="s">
        <v>82</v>
      </c>
      <c r="I280" s="1192" t="s">
        <v>82</v>
      </c>
      <c r="J280" s="1192">
        <f>SUM(J279:J279)</f>
        <v>0</v>
      </c>
      <c r="K280" s="108"/>
      <c r="L280" s="108"/>
      <c r="M280" s="2"/>
      <c r="N280" s="1658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</row>
    <row r="281" spans="1:28" hidden="1" x14ac:dyDescent="0.25">
      <c r="A281" s="1924" t="s">
        <v>514</v>
      </c>
      <c r="B281" s="1925"/>
      <c r="C281" s="1925"/>
      <c r="D281" s="1925"/>
      <c r="E281" s="1925"/>
      <c r="F281" s="1925"/>
      <c r="G281" s="1925"/>
      <c r="H281" s="1925"/>
      <c r="I281" s="1925"/>
      <c r="J281" s="1925"/>
      <c r="K281" s="108"/>
      <c r="L281" s="108"/>
      <c r="M281" s="2"/>
      <c r="N281" s="1658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</row>
    <row r="282" spans="1:28" hidden="1" x14ac:dyDescent="0.25">
      <c r="A282" s="1913" t="s">
        <v>1134</v>
      </c>
      <c r="B282" s="1913"/>
      <c r="C282" s="1913"/>
      <c r="D282" s="1913"/>
      <c r="E282" s="1913"/>
      <c r="F282" s="1913"/>
      <c r="G282" s="1913"/>
      <c r="H282" s="1913"/>
      <c r="I282" s="1913"/>
      <c r="J282" s="1594">
        <v>0</v>
      </c>
      <c r="K282" s="108"/>
      <c r="L282" s="108"/>
      <c r="M282" s="2"/>
      <c r="N282" s="1658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</row>
    <row r="283" spans="1:28" hidden="1" x14ac:dyDescent="0.25">
      <c r="A283" s="1913" t="s">
        <v>153</v>
      </c>
      <c r="B283" s="1913"/>
      <c r="C283" s="1913"/>
      <c r="D283" s="1913"/>
      <c r="E283" s="1913"/>
      <c r="F283" s="1913"/>
      <c r="G283" s="1913"/>
      <c r="H283" s="1913"/>
      <c r="I283" s="1913"/>
      <c r="J283" s="1594">
        <v>29878.15</v>
      </c>
      <c r="K283" s="108"/>
      <c r="L283" s="108"/>
      <c r="M283" s="2"/>
      <c r="N283" s="1658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</row>
    <row r="284" spans="1:28" hidden="1" x14ac:dyDescent="0.25">
      <c r="A284" s="1891" t="s">
        <v>619</v>
      </c>
      <c r="B284" s="1891"/>
      <c r="C284" s="1891"/>
      <c r="D284" s="1891"/>
      <c r="E284" s="1891"/>
      <c r="F284" s="1891"/>
      <c r="G284" s="1891"/>
      <c r="H284" s="1891"/>
      <c r="I284" s="1891"/>
      <c r="J284" s="1588">
        <v>0</v>
      </c>
      <c r="K284" s="108"/>
      <c r="L284" s="108"/>
      <c r="M284" s="2"/>
      <c r="N284" s="1658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</row>
    <row r="285" spans="1:28" hidden="1" x14ac:dyDescent="0.25">
      <c r="A285" s="1891" t="s">
        <v>1147</v>
      </c>
      <c r="B285" s="2093"/>
      <c r="C285" s="2093"/>
      <c r="D285" s="2093"/>
      <c r="E285" s="2093"/>
      <c r="F285" s="2093"/>
      <c r="G285" s="2093"/>
      <c r="H285" s="2093"/>
      <c r="I285" s="2093"/>
      <c r="J285" s="1705">
        <f>J280-J282-J283-J284</f>
        <v>-29878.15</v>
      </c>
      <c r="K285" s="108"/>
      <c r="L285" s="108"/>
      <c r="N285" s="1658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</row>
    <row r="286" spans="1:28" hidden="1" x14ac:dyDescent="0.25">
      <c r="A286" s="1613"/>
      <c r="B286" s="1635"/>
      <c r="C286" s="1635"/>
      <c r="D286" s="1635"/>
      <c r="E286" s="1635"/>
      <c r="F286" s="1635"/>
      <c r="G286" s="1635"/>
      <c r="H286" s="1635"/>
      <c r="I286" s="1635"/>
      <c r="J286" s="782"/>
      <c r="K286" s="108"/>
      <c r="L286" s="108"/>
      <c r="N286" s="1658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</row>
    <row r="287" spans="1:28" s="87" customFormat="1" hidden="1" x14ac:dyDescent="0.25">
      <c r="A287" s="2107" t="s">
        <v>619</v>
      </c>
      <c r="B287" s="2107"/>
      <c r="C287" s="2107"/>
      <c r="D287" s="2107"/>
      <c r="E287" s="2107"/>
      <c r="F287" s="2107"/>
      <c r="G287" s="2107"/>
      <c r="H287" s="2107"/>
      <c r="I287" s="2107"/>
      <c r="J287" s="1589" t="e">
        <f>#REF!+J276+J284</f>
        <v>#REF!</v>
      </c>
      <c r="K287" s="99"/>
      <c r="L287" s="108">
        <v>100000</v>
      </c>
      <c r="M287" s="81" t="e">
        <f>J287-L287</f>
        <v>#REF!</v>
      </c>
      <c r="N287" s="1706"/>
    </row>
    <row r="288" spans="1:28" s="87" customFormat="1" hidden="1" x14ac:dyDescent="0.25">
      <c r="A288" s="2107" t="s">
        <v>1147</v>
      </c>
      <c r="B288" s="2107"/>
      <c r="C288" s="2107"/>
      <c r="D288" s="2107"/>
      <c r="E288" s="2107"/>
      <c r="F288" s="2107"/>
      <c r="G288" s="2107"/>
      <c r="H288" s="2107"/>
      <c r="I288" s="2107"/>
      <c r="J288" s="80" t="e">
        <f>#REF!+J277+J285</f>
        <v>#REF!</v>
      </c>
      <c r="K288" s="99"/>
      <c r="L288" s="108">
        <v>636028.56000000006</v>
      </c>
      <c r="M288" s="81" t="e">
        <f>J288-L288</f>
        <v>#REF!</v>
      </c>
      <c r="N288" s="1706"/>
    </row>
    <row r="289" spans="1:28" x14ac:dyDescent="0.25">
      <c r="A289" s="1645" t="s">
        <v>63</v>
      </c>
      <c r="B289" s="72"/>
      <c r="C289" s="72"/>
      <c r="D289" s="75"/>
      <c r="E289" s="71" t="s">
        <v>78</v>
      </c>
      <c r="J289" s="85">
        <f>J290</f>
        <v>1778005.41</v>
      </c>
      <c r="K289" s="341"/>
      <c r="L289" s="2" t="s">
        <v>1284</v>
      </c>
      <c r="M289" s="75"/>
      <c r="N289" s="75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</row>
    <row r="290" spans="1:28" x14ac:dyDescent="0.25">
      <c r="A290" s="1645" t="s">
        <v>26</v>
      </c>
      <c r="B290" s="72"/>
      <c r="C290" s="72"/>
      <c r="D290" s="75"/>
      <c r="E290" s="71" t="s">
        <v>624</v>
      </c>
      <c r="J290" s="85">
        <f>J291</f>
        <v>1778005.41</v>
      </c>
      <c r="K290" s="341">
        <f>J304+J327+J333+J345+J366+J377+J389+J396+J410+J424+J444</f>
        <v>1471129.41</v>
      </c>
      <c r="L290" s="2" t="s">
        <v>1285</v>
      </c>
      <c r="M290" s="81"/>
      <c r="N290" s="34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</row>
    <row r="291" spans="1:28" x14ac:dyDescent="0.25">
      <c r="A291" s="1645" t="s">
        <v>27</v>
      </c>
      <c r="B291" s="72"/>
      <c r="C291" s="72"/>
      <c r="D291" s="75"/>
      <c r="E291" s="71" t="s">
        <v>1830</v>
      </c>
      <c r="J291" s="69">
        <f>J304+J314+J321+J327+J333+J345+J366+J377+J389+J396+J410+J424+J444+J464+J470</f>
        <v>1778005.41</v>
      </c>
      <c r="K291" s="341"/>
      <c r="L291" s="829" t="s">
        <v>1286</v>
      </c>
      <c r="M291" s="83"/>
      <c r="N291" s="829" t="s">
        <v>1287</v>
      </c>
      <c r="O291" s="70">
        <f>K290+M291</f>
        <v>1471129.41</v>
      </c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</row>
    <row r="292" spans="1:28" x14ac:dyDescent="0.25">
      <c r="A292" s="1644" t="s">
        <v>1080</v>
      </c>
      <c r="B292" s="72"/>
      <c r="C292" s="72"/>
      <c r="D292" s="75"/>
      <c r="E292" s="71"/>
      <c r="K292" s="70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</row>
    <row r="293" spans="1:28" x14ac:dyDescent="0.25">
      <c r="A293" s="1898" t="s">
        <v>8</v>
      </c>
      <c r="B293" s="1914" t="s">
        <v>1</v>
      </c>
      <c r="C293" s="1916"/>
      <c r="D293" s="1915"/>
      <c r="E293" s="1915"/>
      <c r="F293" s="1898" t="s">
        <v>1827</v>
      </c>
      <c r="G293" s="1898"/>
      <c r="H293" s="1898"/>
      <c r="I293" s="1898"/>
      <c r="J293" s="1898"/>
      <c r="K293" s="70" t="s">
        <v>1478</v>
      </c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</row>
    <row r="294" spans="1:28" ht="34.5" customHeight="1" x14ac:dyDescent="0.25">
      <c r="A294" s="1898"/>
      <c r="B294" s="1918"/>
      <c r="C294" s="1919"/>
      <c r="D294" s="1919"/>
      <c r="E294" s="1919"/>
      <c r="F294" s="1581" t="s">
        <v>736</v>
      </c>
      <c r="G294" s="1581" t="s">
        <v>737</v>
      </c>
      <c r="H294" s="1581" t="s">
        <v>738</v>
      </c>
      <c r="I294" s="1588" t="s">
        <v>254</v>
      </c>
      <c r="J294" s="1588" t="s">
        <v>256</v>
      </c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</row>
    <row r="295" spans="1:28" x14ac:dyDescent="0.25">
      <c r="A295" s="1902" t="s">
        <v>1168</v>
      </c>
      <c r="B295" s="2104"/>
      <c r="C295" s="2105"/>
      <c r="D295" s="2104"/>
      <c r="E295" s="2104"/>
      <c r="F295" s="2104"/>
      <c r="G295" s="2104"/>
      <c r="H295" s="2104"/>
      <c r="I295" s="2104"/>
      <c r="J295" s="2106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</row>
    <row r="296" spans="1:28" x14ac:dyDescent="0.25">
      <c r="A296" s="1630">
        <v>1</v>
      </c>
      <c r="B296" s="1921" t="s">
        <v>1079</v>
      </c>
      <c r="C296" s="2006"/>
      <c r="D296" s="1922"/>
      <c r="E296" s="1922"/>
      <c r="F296" s="1588" t="s">
        <v>739</v>
      </c>
      <c r="G296" s="1588">
        <v>4428.8</v>
      </c>
      <c r="H296" s="65">
        <v>3.5999999999999997E-2</v>
      </c>
      <c r="I296" s="59">
        <v>12</v>
      </c>
      <c r="J296" s="1588">
        <f>G296*H296*I296</f>
        <v>1913.24</v>
      </c>
      <c r="K296" s="343">
        <f>J296/I296</f>
        <v>159.44</v>
      </c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</row>
    <row r="297" spans="1:28" x14ac:dyDescent="0.25">
      <c r="A297" s="1381">
        <v>2</v>
      </c>
      <c r="B297" s="1606" t="s">
        <v>740</v>
      </c>
      <c r="C297" s="1607"/>
      <c r="D297" s="1607"/>
      <c r="E297" s="1607"/>
      <c r="F297" s="1588" t="s">
        <v>739</v>
      </c>
      <c r="G297" s="1707">
        <v>4428.8</v>
      </c>
      <c r="H297" s="1301">
        <v>3.5999999999999997E-2</v>
      </c>
      <c r="I297" s="1230">
        <v>11</v>
      </c>
      <c r="J297" s="1588">
        <f>G297*H297*I297</f>
        <v>1753.8</v>
      </c>
      <c r="K297" s="343">
        <f t="shared" ref="K297:K303" si="2">J297/I297</f>
        <v>159.44</v>
      </c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</row>
    <row r="298" spans="1:28" x14ac:dyDescent="0.25">
      <c r="A298" s="1381">
        <v>3</v>
      </c>
      <c r="B298" s="1606" t="s">
        <v>740</v>
      </c>
      <c r="C298" s="1607"/>
      <c r="D298" s="1607"/>
      <c r="E298" s="1607"/>
      <c r="F298" s="1707" t="s">
        <v>739</v>
      </c>
      <c r="G298" s="1707">
        <v>4427.8</v>
      </c>
      <c r="H298" s="65">
        <v>3.5999999999999997E-2</v>
      </c>
      <c r="I298" s="59">
        <v>1</v>
      </c>
      <c r="J298" s="1588">
        <f>G298*H298*I298</f>
        <v>159.4</v>
      </c>
      <c r="K298" s="343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</row>
    <row r="299" spans="1:28" x14ac:dyDescent="0.25">
      <c r="A299" s="2092">
        <v>4</v>
      </c>
      <c r="B299" s="2029" t="s">
        <v>740</v>
      </c>
      <c r="C299" s="2030"/>
      <c r="D299" s="2030"/>
      <c r="E299" s="2031"/>
      <c r="F299" s="2102" t="s">
        <v>739</v>
      </c>
      <c r="G299" s="2102">
        <v>1</v>
      </c>
      <c r="H299" s="1588">
        <v>39.96</v>
      </c>
      <c r="I299" s="59">
        <v>1</v>
      </c>
      <c r="J299" s="1588">
        <f>G299*H299*I299</f>
        <v>39.96</v>
      </c>
      <c r="K299" s="343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</row>
    <row r="300" spans="1:28" hidden="1" x14ac:dyDescent="0.25">
      <c r="A300" s="1906"/>
      <c r="B300" s="2032"/>
      <c r="C300" s="2033"/>
      <c r="D300" s="2033"/>
      <c r="E300" s="2034"/>
      <c r="F300" s="2103"/>
      <c r="G300" s="2103"/>
      <c r="H300" s="875">
        <v>9.3437999999999993E-2</v>
      </c>
      <c r="I300" s="59"/>
      <c r="J300" s="1588">
        <f>G299*H300*I300</f>
        <v>0</v>
      </c>
      <c r="K300" s="343" t="e">
        <f t="shared" si="2"/>
        <v>#DIV/0!</v>
      </c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</row>
    <row r="301" spans="1:28" x14ac:dyDescent="0.25">
      <c r="A301" s="1902" t="s">
        <v>1854</v>
      </c>
      <c r="B301" s="2104"/>
      <c r="C301" s="2105"/>
      <c r="D301" s="2104"/>
      <c r="E301" s="2104"/>
      <c r="F301" s="2104"/>
      <c r="G301" s="2104"/>
      <c r="H301" s="2104"/>
      <c r="I301" s="2104"/>
      <c r="J301" s="2106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</row>
    <row r="302" spans="1:28" x14ac:dyDescent="0.25">
      <c r="A302" s="1630">
        <v>5</v>
      </c>
      <c r="B302" s="1921" t="s">
        <v>1079</v>
      </c>
      <c r="C302" s="2006"/>
      <c r="D302" s="1922"/>
      <c r="E302" s="1922"/>
      <c r="F302" s="1588" t="s">
        <v>739</v>
      </c>
      <c r="G302" s="1588">
        <v>20806.900000000001</v>
      </c>
      <c r="H302" s="65">
        <v>3.5999999999999997E-2</v>
      </c>
      <c r="I302" s="59">
        <v>12</v>
      </c>
      <c r="J302" s="1588">
        <f>G302*H302*I302</f>
        <v>8988.58</v>
      </c>
      <c r="K302" s="343">
        <f t="shared" si="2"/>
        <v>749.05</v>
      </c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</row>
    <row r="303" spans="1:28" x14ac:dyDescent="0.25">
      <c r="A303" s="1630">
        <v>6</v>
      </c>
      <c r="B303" s="1921" t="s">
        <v>740</v>
      </c>
      <c r="C303" s="2006"/>
      <c r="D303" s="1922"/>
      <c r="E303" s="1922"/>
      <c r="F303" s="1588" t="s">
        <v>739</v>
      </c>
      <c r="G303" s="1588">
        <v>20806.900000000001</v>
      </c>
      <c r="H303" s="65">
        <v>3.5999999999999997E-2</v>
      </c>
      <c r="I303" s="59">
        <v>12</v>
      </c>
      <c r="J303" s="1588">
        <f>G303*H303*I303</f>
        <v>8988.58</v>
      </c>
      <c r="K303" s="343">
        <f t="shared" si="2"/>
        <v>749.05</v>
      </c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</row>
    <row r="304" spans="1:28" x14ac:dyDescent="0.25">
      <c r="A304" s="1895" t="s">
        <v>39</v>
      </c>
      <c r="B304" s="1895"/>
      <c r="C304" s="1895"/>
      <c r="D304" s="1895"/>
      <c r="E304" s="1895"/>
      <c r="F304" s="1895"/>
      <c r="G304" s="1895"/>
      <c r="H304" s="1895"/>
      <c r="I304" s="1895"/>
      <c r="J304" s="1589">
        <f>SUM(J296:J303)</f>
        <v>21843.56</v>
      </c>
      <c r="K304" s="351">
        <v>1856.9</v>
      </c>
      <c r="L304" s="81">
        <f>J304-K304</f>
        <v>19986.66</v>
      </c>
      <c r="M304" s="343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</row>
    <row r="305" spans="1:28" x14ac:dyDescent="0.25">
      <c r="A305" s="1601"/>
      <c r="B305" s="1601"/>
      <c r="C305" s="1601"/>
      <c r="D305" s="1601"/>
      <c r="E305" s="1601"/>
      <c r="F305" s="1601"/>
      <c r="G305" s="1601"/>
      <c r="H305" s="1601"/>
      <c r="I305" s="1601"/>
      <c r="J305" s="97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</row>
    <row r="306" spans="1:28" ht="13.5" customHeight="1" x14ac:dyDescent="0.25">
      <c r="A306" s="1" t="s">
        <v>309</v>
      </c>
      <c r="B306" s="1"/>
      <c r="C306" s="1"/>
      <c r="D306" s="1"/>
      <c r="E306" s="1"/>
      <c r="F306" s="1"/>
      <c r="G306" s="1"/>
      <c r="H306" s="4"/>
      <c r="I306" s="4"/>
      <c r="J306" s="4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</row>
    <row r="307" spans="1:28" x14ac:dyDescent="0.25">
      <c r="A307" s="2092" t="s">
        <v>8</v>
      </c>
      <c r="B307" s="1914" t="s">
        <v>1</v>
      </c>
      <c r="C307" s="1916"/>
      <c r="D307" s="1915"/>
      <c r="E307" s="1915"/>
      <c r="F307" s="1917"/>
      <c r="G307" s="1898" t="s">
        <v>1827</v>
      </c>
      <c r="H307" s="1898"/>
      <c r="I307" s="1898"/>
      <c r="J307" s="1898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</row>
    <row r="308" spans="1:28" ht="31.5" customHeight="1" x14ac:dyDescent="0.25">
      <c r="A308" s="2053"/>
      <c r="B308" s="1918"/>
      <c r="C308" s="1919"/>
      <c r="D308" s="1919"/>
      <c r="E308" s="1919"/>
      <c r="F308" s="1920"/>
      <c r="G308" s="1581" t="s">
        <v>736</v>
      </c>
      <c r="H308" s="1581" t="s">
        <v>741</v>
      </c>
      <c r="I308" s="1588" t="s">
        <v>296</v>
      </c>
      <c r="J308" s="1588" t="s">
        <v>256</v>
      </c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</row>
    <row r="309" spans="1:28" hidden="1" x14ac:dyDescent="0.25">
      <c r="A309" s="1630">
        <v>1</v>
      </c>
      <c r="B309" s="1892" t="s">
        <v>1155</v>
      </c>
      <c r="C309" s="2010"/>
      <c r="D309" s="1893"/>
      <c r="E309" s="1893"/>
      <c r="F309" s="1893"/>
      <c r="G309" s="1581" t="s">
        <v>742</v>
      </c>
      <c r="H309" s="59"/>
      <c r="I309" s="1588">
        <v>160</v>
      </c>
      <c r="J309" s="1588">
        <f>H309*I309</f>
        <v>0</v>
      </c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</row>
    <row r="310" spans="1:28" x14ac:dyDescent="0.25">
      <c r="A310" s="1630">
        <v>1</v>
      </c>
      <c r="B310" s="1892" t="s">
        <v>1156</v>
      </c>
      <c r="C310" s="2010"/>
      <c r="D310" s="1893"/>
      <c r="E310" s="1893"/>
      <c r="F310" s="1893"/>
      <c r="G310" s="1581" t="s">
        <v>742</v>
      </c>
      <c r="H310" s="59">
        <v>108</v>
      </c>
      <c r="I310" s="1588">
        <v>230</v>
      </c>
      <c r="J310" s="1588">
        <f>H310*I310</f>
        <v>24840</v>
      </c>
      <c r="K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</row>
    <row r="311" spans="1:28" hidden="1" x14ac:dyDescent="0.25">
      <c r="A311" s="1630">
        <v>3</v>
      </c>
      <c r="B311" s="1892" t="s">
        <v>1157</v>
      </c>
      <c r="C311" s="2010"/>
      <c r="D311" s="1893"/>
      <c r="E311" s="1893"/>
      <c r="F311" s="1893"/>
      <c r="G311" s="1581" t="s">
        <v>742</v>
      </c>
      <c r="H311" s="59"/>
      <c r="I311" s="1588">
        <v>153</v>
      </c>
      <c r="J311" s="1588">
        <f>H311*I311</f>
        <v>0</v>
      </c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</row>
    <row r="312" spans="1:28" hidden="1" x14ac:dyDescent="0.25">
      <c r="A312" s="1630">
        <v>4</v>
      </c>
      <c r="B312" s="1892" t="s">
        <v>1158</v>
      </c>
      <c r="C312" s="2010"/>
      <c r="D312" s="1893"/>
      <c r="E312" s="1893"/>
      <c r="F312" s="1893"/>
      <c r="G312" s="1581" t="s">
        <v>742</v>
      </c>
      <c r="H312" s="59"/>
      <c r="I312" s="1588">
        <v>188</v>
      </c>
      <c r="J312" s="1588">
        <f>H312*I312</f>
        <v>0</v>
      </c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</row>
    <row r="313" spans="1:28" hidden="1" x14ac:dyDescent="0.25">
      <c r="A313" s="1630">
        <v>5</v>
      </c>
      <c r="B313" s="1892" t="s">
        <v>1159</v>
      </c>
      <c r="C313" s="2010"/>
      <c r="D313" s="1893"/>
      <c r="E313" s="1893"/>
      <c r="F313" s="1893"/>
      <c r="G313" s="1581" t="s">
        <v>742</v>
      </c>
      <c r="H313" s="59"/>
      <c r="I313" s="1588">
        <v>205</v>
      </c>
      <c r="J313" s="1588">
        <f>H313*I313</f>
        <v>0</v>
      </c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</row>
    <row r="314" spans="1:28" x14ac:dyDescent="0.25">
      <c r="A314" s="1895" t="s">
        <v>39</v>
      </c>
      <c r="B314" s="1895"/>
      <c r="C314" s="1895"/>
      <c r="D314" s="1895"/>
      <c r="E314" s="1895"/>
      <c r="F314" s="1895"/>
      <c r="G314" s="1895"/>
      <c r="H314" s="1895"/>
      <c r="I314" s="1895"/>
      <c r="J314" s="1589">
        <f>J310</f>
        <v>24840</v>
      </c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</row>
    <row r="315" spans="1:28" x14ac:dyDescent="0.25">
      <c r="A315" s="1601"/>
      <c r="B315" s="1601"/>
      <c r="C315" s="1601"/>
      <c r="D315" s="1601"/>
      <c r="E315" s="1601"/>
      <c r="F315" s="1601"/>
      <c r="G315" s="1601"/>
      <c r="H315" s="1601"/>
      <c r="I315" s="1601"/>
      <c r="J315" s="97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</row>
    <row r="316" spans="1:28" x14ac:dyDescent="0.25">
      <c r="A316" s="1644" t="s">
        <v>1872</v>
      </c>
      <c r="G316" s="60"/>
      <c r="H316" s="69"/>
      <c r="J316" s="4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</row>
    <row r="317" spans="1:28" x14ac:dyDescent="0.25">
      <c r="A317" s="2019" t="s">
        <v>8</v>
      </c>
      <c r="B317" s="1926" t="s">
        <v>35</v>
      </c>
      <c r="C317" s="2046"/>
      <c r="D317" s="2046"/>
      <c r="E317" s="2046"/>
      <c r="F317" s="2046"/>
      <c r="G317" s="2046"/>
      <c r="H317" s="1926" t="s">
        <v>1834</v>
      </c>
      <c r="I317" s="1927"/>
      <c r="J317" s="1927"/>
      <c r="K317" s="344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</row>
    <row r="318" spans="1:28" ht="48.75" customHeight="1" x14ac:dyDescent="0.25">
      <c r="A318" s="1962"/>
      <c r="B318" s="2046"/>
      <c r="C318" s="2046"/>
      <c r="D318" s="2046"/>
      <c r="E318" s="2046"/>
      <c r="F318" s="2046"/>
      <c r="G318" s="2046"/>
      <c r="H318" s="1598" t="s">
        <v>1873</v>
      </c>
      <c r="I318" s="1617" t="s">
        <v>1874</v>
      </c>
      <c r="J318" s="1617" t="s">
        <v>256</v>
      </c>
      <c r="K318" s="344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</row>
    <row r="319" spans="1:28" ht="15" hidden="1" customHeight="1" x14ac:dyDescent="0.25">
      <c r="A319" s="1331" t="s">
        <v>244</v>
      </c>
      <c r="B319" s="2066" t="s">
        <v>1875</v>
      </c>
      <c r="C319" s="2067"/>
      <c r="D319" s="2067"/>
      <c r="E319" s="2067"/>
      <c r="F319" s="2067"/>
      <c r="G319" s="2068"/>
      <c r="H319" s="1376"/>
      <c r="I319" s="1617">
        <v>5.43</v>
      </c>
      <c r="J319" s="1617">
        <f>H319*I319</f>
        <v>0</v>
      </c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</row>
    <row r="320" spans="1:28" x14ac:dyDescent="0.25">
      <c r="A320" s="1331" t="s">
        <v>244</v>
      </c>
      <c r="B320" s="2066" t="s">
        <v>631</v>
      </c>
      <c r="C320" s="2067"/>
      <c r="D320" s="2067"/>
      <c r="E320" s="2067"/>
      <c r="F320" s="2067"/>
      <c r="G320" s="2068"/>
      <c r="H320" s="1230">
        <v>150</v>
      </c>
      <c r="I320" s="1617">
        <v>55</v>
      </c>
      <c r="J320" s="1617">
        <f>H320*I320</f>
        <v>8250</v>
      </c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</row>
    <row r="321" spans="1:28" x14ac:dyDescent="0.25">
      <c r="A321" s="2069" t="s">
        <v>39</v>
      </c>
      <c r="B321" s="2069"/>
      <c r="C321" s="2069"/>
      <c r="D321" s="2069"/>
      <c r="E321" s="2069"/>
      <c r="F321" s="2069"/>
      <c r="G321" s="2069"/>
      <c r="H321" s="2069"/>
      <c r="I321" s="2070"/>
      <c r="J321" s="1192">
        <f>SUM(J319:J320)</f>
        <v>8250</v>
      </c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</row>
    <row r="322" spans="1:28" x14ac:dyDescent="0.25">
      <c r="A322" s="63"/>
      <c r="B322" s="63"/>
      <c r="C322" s="63"/>
      <c r="D322" s="63"/>
      <c r="E322" s="63"/>
      <c r="F322" s="63"/>
      <c r="G322" s="63"/>
      <c r="H322" s="63"/>
      <c r="I322" s="63"/>
      <c r="J322" s="64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</row>
    <row r="323" spans="1:28" x14ac:dyDescent="0.25">
      <c r="A323" s="1644" t="s">
        <v>308</v>
      </c>
      <c r="B323" s="1679"/>
      <c r="C323" s="1679"/>
      <c r="D323" s="1679"/>
      <c r="E323" s="1679"/>
      <c r="F323" s="1679"/>
      <c r="G323" s="1679"/>
      <c r="H323" s="1679"/>
      <c r="I323" s="4"/>
      <c r="J323" s="4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</row>
    <row r="324" spans="1:28" x14ac:dyDescent="0.25">
      <c r="A324" s="1898" t="s">
        <v>8</v>
      </c>
      <c r="B324" s="1898" t="s">
        <v>1</v>
      </c>
      <c r="C324" s="1898"/>
      <c r="D324" s="1898"/>
      <c r="E324" s="1898"/>
      <c r="F324" s="1898" t="s">
        <v>736</v>
      </c>
      <c r="G324" s="1898" t="s">
        <v>1827</v>
      </c>
      <c r="H324" s="1898" t="s">
        <v>735</v>
      </c>
      <c r="I324" s="1898"/>
      <c r="J324" s="1898"/>
      <c r="K324" s="61" t="s">
        <v>1478</v>
      </c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</row>
    <row r="325" spans="1:28" ht="46.5" customHeight="1" x14ac:dyDescent="0.25">
      <c r="A325" s="1898"/>
      <c r="B325" s="1898"/>
      <c r="C325" s="1898"/>
      <c r="D325" s="1898"/>
      <c r="E325" s="1898"/>
      <c r="F325" s="1898"/>
      <c r="G325" s="1581" t="s">
        <v>741</v>
      </c>
      <c r="H325" s="1581" t="s">
        <v>748</v>
      </c>
      <c r="I325" s="1581" t="s">
        <v>268</v>
      </c>
      <c r="J325" s="1581" t="s">
        <v>256</v>
      </c>
      <c r="K325" s="1708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</row>
    <row r="326" spans="1:28" ht="30" customHeight="1" x14ac:dyDescent="0.25">
      <c r="A326" s="1581">
        <v>1</v>
      </c>
      <c r="B326" s="1891" t="s">
        <v>1855</v>
      </c>
      <c r="C326" s="1891"/>
      <c r="D326" s="1891"/>
      <c r="E326" s="1891"/>
      <c r="F326" s="1625" t="s">
        <v>750</v>
      </c>
      <c r="G326" s="1581">
        <v>2</v>
      </c>
      <c r="H326" s="96">
        <f>12-5+1+1+3</f>
        <v>12</v>
      </c>
      <c r="I326" s="1588">
        <v>1400</v>
      </c>
      <c r="J326" s="1588">
        <f>G326*H326*I326</f>
        <v>33600</v>
      </c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</row>
    <row r="327" spans="1:28" x14ac:dyDescent="0.25">
      <c r="A327" s="1946" t="s">
        <v>39</v>
      </c>
      <c r="B327" s="1947"/>
      <c r="C327" s="2096"/>
      <c r="D327" s="1947"/>
      <c r="E327" s="1947"/>
      <c r="F327" s="1947"/>
      <c r="G327" s="1947"/>
      <c r="H327" s="1947"/>
      <c r="I327" s="1948"/>
      <c r="J327" s="1589">
        <f>J326</f>
        <v>33600</v>
      </c>
      <c r="K327" s="351">
        <v>2800</v>
      </c>
      <c r="L327" s="81">
        <f>J327-K327</f>
        <v>30800</v>
      </c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</row>
    <row r="328" spans="1:28" x14ac:dyDescent="0.25">
      <c r="A328" s="1635"/>
      <c r="B328" s="1635"/>
      <c r="C328" s="1635"/>
      <c r="D328" s="1635"/>
      <c r="E328" s="1635"/>
      <c r="F328" s="1635"/>
      <c r="G328" s="1635"/>
      <c r="H328" s="1635"/>
      <c r="I328" s="1635"/>
      <c r="J328" s="98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</row>
    <row r="329" spans="1:28" x14ac:dyDescent="0.25">
      <c r="A329" s="1644" t="s">
        <v>308</v>
      </c>
      <c r="B329" s="1679"/>
      <c r="C329" s="1679"/>
      <c r="D329" s="1679"/>
      <c r="E329" s="1679"/>
      <c r="F329" s="1679"/>
      <c r="G329" s="1679"/>
      <c r="H329" s="1679"/>
      <c r="I329" s="1635"/>
      <c r="J329" s="98"/>
      <c r="K329" s="1045"/>
      <c r="L329" s="83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</row>
    <row r="330" spans="1:28" ht="15" customHeight="1" x14ac:dyDescent="0.25">
      <c r="A330" s="1898" t="s">
        <v>8</v>
      </c>
      <c r="B330" s="1898" t="s">
        <v>1</v>
      </c>
      <c r="C330" s="1898"/>
      <c r="D330" s="1898"/>
      <c r="E330" s="1898"/>
      <c r="F330" s="1898" t="s">
        <v>736</v>
      </c>
      <c r="G330" s="1898" t="s">
        <v>1827</v>
      </c>
      <c r="H330" s="1898" t="s">
        <v>735</v>
      </c>
      <c r="I330" s="1898"/>
      <c r="J330" s="1898"/>
      <c r="K330" s="344" t="s">
        <v>1478</v>
      </c>
      <c r="L330" s="83"/>
      <c r="M330" s="61"/>
      <c r="N330" s="343"/>
      <c r="O330" s="343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</row>
    <row r="331" spans="1:28" ht="45" x14ac:dyDescent="0.25">
      <c r="A331" s="1898"/>
      <c r="B331" s="1898"/>
      <c r="C331" s="1898"/>
      <c r="D331" s="1898"/>
      <c r="E331" s="1898"/>
      <c r="F331" s="1898"/>
      <c r="G331" s="1581" t="s">
        <v>741</v>
      </c>
      <c r="H331" s="1581" t="s">
        <v>748</v>
      </c>
      <c r="I331" s="1581" t="s">
        <v>268</v>
      </c>
      <c r="J331" s="1581" t="s">
        <v>256</v>
      </c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</row>
    <row r="332" spans="1:28" ht="45" customHeight="1" x14ac:dyDescent="0.25">
      <c r="A332" s="1581">
        <v>1</v>
      </c>
      <c r="B332" s="2003" t="s">
        <v>1856</v>
      </c>
      <c r="C332" s="2047"/>
      <c r="D332" s="2047"/>
      <c r="E332" s="2047"/>
      <c r="F332" s="1625" t="s">
        <v>750</v>
      </c>
      <c r="G332" s="1230">
        <v>2</v>
      </c>
      <c r="H332" s="1230">
        <v>12</v>
      </c>
      <c r="I332" s="1617">
        <v>2167.6999999999998</v>
      </c>
      <c r="J332" s="1617">
        <f t="shared" ref="J332" si="3">G332*H332*I332</f>
        <v>52024.800000000003</v>
      </c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</row>
    <row r="333" spans="1:28" x14ac:dyDescent="0.25">
      <c r="A333" s="1895" t="s">
        <v>39</v>
      </c>
      <c r="B333" s="1895"/>
      <c r="C333" s="1895"/>
      <c r="D333" s="1895"/>
      <c r="E333" s="1895"/>
      <c r="F333" s="1895"/>
      <c r="G333" s="1895"/>
      <c r="H333" s="1895"/>
      <c r="I333" s="1895"/>
      <c r="J333" s="1589">
        <f>J332</f>
        <v>52024.800000000003</v>
      </c>
      <c r="K333" s="344">
        <v>4335.3999999999996</v>
      </c>
      <c r="L333" s="81">
        <f>J333-K333</f>
        <v>47689.4</v>
      </c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</row>
    <row r="334" spans="1:28" hidden="1" x14ac:dyDescent="0.25">
      <c r="A334" s="1924" t="s">
        <v>514</v>
      </c>
      <c r="B334" s="1925"/>
      <c r="C334" s="1925"/>
      <c r="D334" s="1925"/>
      <c r="E334" s="1925"/>
      <c r="F334" s="1925"/>
      <c r="G334" s="1925"/>
      <c r="H334" s="1925"/>
      <c r="I334" s="1925"/>
      <c r="J334" s="1925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</row>
    <row r="335" spans="1:28" hidden="1" x14ac:dyDescent="0.25">
      <c r="A335" s="1913" t="s">
        <v>1134</v>
      </c>
      <c r="B335" s="1913"/>
      <c r="C335" s="1913"/>
      <c r="D335" s="1913"/>
      <c r="E335" s="1913"/>
      <c r="F335" s="1913"/>
      <c r="G335" s="1913"/>
      <c r="H335" s="1913"/>
      <c r="I335" s="1913"/>
      <c r="J335" s="1594">
        <v>0</v>
      </c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</row>
    <row r="336" spans="1:28" ht="13.5" hidden="1" customHeight="1" x14ac:dyDescent="0.25">
      <c r="A336" s="1913" t="s">
        <v>153</v>
      </c>
      <c r="B336" s="1913"/>
      <c r="C336" s="1913"/>
      <c r="D336" s="1913"/>
      <c r="E336" s="1913"/>
      <c r="F336" s="1913"/>
      <c r="G336" s="1913"/>
      <c r="H336" s="1913"/>
      <c r="I336" s="1913"/>
      <c r="J336" s="1594">
        <f>3284.4*6+3284.4</f>
        <v>22990.799999999999</v>
      </c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</row>
    <row r="337" spans="1:28" ht="13.5" hidden="1" customHeight="1" x14ac:dyDescent="0.25">
      <c r="A337" s="1891" t="s">
        <v>619</v>
      </c>
      <c r="B337" s="1891"/>
      <c r="C337" s="1891"/>
      <c r="D337" s="1891"/>
      <c r="E337" s="1891"/>
      <c r="F337" s="1891"/>
      <c r="G337" s="1891"/>
      <c r="H337" s="1891"/>
      <c r="I337" s="1891"/>
      <c r="J337" s="1588">
        <f>J333-J335-J336-J338</f>
        <v>29034</v>
      </c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</row>
    <row r="338" spans="1:28" ht="13.5" hidden="1" customHeight="1" x14ac:dyDescent="0.25">
      <c r="A338" s="1891" t="s">
        <v>1147</v>
      </c>
      <c r="B338" s="1891"/>
      <c r="C338" s="1891"/>
      <c r="D338" s="1891"/>
      <c r="E338" s="1891"/>
      <c r="F338" s="1891"/>
      <c r="G338" s="1891"/>
      <c r="H338" s="1891"/>
      <c r="I338" s="1891"/>
      <c r="J338" s="360">
        <v>0</v>
      </c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</row>
    <row r="339" spans="1:28" x14ac:dyDescent="0.25">
      <c r="A339" s="1635"/>
      <c r="B339" s="1635"/>
      <c r="C339" s="1635"/>
      <c r="D339" s="1635"/>
      <c r="E339" s="1635"/>
      <c r="F339" s="1635"/>
      <c r="G339" s="1635"/>
      <c r="H339" s="1635"/>
      <c r="I339" s="1635"/>
      <c r="J339" s="98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</row>
    <row r="340" spans="1:28" x14ac:dyDescent="0.25">
      <c r="A340" s="1908" t="s">
        <v>308</v>
      </c>
      <c r="B340" s="1908"/>
      <c r="C340" s="1908"/>
      <c r="D340" s="1908"/>
      <c r="E340" s="1908"/>
      <c r="F340" s="1908"/>
      <c r="G340" s="1908"/>
      <c r="H340" s="1908"/>
      <c r="I340" s="1635"/>
      <c r="J340" s="98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</row>
    <row r="341" spans="1:28" x14ac:dyDescent="0.25">
      <c r="A341" s="1898" t="s">
        <v>8</v>
      </c>
      <c r="B341" s="1898" t="s">
        <v>1</v>
      </c>
      <c r="C341" s="1898"/>
      <c r="D341" s="1898"/>
      <c r="E341" s="1898"/>
      <c r="F341" s="1898" t="s">
        <v>736</v>
      </c>
      <c r="G341" s="1898" t="s">
        <v>1827</v>
      </c>
      <c r="H341" s="1898" t="s">
        <v>735</v>
      </c>
      <c r="I341" s="1898"/>
      <c r="J341" s="1898"/>
      <c r="K341" s="70" t="s">
        <v>1478</v>
      </c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</row>
    <row r="342" spans="1:28" ht="42.75" customHeight="1" x14ac:dyDescent="0.25">
      <c r="A342" s="1898"/>
      <c r="B342" s="1898"/>
      <c r="C342" s="1898"/>
      <c r="D342" s="1898"/>
      <c r="E342" s="1898"/>
      <c r="F342" s="1898"/>
      <c r="G342" s="1581" t="s">
        <v>741</v>
      </c>
      <c r="H342" s="1581" t="s">
        <v>748</v>
      </c>
      <c r="I342" s="1581" t="s">
        <v>268</v>
      </c>
      <c r="J342" s="1581" t="s">
        <v>256</v>
      </c>
      <c r="K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</row>
    <row r="343" spans="1:28" ht="30" customHeight="1" x14ac:dyDescent="0.25">
      <c r="A343" s="1625">
        <v>1</v>
      </c>
      <c r="B343" s="1907" t="s">
        <v>1857</v>
      </c>
      <c r="C343" s="1908"/>
      <c r="D343" s="1908"/>
      <c r="E343" s="1908"/>
      <c r="F343" s="1625" t="s">
        <v>750</v>
      </c>
      <c r="G343" s="1625">
        <v>1</v>
      </c>
      <c r="H343" s="1665">
        <v>12</v>
      </c>
      <c r="I343" s="801">
        <v>3000</v>
      </c>
      <c r="J343" s="1591">
        <f>G343*H343*I343</f>
        <v>36000</v>
      </c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</row>
    <row r="344" spans="1:28" ht="29.25" customHeight="1" x14ac:dyDescent="0.25">
      <c r="A344" s="1625">
        <v>2</v>
      </c>
      <c r="B344" s="1907" t="s">
        <v>1858</v>
      </c>
      <c r="C344" s="1908"/>
      <c r="D344" s="1908"/>
      <c r="E344" s="1908"/>
      <c r="F344" s="1625" t="s">
        <v>750</v>
      </c>
      <c r="G344" s="1625">
        <v>1</v>
      </c>
      <c r="H344" s="1665">
        <v>12</v>
      </c>
      <c r="I344" s="801">
        <v>7000</v>
      </c>
      <c r="J344" s="1591">
        <f>G344*H344*I344</f>
        <v>84000</v>
      </c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</row>
    <row r="345" spans="1:28" ht="14.25" customHeight="1" x14ac:dyDescent="0.25">
      <c r="A345" s="1946" t="s">
        <v>39</v>
      </c>
      <c r="B345" s="1947"/>
      <c r="C345" s="2096"/>
      <c r="D345" s="1947"/>
      <c r="E345" s="1947"/>
      <c r="F345" s="1947"/>
      <c r="G345" s="1947"/>
      <c r="H345" s="1947"/>
      <c r="I345" s="1948"/>
      <c r="J345" s="1589">
        <f>SUM(J343:J344)</f>
        <v>120000</v>
      </c>
      <c r="K345" s="344">
        <v>10000</v>
      </c>
      <c r="L345" s="81">
        <f>J345-K345</f>
        <v>110000</v>
      </c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</row>
    <row r="346" spans="1:28" hidden="1" x14ac:dyDescent="0.25">
      <c r="A346" s="1924" t="s">
        <v>514</v>
      </c>
      <c r="B346" s="1925"/>
      <c r="C346" s="1925"/>
      <c r="D346" s="1925"/>
      <c r="E346" s="1925"/>
      <c r="F346" s="1925"/>
      <c r="G346" s="1925"/>
      <c r="H346" s="1925"/>
      <c r="I346" s="1925"/>
      <c r="J346" s="1925"/>
      <c r="K346" s="1648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</row>
    <row r="347" spans="1:28" hidden="1" x14ac:dyDescent="0.25">
      <c r="A347" s="1913" t="s">
        <v>1134</v>
      </c>
      <c r="B347" s="1913"/>
      <c r="C347" s="1913"/>
      <c r="D347" s="1913"/>
      <c r="E347" s="1913"/>
      <c r="F347" s="1913"/>
      <c r="G347" s="1913"/>
      <c r="H347" s="1913"/>
      <c r="I347" s="1913"/>
      <c r="J347" s="1594">
        <v>0</v>
      </c>
      <c r="K347" s="344">
        <v>0</v>
      </c>
      <c r="L347" s="81">
        <f>J347-K347</f>
        <v>0</v>
      </c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</row>
    <row r="348" spans="1:28" hidden="1" x14ac:dyDescent="0.25">
      <c r="A348" s="1913" t="s">
        <v>153</v>
      </c>
      <c r="B348" s="1913"/>
      <c r="C348" s="1913"/>
      <c r="D348" s="1913"/>
      <c r="E348" s="1913"/>
      <c r="F348" s="1913"/>
      <c r="G348" s="1913"/>
      <c r="H348" s="1913"/>
      <c r="I348" s="1913"/>
      <c r="J348" s="1594" t="e">
        <f>#REF!+12000*5+12000</f>
        <v>#REF!</v>
      </c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</row>
    <row r="349" spans="1:28" hidden="1" x14ac:dyDescent="0.25">
      <c r="A349" s="1891" t="s">
        <v>619</v>
      </c>
      <c r="B349" s="1891"/>
      <c r="C349" s="1891"/>
      <c r="D349" s="1891"/>
      <c r="E349" s="1891"/>
      <c r="F349" s="1891"/>
      <c r="G349" s="1891"/>
      <c r="H349" s="1891"/>
      <c r="I349" s="1891"/>
      <c r="J349" s="1588" t="e">
        <f>J345-J347-J348-J350</f>
        <v>#REF!</v>
      </c>
      <c r="K349" s="1648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</row>
    <row r="350" spans="1:28" hidden="1" x14ac:dyDescent="0.25">
      <c r="A350" s="1891" t="s">
        <v>1147</v>
      </c>
      <c r="B350" s="1891"/>
      <c r="C350" s="1891"/>
      <c r="D350" s="1891"/>
      <c r="E350" s="1891"/>
      <c r="F350" s="1891"/>
      <c r="G350" s="1891"/>
      <c r="H350" s="1891"/>
      <c r="I350" s="1891"/>
      <c r="J350" s="360">
        <v>0</v>
      </c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</row>
    <row r="351" spans="1:28" x14ac:dyDescent="0.25">
      <c r="A351" s="1635"/>
      <c r="B351" s="1635"/>
      <c r="C351" s="1635"/>
      <c r="D351" s="1635"/>
      <c r="E351" s="1635"/>
      <c r="F351" s="1635"/>
      <c r="G351" s="1635"/>
      <c r="H351" s="1635"/>
      <c r="I351" s="1635"/>
      <c r="J351" s="98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</row>
    <row r="352" spans="1:28" hidden="1" x14ac:dyDescent="0.25">
      <c r="A352" s="1908" t="s">
        <v>1068</v>
      </c>
      <c r="B352" s="1908"/>
      <c r="C352" s="1908"/>
      <c r="D352" s="1908"/>
      <c r="E352" s="1908"/>
      <c r="F352" s="1908"/>
      <c r="G352" s="1908"/>
      <c r="H352" s="1908"/>
      <c r="I352" s="1635"/>
      <c r="J352" s="98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</row>
    <row r="353" spans="1:28" hidden="1" x14ac:dyDescent="0.25">
      <c r="A353" s="1898" t="s">
        <v>8</v>
      </c>
      <c r="B353" s="1898" t="s">
        <v>1</v>
      </c>
      <c r="C353" s="1898"/>
      <c r="D353" s="1898"/>
      <c r="E353" s="1898"/>
      <c r="F353" s="1898" t="s">
        <v>736</v>
      </c>
      <c r="G353" s="1898" t="s">
        <v>735</v>
      </c>
      <c r="H353" s="1898" t="s">
        <v>735</v>
      </c>
      <c r="I353" s="1898"/>
      <c r="J353" s="1898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</row>
    <row r="354" spans="1:28" ht="75" hidden="1" customHeight="1" x14ac:dyDescent="0.25">
      <c r="A354" s="1898"/>
      <c r="B354" s="1898"/>
      <c r="C354" s="1898"/>
      <c r="D354" s="1898"/>
      <c r="E354" s="1898"/>
      <c r="F354" s="1898"/>
      <c r="G354" s="1899" t="s">
        <v>753</v>
      </c>
      <c r="H354" s="1901"/>
      <c r="I354" s="1581" t="s">
        <v>752</v>
      </c>
      <c r="J354" s="1581" t="s">
        <v>256</v>
      </c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</row>
    <row r="355" spans="1:28" ht="15" hidden="1" customHeight="1" x14ac:dyDescent="0.25">
      <c r="A355" s="1625">
        <v>1</v>
      </c>
      <c r="B355" s="2125" t="s">
        <v>754</v>
      </c>
      <c r="C355" s="2126"/>
      <c r="D355" s="2127"/>
      <c r="E355" s="2128"/>
      <c r="F355" s="1625" t="s">
        <v>108</v>
      </c>
      <c r="G355" s="1899"/>
      <c r="H355" s="1901"/>
      <c r="I355" s="1588"/>
      <c r="J355" s="1588">
        <f>G355*I355</f>
        <v>0</v>
      </c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</row>
    <row r="356" spans="1:28" ht="16.5" hidden="1" customHeight="1" x14ac:dyDescent="0.25">
      <c r="A356" s="1946" t="s">
        <v>39</v>
      </c>
      <c r="B356" s="1947"/>
      <c r="C356" s="2096"/>
      <c r="D356" s="1947"/>
      <c r="E356" s="1947"/>
      <c r="F356" s="1947"/>
      <c r="G356" s="1947"/>
      <c r="H356" s="1947"/>
      <c r="I356" s="1948"/>
      <c r="J356" s="1589">
        <f>J355</f>
        <v>0</v>
      </c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</row>
    <row r="357" spans="1:28" ht="15" hidden="1" customHeight="1" x14ac:dyDescent="0.25">
      <c r="A357" s="1924" t="s">
        <v>514</v>
      </c>
      <c r="B357" s="1925"/>
      <c r="C357" s="2123"/>
      <c r="D357" s="1925"/>
      <c r="E357" s="1925"/>
      <c r="F357" s="1925"/>
      <c r="G357" s="1925"/>
      <c r="H357" s="1925"/>
      <c r="I357" s="1925"/>
      <c r="J357" s="1925"/>
      <c r="K357" s="344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</row>
    <row r="358" spans="1:28" ht="32.25" hidden="1" customHeight="1" x14ac:dyDescent="0.25">
      <c r="A358" s="2124" t="s">
        <v>834</v>
      </c>
      <c r="B358" s="2124"/>
      <c r="C358" s="2124"/>
      <c r="D358" s="2124"/>
      <c r="E358" s="2124"/>
      <c r="F358" s="2124"/>
      <c r="G358" s="2124"/>
      <c r="H358" s="2124"/>
      <c r="I358" s="2124"/>
      <c r="J358" s="1709">
        <f>J355</f>
        <v>0</v>
      </c>
      <c r="K358" s="344"/>
      <c r="M358" s="8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</row>
    <row r="359" spans="1:28" ht="15" hidden="1" customHeight="1" x14ac:dyDescent="0.25">
      <c r="A359" s="1891" t="s">
        <v>155</v>
      </c>
      <c r="B359" s="1891"/>
      <c r="C359" s="1891"/>
      <c r="D359" s="1891"/>
      <c r="E359" s="1891"/>
      <c r="F359" s="1891"/>
      <c r="G359" s="1891"/>
      <c r="H359" s="1891"/>
      <c r="I359" s="1891"/>
      <c r="J359" s="1588"/>
      <c r="K359" s="344"/>
      <c r="M359" s="1710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</row>
    <row r="360" spans="1:28" hidden="1" x14ac:dyDescent="0.25">
      <c r="A360" s="1753"/>
      <c r="B360" s="1753"/>
      <c r="C360" s="1753"/>
      <c r="D360" s="1753"/>
      <c r="E360" s="1753"/>
      <c r="F360" s="1753"/>
      <c r="G360" s="1753"/>
      <c r="H360" s="1753"/>
      <c r="I360" s="1635"/>
      <c r="J360" s="98"/>
      <c r="K360" s="344"/>
      <c r="M360" s="1710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</row>
    <row r="361" spans="1:28" ht="15" customHeight="1" x14ac:dyDescent="0.25">
      <c r="A361" s="1908" t="s">
        <v>308</v>
      </c>
      <c r="B361" s="1908"/>
      <c r="C361" s="1908"/>
      <c r="D361" s="1908"/>
      <c r="E361" s="1908"/>
      <c r="F361" s="1908"/>
      <c r="G361" s="1908"/>
      <c r="H361" s="1908"/>
      <c r="I361" s="1635"/>
      <c r="J361" s="98"/>
      <c r="K361" s="351"/>
      <c r="L361" s="365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</row>
    <row r="362" spans="1:28" x14ac:dyDescent="0.25">
      <c r="A362" s="1898" t="s">
        <v>8</v>
      </c>
      <c r="B362" s="1898" t="s">
        <v>1</v>
      </c>
      <c r="C362" s="1898"/>
      <c r="D362" s="1898"/>
      <c r="E362" s="1898"/>
      <c r="F362" s="1898" t="s">
        <v>736</v>
      </c>
      <c r="G362" s="1898" t="s">
        <v>1827</v>
      </c>
      <c r="H362" s="1898" t="s">
        <v>735</v>
      </c>
      <c r="I362" s="1898"/>
      <c r="J362" s="1898"/>
      <c r="K362" s="344" t="s">
        <v>1478</v>
      </c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</row>
    <row r="363" spans="1:28" ht="45.75" customHeight="1" x14ac:dyDescent="0.25">
      <c r="A363" s="1898"/>
      <c r="B363" s="1898"/>
      <c r="C363" s="1898"/>
      <c r="D363" s="1898"/>
      <c r="E363" s="1898"/>
      <c r="F363" s="1898"/>
      <c r="G363" s="1581" t="s">
        <v>741</v>
      </c>
      <c r="H363" s="1581" t="s">
        <v>748</v>
      </c>
      <c r="I363" s="1581" t="s">
        <v>268</v>
      </c>
      <c r="J363" s="1581" t="s">
        <v>256</v>
      </c>
      <c r="K363" s="344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</row>
    <row r="364" spans="1:28" ht="44.25" customHeight="1" x14ac:dyDescent="0.25">
      <c r="A364" s="1625">
        <v>1</v>
      </c>
      <c r="B364" s="1907" t="s">
        <v>1859</v>
      </c>
      <c r="C364" s="1908"/>
      <c r="D364" s="1908"/>
      <c r="E364" s="1908"/>
      <c r="F364" s="1625" t="s">
        <v>750</v>
      </c>
      <c r="G364" s="1625">
        <v>1</v>
      </c>
      <c r="H364" s="1665">
        <v>12</v>
      </c>
      <c r="I364" s="801">
        <v>3779</v>
      </c>
      <c r="J364" s="1591">
        <f>G364*H364*I364</f>
        <v>45348</v>
      </c>
      <c r="K364" s="344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</row>
    <row r="365" spans="1:28" ht="47.25" customHeight="1" x14ac:dyDescent="0.25">
      <c r="A365" s="1625">
        <v>2</v>
      </c>
      <c r="B365" s="1907" t="s">
        <v>1860</v>
      </c>
      <c r="C365" s="1908"/>
      <c r="D365" s="1908"/>
      <c r="E365" s="1908"/>
      <c r="F365" s="1625" t="s">
        <v>750</v>
      </c>
      <c r="G365" s="1625">
        <v>1</v>
      </c>
      <c r="H365" s="1665">
        <v>12</v>
      </c>
      <c r="I365" s="801">
        <v>3759</v>
      </c>
      <c r="J365" s="1591">
        <f>G365*H365*I365</f>
        <v>45108</v>
      </c>
      <c r="K365" s="344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</row>
    <row r="366" spans="1:28" x14ac:dyDescent="0.25">
      <c r="A366" s="1946" t="s">
        <v>39</v>
      </c>
      <c r="B366" s="1947"/>
      <c r="C366" s="2096"/>
      <c r="D366" s="1947"/>
      <c r="E366" s="1947"/>
      <c r="F366" s="1947"/>
      <c r="G366" s="1947"/>
      <c r="H366" s="1947"/>
      <c r="I366" s="1948"/>
      <c r="J366" s="1589">
        <f>SUM(J364:J365)</f>
        <v>90456</v>
      </c>
      <c r="K366" s="344">
        <v>7538</v>
      </c>
      <c r="L366" s="81">
        <f>J366-K366</f>
        <v>82918</v>
      </c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</row>
    <row r="367" spans="1:28" hidden="1" x14ac:dyDescent="0.25">
      <c r="A367" s="1924" t="s">
        <v>514</v>
      </c>
      <c r="B367" s="1925"/>
      <c r="C367" s="1925"/>
      <c r="D367" s="1925"/>
      <c r="E367" s="1925"/>
      <c r="F367" s="1925"/>
      <c r="G367" s="1925"/>
      <c r="H367" s="1925"/>
      <c r="I367" s="1925"/>
      <c r="J367" s="1925"/>
      <c r="K367" s="344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</row>
    <row r="368" spans="1:28" hidden="1" x14ac:dyDescent="0.25">
      <c r="A368" s="1913" t="s">
        <v>1134</v>
      </c>
      <c r="B368" s="1913"/>
      <c r="C368" s="1913"/>
      <c r="D368" s="1913"/>
      <c r="E368" s="1913"/>
      <c r="F368" s="1913"/>
      <c r="G368" s="1913"/>
      <c r="H368" s="1913"/>
      <c r="I368" s="1913"/>
      <c r="J368" s="1594">
        <v>0</v>
      </c>
      <c r="K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</row>
    <row r="369" spans="1:28" hidden="1" x14ac:dyDescent="0.25">
      <c r="A369" s="1913" t="s">
        <v>153</v>
      </c>
      <c r="B369" s="1913"/>
      <c r="C369" s="1913"/>
      <c r="D369" s="1913"/>
      <c r="E369" s="1913"/>
      <c r="F369" s="1913"/>
      <c r="G369" s="1913"/>
      <c r="H369" s="1913"/>
      <c r="I369" s="1913"/>
      <c r="J369" s="1594">
        <f>8000*6+8000</f>
        <v>56000</v>
      </c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</row>
    <row r="370" spans="1:28" hidden="1" x14ac:dyDescent="0.25">
      <c r="A370" s="1891" t="s">
        <v>619</v>
      </c>
      <c r="B370" s="1891"/>
      <c r="C370" s="1891"/>
      <c r="D370" s="1891"/>
      <c r="E370" s="1891"/>
      <c r="F370" s="1891"/>
      <c r="G370" s="1891"/>
      <c r="H370" s="1891"/>
      <c r="I370" s="1891"/>
      <c r="J370" s="1588">
        <f>J366-J368-J369-J371</f>
        <v>34456</v>
      </c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</row>
    <row r="371" spans="1:28" hidden="1" x14ac:dyDescent="0.25">
      <c r="A371" s="1891" t="s">
        <v>1147</v>
      </c>
      <c r="B371" s="1891"/>
      <c r="C371" s="1891"/>
      <c r="D371" s="1891"/>
      <c r="E371" s="1891"/>
      <c r="F371" s="1891"/>
      <c r="G371" s="1891"/>
      <c r="H371" s="1891"/>
      <c r="I371" s="1891"/>
      <c r="J371" s="360">
        <v>0</v>
      </c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</row>
    <row r="372" spans="1:28" x14ac:dyDescent="0.25">
      <c r="A372" s="1635"/>
      <c r="B372" s="1635"/>
      <c r="C372" s="1635"/>
      <c r="D372" s="1635"/>
      <c r="E372" s="1635"/>
      <c r="F372" s="1635"/>
      <c r="G372" s="1635"/>
      <c r="H372" s="1635"/>
      <c r="I372" s="1635"/>
      <c r="J372" s="98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</row>
    <row r="373" spans="1:28" x14ac:dyDescent="0.25">
      <c r="A373" s="1908" t="s">
        <v>308</v>
      </c>
      <c r="B373" s="1908"/>
      <c r="C373" s="1908"/>
      <c r="D373" s="1908"/>
      <c r="E373" s="1908"/>
      <c r="F373" s="1908"/>
      <c r="G373" s="1908"/>
      <c r="H373" s="1908"/>
      <c r="I373" s="1635"/>
      <c r="J373" s="98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</row>
    <row r="374" spans="1:28" x14ac:dyDescent="0.25">
      <c r="A374" s="1898" t="s">
        <v>8</v>
      </c>
      <c r="B374" s="1898" t="s">
        <v>1</v>
      </c>
      <c r="C374" s="1898"/>
      <c r="D374" s="1898"/>
      <c r="E374" s="1898"/>
      <c r="F374" s="1898" t="s">
        <v>736</v>
      </c>
      <c r="G374" s="1898" t="s">
        <v>1827</v>
      </c>
      <c r="H374" s="1898" t="s">
        <v>735</v>
      </c>
      <c r="I374" s="1898"/>
      <c r="J374" s="1898"/>
      <c r="K374" s="61" t="s">
        <v>1478</v>
      </c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</row>
    <row r="375" spans="1:28" ht="45.75" customHeight="1" x14ac:dyDescent="0.25">
      <c r="A375" s="1898"/>
      <c r="B375" s="1898"/>
      <c r="C375" s="1898"/>
      <c r="D375" s="1898"/>
      <c r="E375" s="1898"/>
      <c r="F375" s="1898"/>
      <c r="G375" s="1581" t="s">
        <v>741</v>
      </c>
      <c r="H375" s="1581" t="s">
        <v>748</v>
      </c>
      <c r="I375" s="1581" t="s">
        <v>268</v>
      </c>
      <c r="J375" s="1581" t="s">
        <v>256</v>
      </c>
      <c r="K375" s="344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</row>
    <row r="376" spans="1:28" ht="29.25" customHeight="1" x14ac:dyDescent="0.25">
      <c r="A376" s="1625">
        <v>1</v>
      </c>
      <c r="B376" s="1907" t="s">
        <v>1861</v>
      </c>
      <c r="C376" s="1908"/>
      <c r="D376" s="1908"/>
      <c r="E376" s="1908"/>
      <c r="F376" s="1625" t="s">
        <v>108</v>
      </c>
      <c r="G376" s="1625">
        <v>1</v>
      </c>
      <c r="H376" s="1665">
        <f>9</f>
        <v>9</v>
      </c>
      <c r="I376" s="801">
        <v>22000</v>
      </c>
      <c r="J376" s="1588">
        <f>G376*H376*I376</f>
        <v>198000</v>
      </c>
      <c r="K376" s="344"/>
      <c r="M376" s="343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</row>
    <row r="377" spans="1:28" x14ac:dyDescent="0.25">
      <c r="A377" s="1946" t="s">
        <v>39</v>
      </c>
      <c r="B377" s="1947"/>
      <c r="C377" s="2096"/>
      <c r="D377" s="1947"/>
      <c r="E377" s="1947"/>
      <c r="F377" s="1947"/>
      <c r="G377" s="1947"/>
      <c r="H377" s="1947"/>
      <c r="I377" s="1948"/>
      <c r="J377" s="1589">
        <f>SUM(J376:J376)</f>
        <v>198000</v>
      </c>
      <c r="K377" s="344">
        <v>22000</v>
      </c>
      <c r="L377" s="81">
        <f>J377-K377</f>
        <v>176000</v>
      </c>
      <c r="M377" s="343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</row>
    <row r="378" spans="1:28" hidden="1" x14ac:dyDescent="0.25">
      <c r="A378" s="1924" t="s">
        <v>514</v>
      </c>
      <c r="B378" s="1925"/>
      <c r="C378" s="1925"/>
      <c r="D378" s="1925"/>
      <c r="E378" s="1925"/>
      <c r="F378" s="1925"/>
      <c r="G378" s="1925"/>
      <c r="H378" s="1925"/>
      <c r="I378" s="1925"/>
      <c r="J378" s="1925"/>
      <c r="K378" s="344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</row>
    <row r="379" spans="1:28" hidden="1" x14ac:dyDescent="0.25">
      <c r="A379" s="1913" t="s">
        <v>1134</v>
      </c>
      <c r="B379" s="1913"/>
      <c r="C379" s="1913"/>
      <c r="D379" s="1913"/>
      <c r="E379" s="1913"/>
      <c r="F379" s="1913"/>
      <c r="G379" s="1913"/>
      <c r="H379" s="1913"/>
      <c r="I379" s="1913"/>
      <c r="J379" s="1594">
        <v>0</v>
      </c>
      <c r="K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</row>
    <row r="380" spans="1:28" ht="29.25" hidden="1" customHeight="1" x14ac:dyDescent="0.25">
      <c r="A380" s="1953" t="s">
        <v>1790</v>
      </c>
      <c r="B380" s="1953"/>
      <c r="C380" s="1953"/>
      <c r="D380" s="1953"/>
      <c r="E380" s="1953"/>
      <c r="F380" s="1953"/>
      <c r="G380" s="1953"/>
      <c r="H380" s="1953"/>
      <c r="I380" s="1953"/>
      <c r="J380" s="1594"/>
      <c r="K380" s="344"/>
      <c r="L380" s="8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</row>
    <row r="381" spans="1:28" ht="29.25" hidden="1" customHeight="1" x14ac:dyDescent="0.25">
      <c r="A381" s="1891" t="s">
        <v>1791</v>
      </c>
      <c r="B381" s="1891"/>
      <c r="C381" s="1891"/>
      <c r="D381" s="1891"/>
      <c r="E381" s="1891"/>
      <c r="F381" s="1891"/>
      <c r="G381" s="1891"/>
      <c r="H381" s="1891"/>
      <c r="I381" s="1891"/>
      <c r="J381" s="1588"/>
      <c r="K381" s="344"/>
      <c r="L381" s="8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</row>
    <row r="382" spans="1:28" hidden="1" x14ac:dyDescent="0.25">
      <c r="A382" s="1891" t="s">
        <v>1147</v>
      </c>
      <c r="B382" s="1891"/>
      <c r="C382" s="1891"/>
      <c r="D382" s="1891"/>
      <c r="E382" s="1891"/>
      <c r="F382" s="1891"/>
      <c r="G382" s="1891"/>
      <c r="H382" s="1891"/>
      <c r="I382" s="1891"/>
      <c r="J382" s="360">
        <v>0</v>
      </c>
      <c r="K382" s="344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</row>
    <row r="383" spans="1:28" x14ac:dyDescent="0.25">
      <c r="A383" s="1635"/>
      <c r="B383" s="1635"/>
      <c r="C383" s="1635"/>
      <c r="D383" s="1635"/>
      <c r="E383" s="1635"/>
      <c r="F383" s="1635"/>
      <c r="G383" s="1635"/>
      <c r="H383" s="1635"/>
      <c r="I383" s="1635"/>
      <c r="J383" s="98"/>
      <c r="K383" s="344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</row>
    <row r="384" spans="1:28" x14ac:dyDescent="0.25">
      <c r="A384" s="1908" t="s">
        <v>308</v>
      </c>
      <c r="B384" s="1908"/>
      <c r="C384" s="1908"/>
      <c r="D384" s="1908"/>
      <c r="E384" s="1908"/>
      <c r="F384" s="1908"/>
      <c r="G384" s="1908"/>
      <c r="H384" s="1908"/>
      <c r="I384" s="1635"/>
      <c r="J384" s="98"/>
      <c r="K384" s="344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</row>
    <row r="385" spans="1:28" x14ac:dyDescent="0.25">
      <c r="A385" s="1898" t="s">
        <v>8</v>
      </c>
      <c r="B385" s="1898" t="s">
        <v>1</v>
      </c>
      <c r="C385" s="1898"/>
      <c r="D385" s="1898"/>
      <c r="E385" s="1898"/>
      <c r="F385" s="1898" t="s">
        <v>736</v>
      </c>
      <c r="G385" s="1898" t="s">
        <v>1827</v>
      </c>
      <c r="H385" s="1898" t="s">
        <v>735</v>
      </c>
      <c r="I385" s="1898"/>
      <c r="J385" s="1898"/>
      <c r="K385" s="344" t="s">
        <v>1478</v>
      </c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</row>
    <row r="386" spans="1:28" ht="47.25" customHeight="1" x14ac:dyDescent="0.25">
      <c r="A386" s="1898"/>
      <c r="B386" s="1898"/>
      <c r="C386" s="1898"/>
      <c r="D386" s="1898"/>
      <c r="E386" s="1898"/>
      <c r="F386" s="1898"/>
      <c r="G386" s="1581" t="s">
        <v>747</v>
      </c>
      <c r="H386" s="1581" t="s">
        <v>748</v>
      </c>
      <c r="I386" s="1581" t="s">
        <v>268</v>
      </c>
      <c r="J386" s="1581" t="s">
        <v>256</v>
      </c>
      <c r="K386" s="70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</row>
    <row r="387" spans="1:28" ht="30.75" customHeight="1" x14ac:dyDescent="0.25">
      <c r="A387" s="1581">
        <v>1</v>
      </c>
      <c r="B387" s="1891" t="s">
        <v>1164</v>
      </c>
      <c r="C387" s="1891"/>
      <c r="D387" s="1891"/>
      <c r="E387" s="1891"/>
      <c r="F387" s="1581" t="s">
        <v>1862</v>
      </c>
      <c r="G387" s="1581">
        <v>7</v>
      </c>
      <c r="H387" s="96">
        <v>10</v>
      </c>
      <c r="I387" s="1588">
        <v>640</v>
      </c>
      <c r="J387" s="1588">
        <f>G387*H387*I387</f>
        <v>44800</v>
      </c>
      <c r="K387" s="343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</row>
    <row r="388" spans="1:28" ht="30" customHeight="1" x14ac:dyDescent="0.25">
      <c r="A388" s="1581">
        <v>2</v>
      </c>
      <c r="B388" s="1891" t="s">
        <v>1165</v>
      </c>
      <c r="C388" s="1891"/>
      <c r="D388" s="1891"/>
      <c r="E388" s="1891"/>
      <c r="F388" s="1581" t="s">
        <v>1862</v>
      </c>
      <c r="G388" s="1581">
        <v>8</v>
      </c>
      <c r="H388" s="96">
        <v>10</v>
      </c>
      <c r="I388" s="1588">
        <v>640</v>
      </c>
      <c r="J388" s="1588">
        <f>G388*H388*I388</f>
        <v>51200</v>
      </c>
      <c r="K388" s="343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</row>
    <row r="389" spans="1:28" ht="15.75" customHeight="1" x14ac:dyDescent="0.25">
      <c r="A389" s="1895" t="s">
        <v>39</v>
      </c>
      <c r="B389" s="1895"/>
      <c r="C389" s="1895"/>
      <c r="D389" s="1895"/>
      <c r="E389" s="1895"/>
      <c r="F389" s="1895"/>
      <c r="G389" s="1895"/>
      <c r="H389" s="1895"/>
      <c r="I389" s="1895"/>
      <c r="J389" s="1589">
        <f>SUM(J387:J388)</f>
        <v>96000</v>
      </c>
      <c r="K389" s="344">
        <v>9600</v>
      </c>
      <c r="L389" s="81">
        <f>J389-K389</f>
        <v>86400</v>
      </c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</row>
    <row r="390" spans="1:28" hidden="1" x14ac:dyDescent="0.25">
      <c r="A390" s="1891" t="s">
        <v>1147</v>
      </c>
      <c r="B390" s="1891"/>
      <c r="C390" s="1891"/>
      <c r="D390" s="1891"/>
      <c r="E390" s="1891"/>
      <c r="F390" s="1891"/>
      <c r="G390" s="1891"/>
      <c r="H390" s="1891"/>
      <c r="I390" s="1891"/>
      <c r="J390" s="360">
        <v>0</v>
      </c>
      <c r="K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</row>
    <row r="391" spans="1:28" x14ac:dyDescent="0.25">
      <c r="A391" s="1635"/>
      <c r="B391" s="1635"/>
      <c r="C391" s="1635"/>
      <c r="D391" s="1635"/>
      <c r="E391" s="1635"/>
      <c r="F391" s="1635"/>
      <c r="G391" s="1635"/>
      <c r="H391" s="1635"/>
      <c r="I391" s="1635"/>
      <c r="J391" s="98"/>
      <c r="K391" s="88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</row>
    <row r="392" spans="1:28" ht="15" customHeight="1" x14ac:dyDescent="0.25">
      <c r="A392" s="1908" t="s">
        <v>308</v>
      </c>
      <c r="B392" s="1908"/>
      <c r="C392" s="1908"/>
      <c r="D392" s="1908"/>
      <c r="E392" s="1908"/>
      <c r="F392" s="1908"/>
      <c r="G392" s="1908"/>
      <c r="H392" s="1908"/>
      <c r="I392" s="1635"/>
      <c r="J392" s="98"/>
      <c r="K392" s="88"/>
      <c r="L392" s="88"/>
      <c r="M392" s="88"/>
      <c r="N392" s="88"/>
      <c r="O392" s="88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</row>
    <row r="393" spans="1:28" x14ac:dyDescent="0.25">
      <c r="A393" s="1898" t="s">
        <v>8</v>
      </c>
      <c r="B393" s="1898" t="s">
        <v>1</v>
      </c>
      <c r="C393" s="1898"/>
      <c r="D393" s="1898"/>
      <c r="E393" s="1898"/>
      <c r="F393" s="1898" t="s">
        <v>736</v>
      </c>
      <c r="G393" s="1898" t="s">
        <v>1827</v>
      </c>
      <c r="H393" s="1898" t="s">
        <v>735</v>
      </c>
      <c r="I393" s="1898"/>
      <c r="J393" s="1898"/>
      <c r="K393" s="81" t="s">
        <v>1478</v>
      </c>
      <c r="L393" s="88"/>
      <c r="M393" s="88"/>
      <c r="N393" s="88"/>
      <c r="O393" s="88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</row>
    <row r="394" spans="1:28" ht="47.25" customHeight="1" x14ac:dyDescent="0.25">
      <c r="A394" s="1898"/>
      <c r="B394" s="1898"/>
      <c r="C394" s="1898"/>
      <c r="D394" s="1898"/>
      <c r="E394" s="1898"/>
      <c r="F394" s="1898"/>
      <c r="G394" s="1581" t="s">
        <v>747</v>
      </c>
      <c r="H394" s="1581" t="s">
        <v>748</v>
      </c>
      <c r="I394" s="1581" t="s">
        <v>268</v>
      </c>
      <c r="J394" s="1581" t="s">
        <v>256</v>
      </c>
      <c r="K394" s="88"/>
      <c r="L394" s="88"/>
      <c r="M394" s="88"/>
      <c r="N394" s="88"/>
      <c r="O394" s="88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</row>
    <row r="395" spans="1:28" ht="28.5" customHeight="1" x14ac:dyDescent="0.25">
      <c r="A395" s="1581">
        <v>1</v>
      </c>
      <c r="B395" s="1891" t="s">
        <v>1487</v>
      </c>
      <c r="C395" s="1891"/>
      <c r="D395" s="1891"/>
      <c r="E395" s="1891"/>
      <c r="F395" s="1581" t="s">
        <v>108</v>
      </c>
      <c r="G395" s="1625">
        <v>2</v>
      </c>
      <c r="H395" s="1665">
        <v>12</v>
      </c>
      <c r="I395" s="801">
        <v>1500</v>
      </c>
      <c r="J395" s="1591">
        <f>G395*H395*I395</f>
        <v>36000</v>
      </c>
      <c r="K395" s="344"/>
      <c r="L395" s="108"/>
      <c r="M395" s="88"/>
      <c r="N395" s="88"/>
      <c r="O395" s="88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</row>
    <row r="396" spans="1:28" x14ac:dyDescent="0.25">
      <c r="A396" s="1895" t="s">
        <v>39</v>
      </c>
      <c r="B396" s="1895"/>
      <c r="C396" s="1895"/>
      <c r="D396" s="1895"/>
      <c r="E396" s="1895"/>
      <c r="F396" s="1895"/>
      <c r="G396" s="1895"/>
      <c r="H396" s="1895"/>
      <c r="I396" s="1895"/>
      <c r="J396" s="1589">
        <f>SUM(J395:J395)</f>
        <v>36000</v>
      </c>
      <c r="K396" s="344">
        <v>3000</v>
      </c>
      <c r="L396" s="81">
        <f>J396-K396</f>
        <v>33000</v>
      </c>
      <c r="M396" s="88"/>
      <c r="N396" s="88"/>
      <c r="O396" s="88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</row>
    <row r="397" spans="1:28" ht="15" hidden="1" customHeight="1" x14ac:dyDescent="0.25">
      <c r="A397" s="1924" t="s">
        <v>514</v>
      </c>
      <c r="B397" s="1925"/>
      <c r="C397" s="1925"/>
      <c r="D397" s="1925"/>
      <c r="E397" s="1925"/>
      <c r="F397" s="1925"/>
      <c r="G397" s="1925"/>
      <c r="H397" s="1925"/>
      <c r="I397" s="1925"/>
      <c r="J397" s="1925"/>
      <c r="L397" s="344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</row>
    <row r="398" spans="1:28" hidden="1" x14ac:dyDescent="0.25">
      <c r="A398" s="1913" t="s">
        <v>1134</v>
      </c>
      <c r="B398" s="1913"/>
      <c r="C398" s="1913"/>
      <c r="D398" s="1913"/>
      <c r="E398" s="1913"/>
      <c r="F398" s="1913"/>
      <c r="G398" s="1913"/>
      <c r="H398" s="1913"/>
      <c r="I398" s="1913"/>
      <c r="J398" s="1594">
        <v>0</v>
      </c>
      <c r="K398" s="344"/>
      <c r="L398" s="344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</row>
    <row r="399" spans="1:28" hidden="1" x14ac:dyDescent="0.25">
      <c r="A399" s="1913" t="s">
        <v>153</v>
      </c>
      <c r="B399" s="1913"/>
      <c r="C399" s="1913"/>
      <c r="D399" s="1913"/>
      <c r="E399" s="1913"/>
      <c r="F399" s="1913"/>
      <c r="G399" s="1913"/>
      <c r="H399" s="1913"/>
      <c r="I399" s="1913"/>
      <c r="J399" s="1594">
        <f>3000*6+3000</f>
        <v>21000</v>
      </c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</row>
    <row r="400" spans="1:28" ht="15" hidden="1" customHeight="1" x14ac:dyDescent="0.25">
      <c r="A400" s="1891" t="s">
        <v>619</v>
      </c>
      <c r="B400" s="1891"/>
      <c r="C400" s="1891"/>
      <c r="D400" s="1891"/>
      <c r="E400" s="1891"/>
      <c r="F400" s="1891"/>
      <c r="G400" s="1891"/>
      <c r="H400" s="1891"/>
      <c r="I400" s="1891"/>
      <c r="J400" s="1588">
        <f>J396-J399</f>
        <v>15000</v>
      </c>
      <c r="L400" s="344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</row>
    <row r="401" spans="1:28" ht="15" hidden="1" customHeight="1" x14ac:dyDescent="0.25">
      <c r="A401" s="1891" t="s">
        <v>1147</v>
      </c>
      <c r="B401" s="1891"/>
      <c r="C401" s="1891"/>
      <c r="D401" s="1891"/>
      <c r="E401" s="1891"/>
      <c r="F401" s="1891"/>
      <c r="G401" s="1891"/>
      <c r="H401" s="1891"/>
      <c r="I401" s="1891"/>
      <c r="J401" s="360">
        <v>0</v>
      </c>
      <c r="L401" s="344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</row>
    <row r="402" spans="1:28" ht="15" customHeight="1" x14ac:dyDescent="0.25">
      <c r="L402" s="344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</row>
    <row r="403" spans="1:28" ht="15" hidden="1" customHeight="1" x14ac:dyDescent="0.25">
      <c r="A403" s="1891" t="s">
        <v>1147</v>
      </c>
      <c r="B403" s="1891"/>
      <c r="C403" s="1891"/>
      <c r="D403" s="1891"/>
      <c r="E403" s="1891"/>
      <c r="F403" s="1891"/>
      <c r="G403" s="1891"/>
      <c r="H403" s="1891"/>
      <c r="I403" s="1891"/>
      <c r="J403" s="360">
        <v>0</v>
      </c>
      <c r="L403" s="344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</row>
    <row r="404" spans="1:28" x14ac:dyDescent="0.25">
      <c r="A404" s="1644" t="s">
        <v>323</v>
      </c>
      <c r="L404" s="344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</row>
    <row r="405" spans="1:28" ht="15" customHeight="1" x14ac:dyDescent="0.25">
      <c r="A405" s="1898" t="s">
        <v>8</v>
      </c>
      <c r="B405" s="1956" t="s">
        <v>1</v>
      </c>
      <c r="C405" s="1959"/>
      <c r="D405" s="2044"/>
      <c r="E405" s="1898" t="s">
        <v>1664</v>
      </c>
      <c r="F405" s="1898" t="s">
        <v>271</v>
      </c>
      <c r="G405" s="1898" t="s">
        <v>1827</v>
      </c>
      <c r="H405" s="1898"/>
      <c r="I405" s="1898"/>
      <c r="J405" s="1898"/>
      <c r="K405" s="81" t="s">
        <v>1478</v>
      </c>
      <c r="L405" s="344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</row>
    <row r="406" spans="1:28" ht="31.5" customHeight="1" x14ac:dyDescent="0.25">
      <c r="A406" s="1898"/>
      <c r="B406" s="2009"/>
      <c r="C406" s="1961"/>
      <c r="D406" s="1962"/>
      <c r="E406" s="1898"/>
      <c r="F406" s="1898"/>
      <c r="G406" s="1581" t="s">
        <v>267</v>
      </c>
      <c r="H406" s="1581" t="s">
        <v>749</v>
      </c>
      <c r="I406" s="1588" t="s">
        <v>253</v>
      </c>
      <c r="J406" s="1588" t="s">
        <v>256</v>
      </c>
      <c r="L406" s="344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</row>
    <row r="407" spans="1:28" x14ac:dyDescent="0.25">
      <c r="A407" s="1902" t="s">
        <v>1168</v>
      </c>
      <c r="B407" s="2104"/>
      <c r="C407" s="2105"/>
      <c r="D407" s="2104"/>
      <c r="E407" s="2104"/>
      <c r="F407" s="2104"/>
      <c r="G407" s="2104"/>
      <c r="H407" s="2104"/>
      <c r="I407" s="2104"/>
      <c r="J407" s="2106"/>
      <c r="L407" s="365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</row>
    <row r="408" spans="1:28" x14ac:dyDescent="0.25">
      <c r="A408" s="1630">
        <v>1</v>
      </c>
      <c r="B408" s="705" t="s">
        <v>727</v>
      </c>
      <c r="C408" s="705"/>
      <c r="D408" s="705"/>
      <c r="E408" s="393" t="s">
        <v>1676</v>
      </c>
      <c r="F408" s="1588">
        <v>600</v>
      </c>
      <c r="G408" s="1588">
        <v>10</v>
      </c>
      <c r="H408" s="59">
        <v>1</v>
      </c>
      <c r="I408" s="59">
        <v>4</v>
      </c>
      <c r="J408" s="1588">
        <f>G408*H408*I408*F408</f>
        <v>24000</v>
      </c>
      <c r="K408" s="355"/>
      <c r="L408" s="1711"/>
      <c r="N408" s="1711"/>
      <c r="P408" s="1711"/>
      <c r="R408" s="1711"/>
      <c r="T408" s="1711"/>
      <c r="U408" s="61"/>
      <c r="V408" s="61"/>
      <c r="W408" s="61"/>
      <c r="X408" s="61"/>
      <c r="Y408" s="61"/>
      <c r="Z408" s="61"/>
      <c r="AA408" s="61"/>
      <c r="AB408" s="61"/>
    </row>
    <row r="409" spans="1:28" x14ac:dyDescent="0.25">
      <c r="A409" s="1630">
        <v>2</v>
      </c>
      <c r="B409" s="1986" t="s">
        <v>726</v>
      </c>
      <c r="C409" s="1930"/>
      <c r="D409" s="1930"/>
      <c r="E409" s="393" t="s">
        <v>1676</v>
      </c>
      <c r="F409" s="1588">
        <v>3610</v>
      </c>
      <c r="G409" s="1588">
        <v>12</v>
      </c>
      <c r="H409" s="59">
        <f>1</f>
        <v>1</v>
      </c>
      <c r="I409" s="59">
        <v>6</v>
      </c>
      <c r="J409" s="1588">
        <f>G409*H409*I409*F409</f>
        <v>259920</v>
      </c>
      <c r="K409" s="355"/>
      <c r="L409" s="1711"/>
      <c r="N409" s="1711"/>
      <c r="P409" s="1711"/>
      <c r="R409" s="1711"/>
      <c r="T409" s="1711"/>
      <c r="U409" s="61"/>
      <c r="V409" s="61"/>
      <c r="W409" s="61"/>
      <c r="X409" s="61"/>
      <c r="Y409" s="61"/>
      <c r="Z409" s="61"/>
      <c r="AA409" s="61"/>
      <c r="AB409" s="61"/>
    </row>
    <row r="410" spans="1:28" ht="15" customHeight="1" x14ac:dyDescent="0.25">
      <c r="A410" s="1895" t="s">
        <v>39</v>
      </c>
      <c r="B410" s="1895"/>
      <c r="C410" s="1895"/>
      <c r="D410" s="1895"/>
      <c r="E410" s="1895"/>
      <c r="F410" s="1895"/>
      <c r="G410" s="1895"/>
      <c r="H410" s="1895"/>
      <c r="I410" s="1895"/>
      <c r="J410" s="1589">
        <f>SUM(J408:J409)</f>
        <v>283920</v>
      </c>
      <c r="K410" s="344">
        <v>0</v>
      </c>
      <c r="L410" s="81">
        <f>J410-K410</f>
        <v>283920</v>
      </c>
      <c r="M410" s="354"/>
      <c r="O410" s="354"/>
      <c r="Q410" s="354"/>
      <c r="S410" s="354"/>
      <c r="U410" s="61"/>
      <c r="V410" s="61"/>
      <c r="W410" s="61"/>
      <c r="X410" s="61"/>
      <c r="Y410" s="61"/>
      <c r="Z410" s="61"/>
      <c r="AA410" s="61"/>
      <c r="AB410" s="61"/>
    </row>
    <row r="411" spans="1:28" hidden="1" x14ac:dyDescent="0.25">
      <c r="A411" s="1924" t="s">
        <v>514</v>
      </c>
      <c r="B411" s="1925"/>
      <c r="C411" s="1925"/>
      <c r="D411" s="1925"/>
      <c r="E411" s="1925"/>
      <c r="F411" s="1925"/>
      <c r="G411" s="1925"/>
      <c r="H411" s="1925"/>
      <c r="I411" s="1925"/>
      <c r="J411" s="1925"/>
      <c r="U411" s="61"/>
      <c r="V411" s="61"/>
      <c r="W411" s="61"/>
      <c r="X411" s="61"/>
      <c r="Y411" s="61"/>
      <c r="Z411" s="61"/>
      <c r="AA411" s="61"/>
      <c r="AB411" s="61"/>
    </row>
    <row r="412" spans="1:28" hidden="1" x14ac:dyDescent="0.25">
      <c r="A412" s="1913" t="s">
        <v>1134</v>
      </c>
      <c r="B412" s="1913"/>
      <c r="C412" s="1913"/>
      <c r="D412" s="1913"/>
      <c r="E412" s="1913"/>
      <c r="F412" s="1913"/>
      <c r="G412" s="1913"/>
      <c r="H412" s="1913"/>
      <c r="I412" s="1913"/>
      <c r="J412" s="1594">
        <v>0</v>
      </c>
      <c r="K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</row>
    <row r="413" spans="1:28" hidden="1" x14ac:dyDescent="0.25">
      <c r="A413" s="1913" t="s">
        <v>153</v>
      </c>
      <c r="B413" s="1913"/>
      <c r="C413" s="1913"/>
      <c r="D413" s="1913"/>
      <c r="E413" s="1913"/>
      <c r="F413" s="1913"/>
      <c r="G413" s="1913"/>
      <c r="H413" s="1913"/>
      <c r="I413" s="1913"/>
      <c r="J413" s="1594">
        <v>161280</v>
      </c>
      <c r="K413" s="61"/>
      <c r="L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</row>
    <row r="414" spans="1:28" ht="15" hidden="1" customHeight="1" x14ac:dyDescent="0.25">
      <c r="A414" s="1891" t="s">
        <v>619</v>
      </c>
      <c r="B414" s="1891"/>
      <c r="C414" s="1891"/>
      <c r="D414" s="1891"/>
      <c r="E414" s="1891"/>
      <c r="F414" s="1891"/>
      <c r="G414" s="1891"/>
      <c r="H414" s="1891"/>
      <c r="I414" s="1891"/>
      <c r="J414" s="1588">
        <f>J410-J412-J413-J415</f>
        <v>122640</v>
      </c>
      <c r="K414" s="344"/>
      <c r="L414" s="8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</row>
    <row r="415" spans="1:28" ht="15" hidden="1" customHeight="1" x14ac:dyDescent="0.25">
      <c r="A415" s="1891" t="s">
        <v>1147</v>
      </c>
      <c r="B415" s="1891"/>
      <c r="C415" s="1891"/>
      <c r="D415" s="1891"/>
      <c r="E415" s="1891"/>
      <c r="F415" s="1891"/>
      <c r="G415" s="1891"/>
      <c r="H415" s="1891"/>
      <c r="I415" s="1891"/>
      <c r="J415" s="360">
        <v>0</v>
      </c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</row>
    <row r="416" spans="1:28" ht="12" customHeight="1" x14ac:dyDescent="0.25"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</row>
    <row r="417" spans="1:28" ht="15" customHeight="1" x14ac:dyDescent="0.25">
      <c r="A417" s="1644" t="s">
        <v>323</v>
      </c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</row>
    <row r="418" spans="1:28" ht="15" customHeight="1" x14ac:dyDescent="0.25">
      <c r="A418" s="1898" t="s">
        <v>8</v>
      </c>
      <c r="B418" s="1956" t="s">
        <v>1</v>
      </c>
      <c r="C418" s="1959"/>
      <c r="D418" s="2044"/>
      <c r="E418" s="1898" t="s">
        <v>1664</v>
      </c>
      <c r="F418" s="1898" t="s">
        <v>271</v>
      </c>
      <c r="G418" s="1898" t="s">
        <v>1827</v>
      </c>
      <c r="H418" s="1898"/>
      <c r="I418" s="1898"/>
      <c r="J418" s="1898"/>
      <c r="K418" s="81" t="s">
        <v>1478</v>
      </c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</row>
    <row r="419" spans="1:28" ht="30.75" customHeight="1" x14ac:dyDescent="0.25">
      <c r="A419" s="1898"/>
      <c r="B419" s="2009"/>
      <c r="C419" s="1961"/>
      <c r="D419" s="1962"/>
      <c r="E419" s="1898"/>
      <c r="F419" s="1898"/>
      <c r="G419" s="1581" t="s">
        <v>267</v>
      </c>
      <c r="H419" s="1581" t="s">
        <v>749</v>
      </c>
      <c r="I419" s="1588" t="s">
        <v>253</v>
      </c>
      <c r="J419" s="1588" t="s">
        <v>256</v>
      </c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</row>
    <row r="420" spans="1:28" x14ac:dyDescent="0.25">
      <c r="A420" s="1902" t="s">
        <v>725</v>
      </c>
      <c r="B420" s="2104"/>
      <c r="C420" s="2105"/>
      <c r="D420" s="2104"/>
      <c r="E420" s="2104"/>
      <c r="F420" s="2104"/>
      <c r="G420" s="2104"/>
      <c r="H420" s="2104"/>
      <c r="I420" s="2104"/>
      <c r="J420" s="2106"/>
      <c r="L420" s="344"/>
      <c r="N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</row>
    <row r="421" spans="1:28" ht="15" customHeight="1" x14ac:dyDescent="0.25">
      <c r="A421" s="1630">
        <v>1</v>
      </c>
      <c r="B421" s="705" t="s">
        <v>727</v>
      </c>
      <c r="C421" s="705"/>
      <c r="D421" s="705"/>
      <c r="E421" s="393" t="s">
        <v>1676</v>
      </c>
      <c r="F421" s="1588">
        <v>550</v>
      </c>
      <c r="G421" s="1588">
        <v>10</v>
      </c>
      <c r="H421" s="59">
        <v>1</v>
      </c>
      <c r="I421" s="59">
        <v>4</v>
      </c>
      <c r="J421" s="1588">
        <f>G421*H421*I421*F421</f>
        <v>22000</v>
      </c>
      <c r="K421" s="355"/>
      <c r="L421" s="1711"/>
      <c r="N421" s="1711"/>
      <c r="P421" s="1711"/>
      <c r="R421" s="1711"/>
      <c r="T421" s="61"/>
      <c r="U421" s="61"/>
      <c r="V421" s="61"/>
      <c r="W421" s="61"/>
      <c r="X421" s="61"/>
      <c r="Y421" s="61"/>
      <c r="Z421" s="61"/>
      <c r="AA421" s="61"/>
      <c r="AB421" s="61"/>
    </row>
    <row r="422" spans="1:28" ht="29.25" customHeight="1" x14ac:dyDescent="0.25">
      <c r="A422" s="1630">
        <v>2</v>
      </c>
      <c r="B422" s="2003" t="s">
        <v>751</v>
      </c>
      <c r="C422" s="2047"/>
      <c r="D422" s="2048"/>
      <c r="E422" s="393" t="s">
        <v>1676</v>
      </c>
      <c r="F422" s="1588">
        <v>45</v>
      </c>
      <c r="G422" s="1588">
        <v>40.630000000000003</v>
      </c>
      <c r="H422" s="59">
        <v>1</v>
      </c>
      <c r="I422" s="59">
        <v>3</v>
      </c>
      <c r="J422" s="1588">
        <f>G422*H422*I422*F422</f>
        <v>5485.05</v>
      </c>
      <c r="K422" s="355"/>
      <c r="L422" s="1711"/>
      <c r="N422" s="1711"/>
      <c r="P422" s="1711"/>
      <c r="R422" s="1711"/>
      <c r="T422" s="61"/>
      <c r="U422" s="61"/>
      <c r="V422" s="61"/>
      <c r="W422" s="61"/>
      <c r="X422" s="61"/>
      <c r="Y422" s="61"/>
      <c r="Z422" s="61"/>
      <c r="AA422" s="61"/>
      <c r="AB422" s="61"/>
    </row>
    <row r="423" spans="1:28" ht="15" customHeight="1" x14ac:dyDescent="0.25">
      <c r="A423" s="1630">
        <v>3</v>
      </c>
      <c r="B423" s="1986" t="s">
        <v>726</v>
      </c>
      <c r="C423" s="1930"/>
      <c r="D423" s="1930"/>
      <c r="E423" s="393" t="s">
        <v>1676</v>
      </c>
      <c r="F423" s="1588">
        <v>4130</v>
      </c>
      <c r="G423" s="1588">
        <v>12</v>
      </c>
      <c r="H423" s="59">
        <v>1</v>
      </c>
      <c r="I423" s="59">
        <v>5</v>
      </c>
      <c r="J423" s="1588">
        <f>G423*H423*I423*F423</f>
        <v>247800</v>
      </c>
      <c r="K423" s="355"/>
      <c r="L423" s="1711"/>
      <c r="N423" s="1711"/>
      <c r="P423" s="1711"/>
      <c r="R423" s="1711"/>
      <c r="T423" s="61"/>
      <c r="U423" s="61"/>
      <c r="V423" s="61"/>
      <c r="W423" s="61"/>
      <c r="X423" s="61"/>
      <c r="Y423" s="61"/>
      <c r="Z423" s="61"/>
      <c r="AA423" s="61"/>
      <c r="AB423" s="61"/>
    </row>
    <row r="424" spans="1:28" ht="15" customHeight="1" x14ac:dyDescent="0.25">
      <c r="A424" s="1895" t="s">
        <v>39</v>
      </c>
      <c r="B424" s="1895"/>
      <c r="C424" s="1895"/>
      <c r="D424" s="1895"/>
      <c r="E424" s="1895"/>
      <c r="F424" s="1895"/>
      <c r="G424" s="1895"/>
      <c r="H424" s="1895"/>
      <c r="I424" s="1895"/>
      <c r="J424" s="1589">
        <f>SUM(J421:J423)</f>
        <v>275285.05</v>
      </c>
      <c r="K424" s="344">
        <v>0</v>
      </c>
      <c r="L424" s="81">
        <f>J424-K424</f>
        <v>275285.05</v>
      </c>
      <c r="M424" s="354"/>
      <c r="N424" s="1711"/>
      <c r="O424" s="354"/>
      <c r="P424" s="1711"/>
      <c r="Q424" s="354"/>
      <c r="R424" s="171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</row>
    <row r="425" spans="1:28" ht="15" hidden="1" customHeight="1" x14ac:dyDescent="0.25">
      <c r="A425" s="1924" t="s">
        <v>514</v>
      </c>
      <c r="B425" s="1925"/>
      <c r="C425" s="1925"/>
      <c r="D425" s="1925"/>
      <c r="E425" s="1925"/>
      <c r="F425" s="1925"/>
      <c r="G425" s="1925"/>
      <c r="H425" s="1925"/>
      <c r="I425" s="1925"/>
      <c r="J425" s="1925"/>
      <c r="M425" s="354"/>
      <c r="O425" s="354"/>
      <c r="Q425" s="354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</row>
    <row r="426" spans="1:28" ht="15" hidden="1" customHeight="1" x14ac:dyDescent="0.25">
      <c r="A426" s="1913" t="s">
        <v>1134</v>
      </c>
      <c r="B426" s="1913"/>
      <c r="C426" s="1913"/>
      <c r="D426" s="1913"/>
      <c r="E426" s="1913"/>
      <c r="F426" s="1913"/>
      <c r="G426" s="1913"/>
      <c r="H426" s="1913"/>
      <c r="I426" s="1913"/>
      <c r="J426" s="1594">
        <v>0</v>
      </c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</row>
    <row r="427" spans="1:28" ht="15" hidden="1" customHeight="1" x14ac:dyDescent="0.25">
      <c r="A427" s="1913" t="s">
        <v>153</v>
      </c>
      <c r="B427" s="1913"/>
      <c r="C427" s="1913"/>
      <c r="D427" s="1913"/>
      <c r="E427" s="1913"/>
      <c r="F427" s="1913"/>
      <c r="G427" s="1913"/>
      <c r="H427" s="1913"/>
      <c r="I427" s="1913"/>
      <c r="J427" s="1594">
        <v>168396.7</v>
      </c>
      <c r="K427" s="61"/>
      <c r="L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</row>
    <row r="428" spans="1:28" ht="15" hidden="1" customHeight="1" x14ac:dyDescent="0.25">
      <c r="A428" s="1891" t="s">
        <v>619</v>
      </c>
      <c r="B428" s="1891"/>
      <c r="C428" s="1891"/>
      <c r="D428" s="1891"/>
      <c r="E428" s="1891"/>
      <c r="F428" s="1891"/>
      <c r="G428" s="1891"/>
      <c r="H428" s="1891"/>
      <c r="I428" s="1891"/>
      <c r="J428" s="1588">
        <f>J424-J426-J427-J429</f>
        <v>106888.35</v>
      </c>
      <c r="K428" s="344"/>
      <c r="L428" s="8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</row>
    <row r="429" spans="1:28" ht="15" hidden="1" customHeight="1" x14ac:dyDescent="0.25">
      <c r="A429" s="1891" t="s">
        <v>1147</v>
      </c>
      <c r="B429" s="1891"/>
      <c r="C429" s="1891"/>
      <c r="D429" s="1891"/>
      <c r="E429" s="1891"/>
      <c r="F429" s="1891"/>
      <c r="G429" s="1891"/>
      <c r="H429" s="1891"/>
      <c r="I429" s="1891"/>
      <c r="J429" s="360">
        <v>0</v>
      </c>
      <c r="L429" s="81">
        <f>J429-K429</f>
        <v>0</v>
      </c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</row>
    <row r="430" spans="1:28" ht="12" customHeight="1" x14ac:dyDescent="0.25"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</row>
    <row r="431" spans="1:28" ht="15" customHeight="1" x14ac:dyDescent="0.25">
      <c r="A431" s="1" t="s">
        <v>308</v>
      </c>
      <c r="B431" s="1"/>
      <c r="C431" s="1"/>
      <c r="D431" s="1"/>
      <c r="E431" s="1"/>
      <c r="F431" s="1"/>
      <c r="G431" s="1"/>
      <c r="H431" s="4"/>
      <c r="I431" s="4"/>
      <c r="J431" s="4"/>
      <c r="K431" s="61"/>
      <c r="L431" s="75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</row>
    <row r="432" spans="1:28" ht="15" customHeight="1" x14ac:dyDescent="0.25">
      <c r="A432" s="1926" t="s">
        <v>8</v>
      </c>
      <c r="B432" s="1956" t="s">
        <v>35</v>
      </c>
      <c r="C432" s="1916"/>
      <c r="D432" s="1916"/>
      <c r="E432" s="1916"/>
      <c r="F432" s="1957"/>
      <c r="G432" s="1926" t="s">
        <v>1827</v>
      </c>
      <c r="H432" s="1926"/>
      <c r="I432" s="1926"/>
      <c r="J432" s="1926"/>
      <c r="K432" s="61" t="s">
        <v>1478</v>
      </c>
      <c r="L432" s="75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</row>
    <row r="433" spans="1:28" ht="15" customHeight="1" x14ac:dyDescent="0.25">
      <c r="A433" s="1926"/>
      <c r="B433" s="1918"/>
      <c r="C433" s="1919"/>
      <c r="D433" s="1919"/>
      <c r="E433" s="1919"/>
      <c r="F433" s="1920"/>
      <c r="G433" s="1598" t="s">
        <v>741</v>
      </c>
      <c r="H433" s="1598" t="s">
        <v>748</v>
      </c>
      <c r="I433" s="1598" t="s">
        <v>268</v>
      </c>
      <c r="J433" s="1598" t="s">
        <v>256</v>
      </c>
      <c r="K433" s="61"/>
      <c r="L433" s="75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</row>
    <row r="434" spans="1:28" ht="15" customHeight="1" x14ac:dyDescent="0.25">
      <c r="A434" s="2049" t="s">
        <v>1865</v>
      </c>
      <c r="B434" s="2133"/>
      <c r="C434" s="2133"/>
      <c r="D434" s="2133"/>
      <c r="E434" s="2133"/>
      <c r="F434" s="2133"/>
      <c r="G434" s="2133"/>
      <c r="H434" s="2133"/>
      <c r="I434" s="2134"/>
      <c r="J434" s="1532">
        <f>SUM(J435:J437)</f>
        <v>132000</v>
      </c>
      <c r="K434" s="61"/>
      <c r="L434" s="75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</row>
    <row r="435" spans="1:28" ht="30" customHeight="1" x14ac:dyDescent="0.25">
      <c r="A435" s="1141">
        <v>1</v>
      </c>
      <c r="B435" s="2089" t="s">
        <v>1867</v>
      </c>
      <c r="C435" s="2090"/>
      <c r="D435" s="2090"/>
      <c r="E435" s="2090"/>
      <c r="F435" s="2091"/>
      <c r="G435" s="1230">
        <v>1</v>
      </c>
      <c r="H435" s="1230">
        <v>12</v>
      </c>
      <c r="I435" s="1617">
        <v>2000</v>
      </c>
      <c r="J435" s="1617">
        <f t="shared" ref="J435:J437" si="4">G435*H435*I435</f>
        <v>24000</v>
      </c>
      <c r="K435" s="61"/>
      <c r="L435" s="75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</row>
    <row r="436" spans="1:28" ht="15" customHeight="1" x14ac:dyDescent="0.25">
      <c r="A436" s="1141">
        <v>2</v>
      </c>
      <c r="B436" s="2089" t="s">
        <v>1863</v>
      </c>
      <c r="C436" s="2090"/>
      <c r="D436" s="2090"/>
      <c r="E436" s="2090"/>
      <c r="F436" s="2091"/>
      <c r="G436" s="1230">
        <v>1</v>
      </c>
      <c r="H436" s="1230">
        <v>12</v>
      </c>
      <c r="I436" s="1617">
        <v>4000</v>
      </c>
      <c r="J436" s="1617">
        <f t="shared" si="4"/>
        <v>48000</v>
      </c>
      <c r="K436" s="61"/>
      <c r="L436" s="75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</row>
    <row r="437" spans="1:28" ht="15" customHeight="1" x14ac:dyDescent="0.25">
      <c r="A437" s="1141">
        <v>3</v>
      </c>
      <c r="B437" s="2089" t="s">
        <v>86</v>
      </c>
      <c r="C437" s="2090"/>
      <c r="D437" s="2090"/>
      <c r="E437" s="2090"/>
      <c r="F437" s="2091"/>
      <c r="G437" s="1230">
        <v>1</v>
      </c>
      <c r="H437" s="1230">
        <v>12</v>
      </c>
      <c r="I437" s="1617">
        <v>5000</v>
      </c>
      <c r="J437" s="1617">
        <f t="shared" si="4"/>
        <v>60000</v>
      </c>
      <c r="K437" s="61"/>
      <c r="L437" s="75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</row>
    <row r="438" spans="1:28" ht="15" customHeight="1" x14ac:dyDescent="0.25">
      <c r="A438" s="1993" t="s">
        <v>39</v>
      </c>
      <c r="B438" s="1993"/>
      <c r="C438" s="1993"/>
      <c r="D438" s="1993"/>
      <c r="E438" s="1993"/>
      <c r="F438" s="1993"/>
      <c r="G438" s="1192" t="s">
        <v>5</v>
      </c>
      <c r="H438" s="1192" t="s">
        <v>5</v>
      </c>
      <c r="I438" s="1192" t="s">
        <v>5</v>
      </c>
      <c r="J438" s="1192">
        <f>J434</f>
        <v>132000</v>
      </c>
      <c r="K438" s="344"/>
      <c r="L438" s="83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</row>
    <row r="439" spans="1:28" ht="15" customHeight="1" x14ac:dyDescent="0.25">
      <c r="A439" s="2049" t="s">
        <v>1866</v>
      </c>
      <c r="B439" s="2133"/>
      <c r="C439" s="2133"/>
      <c r="D439" s="2133"/>
      <c r="E439" s="2133"/>
      <c r="F439" s="2133"/>
      <c r="G439" s="2133"/>
      <c r="H439" s="2133"/>
      <c r="I439" s="2134"/>
      <c r="J439" s="1532">
        <f>SUM(J440:J442)</f>
        <v>132000</v>
      </c>
      <c r="K439" s="61"/>
      <c r="L439" s="75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</row>
    <row r="440" spans="1:28" ht="30" customHeight="1" x14ac:dyDescent="0.25">
      <c r="A440" s="1141">
        <v>1</v>
      </c>
      <c r="B440" s="2089" t="s">
        <v>1867</v>
      </c>
      <c r="C440" s="2090"/>
      <c r="D440" s="2090"/>
      <c r="E440" s="2090"/>
      <c r="F440" s="2091"/>
      <c r="G440" s="1230">
        <v>1</v>
      </c>
      <c r="H440" s="1230">
        <v>12</v>
      </c>
      <c r="I440" s="1617">
        <v>2000</v>
      </c>
      <c r="J440" s="1617">
        <f t="shared" ref="J440:J442" si="5">G440*H440*I440</f>
        <v>24000</v>
      </c>
      <c r="K440" s="61"/>
      <c r="L440" s="75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</row>
    <row r="441" spans="1:28" ht="15" customHeight="1" x14ac:dyDescent="0.25">
      <c r="A441" s="1141">
        <v>2</v>
      </c>
      <c r="B441" s="2089" t="s">
        <v>1863</v>
      </c>
      <c r="C441" s="2090"/>
      <c r="D441" s="2090"/>
      <c r="E441" s="2090"/>
      <c r="F441" s="2091"/>
      <c r="G441" s="1230">
        <v>1</v>
      </c>
      <c r="H441" s="1230">
        <v>12</v>
      </c>
      <c r="I441" s="1617">
        <v>4000</v>
      </c>
      <c r="J441" s="1617">
        <f t="shared" si="5"/>
        <v>48000</v>
      </c>
      <c r="K441" s="61"/>
      <c r="L441" s="75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</row>
    <row r="442" spans="1:28" ht="15" customHeight="1" x14ac:dyDescent="0.25">
      <c r="A442" s="1141">
        <v>3</v>
      </c>
      <c r="B442" s="2089" t="s">
        <v>86</v>
      </c>
      <c r="C442" s="2090"/>
      <c r="D442" s="2090"/>
      <c r="E442" s="2090"/>
      <c r="F442" s="2091"/>
      <c r="G442" s="1230">
        <v>1</v>
      </c>
      <c r="H442" s="1230">
        <v>12</v>
      </c>
      <c r="I442" s="1617">
        <v>5000</v>
      </c>
      <c r="J442" s="1617">
        <f t="shared" si="5"/>
        <v>60000</v>
      </c>
      <c r="K442" s="61"/>
      <c r="L442" s="75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</row>
    <row r="443" spans="1:28" ht="15" customHeight="1" x14ac:dyDescent="0.25">
      <c r="A443" s="1993" t="s">
        <v>39</v>
      </c>
      <c r="B443" s="1993"/>
      <c r="C443" s="1993"/>
      <c r="D443" s="1993"/>
      <c r="E443" s="1993"/>
      <c r="F443" s="1993"/>
      <c r="G443" s="1192" t="s">
        <v>5</v>
      </c>
      <c r="H443" s="1192" t="s">
        <v>5</v>
      </c>
      <c r="I443" s="1192" t="s">
        <v>5</v>
      </c>
      <c r="J443" s="1192">
        <f>J439</f>
        <v>132000</v>
      </c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</row>
    <row r="444" spans="1:28" ht="15" customHeight="1" x14ac:dyDescent="0.25">
      <c r="A444" s="1993" t="s">
        <v>1864</v>
      </c>
      <c r="B444" s="1993"/>
      <c r="C444" s="1993"/>
      <c r="D444" s="1993"/>
      <c r="E444" s="1993"/>
      <c r="F444" s="1993"/>
      <c r="G444" s="1192" t="s">
        <v>5</v>
      </c>
      <c r="H444" s="1192" t="s">
        <v>5</v>
      </c>
      <c r="I444" s="1192" t="s">
        <v>5</v>
      </c>
      <c r="J444" s="1192">
        <f>J438+J443</f>
        <v>264000</v>
      </c>
      <c r="K444" s="344">
        <v>22000</v>
      </c>
      <c r="L444" s="83">
        <f>J444-K444</f>
        <v>242000</v>
      </c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</row>
    <row r="445" spans="1:28" x14ac:dyDescent="0.25"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</row>
    <row r="446" spans="1:28" ht="15" customHeight="1" x14ac:dyDescent="0.25">
      <c r="A446" s="1644" t="s">
        <v>323</v>
      </c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</row>
    <row r="447" spans="1:28" x14ac:dyDescent="0.25">
      <c r="A447" s="1898" t="s">
        <v>8</v>
      </c>
      <c r="B447" s="1926" t="s">
        <v>1</v>
      </c>
      <c r="C447" s="1927"/>
      <c r="D447" s="1927"/>
      <c r="E447" s="1927"/>
      <c r="F447" s="2024" t="s">
        <v>1664</v>
      </c>
      <c r="G447" s="1898" t="s">
        <v>1827</v>
      </c>
      <c r="H447" s="1898"/>
      <c r="I447" s="1898"/>
      <c r="J447" s="1898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</row>
    <row r="448" spans="1:28" ht="31.5" customHeight="1" x14ac:dyDescent="0.25">
      <c r="A448" s="1898"/>
      <c r="B448" s="1927"/>
      <c r="C448" s="1927"/>
      <c r="D448" s="1927"/>
      <c r="E448" s="1927"/>
      <c r="F448" s="1906"/>
      <c r="G448" s="1598" t="s">
        <v>1661</v>
      </c>
      <c r="H448" s="1598" t="s">
        <v>1662</v>
      </c>
      <c r="I448" s="1617" t="s">
        <v>1663</v>
      </c>
      <c r="J448" s="1617" t="s">
        <v>256</v>
      </c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</row>
    <row r="449" spans="1:34" s="87" customFormat="1" ht="15" customHeight="1" x14ac:dyDescent="0.25">
      <c r="A449" s="2082" t="s">
        <v>728</v>
      </c>
      <c r="B449" s="2083"/>
      <c r="C449" s="2083"/>
      <c r="D449" s="2083"/>
      <c r="E449" s="2083"/>
      <c r="F449" s="2084"/>
      <c r="G449" s="1712"/>
      <c r="H449" s="1589"/>
      <c r="I449" s="1712"/>
      <c r="J449" s="1713">
        <f>SUM(J450:J463)</f>
        <v>57786</v>
      </c>
      <c r="K449" s="174"/>
      <c r="L449" s="1047"/>
      <c r="M449" s="354"/>
      <c r="N449" s="354"/>
      <c r="O449" s="354"/>
    </row>
    <row r="450" spans="1:34" ht="29.25" customHeight="1" x14ac:dyDescent="0.2">
      <c r="A450" s="1141">
        <v>1</v>
      </c>
      <c r="B450" s="1986" t="s">
        <v>1647</v>
      </c>
      <c r="C450" s="1930"/>
      <c r="D450" s="1930"/>
      <c r="E450" s="1930"/>
      <c r="F450" s="1144" t="s">
        <v>304</v>
      </c>
      <c r="G450" s="1714">
        <v>4</v>
      </c>
      <c r="H450" s="1714">
        <v>2</v>
      </c>
      <c r="I450" s="1715">
        <v>2142</v>
      </c>
      <c r="J450" s="1715">
        <f>H450*I450*G450</f>
        <v>17136</v>
      </c>
      <c r="K450" s="1716"/>
      <c r="L450" s="1717"/>
      <c r="M450" s="1717"/>
      <c r="N450" s="1718"/>
      <c r="O450" s="1719"/>
      <c r="P450" s="1719"/>
      <c r="Q450" s="1719"/>
      <c r="R450" s="1719"/>
      <c r="S450" s="1719"/>
      <c r="T450" s="1719"/>
      <c r="U450" s="1719"/>
      <c r="V450" s="1719"/>
      <c r="W450" s="1719"/>
      <c r="X450" s="1719"/>
      <c r="Y450" s="1719"/>
      <c r="Z450" s="1719"/>
      <c r="AA450" s="1719"/>
      <c r="AB450" s="1719"/>
      <c r="AC450" s="1719"/>
      <c r="AD450" s="1719"/>
      <c r="AE450" s="1719"/>
      <c r="AF450" s="1719"/>
      <c r="AG450" s="1719"/>
      <c r="AH450" s="75"/>
    </row>
    <row r="451" spans="1:34" x14ac:dyDescent="0.2">
      <c r="A451" s="1141">
        <v>2</v>
      </c>
      <c r="B451" s="1986" t="s">
        <v>1648</v>
      </c>
      <c r="C451" s="1930"/>
      <c r="D451" s="1930"/>
      <c r="E451" s="1930"/>
      <c r="F451" s="1144" t="s">
        <v>304</v>
      </c>
      <c r="G451" s="1714">
        <v>4</v>
      </c>
      <c r="H451" s="1714">
        <v>2</v>
      </c>
      <c r="I451" s="1715">
        <v>2252</v>
      </c>
      <c r="J451" s="1715">
        <f t="shared" ref="J451:J463" si="6">H451*I451*G451</f>
        <v>18016</v>
      </c>
      <c r="K451" s="1716"/>
      <c r="L451" s="1717"/>
      <c r="M451" s="1717"/>
      <c r="N451" s="1718"/>
      <c r="O451" s="1719"/>
      <c r="P451" s="1719"/>
      <c r="Q451" s="1719"/>
      <c r="R451" s="1719"/>
      <c r="S451" s="1719"/>
      <c r="T451" s="1719"/>
      <c r="U451" s="1719"/>
      <c r="V451" s="1719"/>
      <c r="W451" s="1719"/>
      <c r="X451" s="1719"/>
      <c r="Y451" s="1719"/>
      <c r="Z451" s="1719"/>
      <c r="AA451" s="1719"/>
      <c r="AB451" s="1719"/>
      <c r="AC451" s="1719"/>
      <c r="AD451" s="1719"/>
      <c r="AE451" s="1719"/>
      <c r="AF451" s="1719"/>
      <c r="AG451" s="1719"/>
      <c r="AH451" s="75"/>
    </row>
    <row r="452" spans="1:34" x14ac:dyDescent="0.2">
      <c r="A452" s="1141">
        <v>3</v>
      </c>
      <c r="B452" s="1986" t="s">
        <v>1649</v>
      </c>
      <c r="C452" s="1930"/>
      <c r="D452" s="1930"/>
      <c r="E452" s="1930"/>
      <c r="F452" s="1144" t="s">
        <v>304</v>
      </c>
      <c r="G452" s="1714">
        <v>2</v>
      </c>
      <c r="H452" s="1714">
        <v>2</v>
      </c>
      <c r="I452" s="1715">
        <v>2295</v>
      </c>
      <c r="J452" s="1715">
        <f t="shared" si="6"/>
        <v>9180</v>
      </c>
      <c r="K452" s="1716"/>
      <c r="L452" s="1717"/>
      <c r="M452" s="1717"/>
      <c r="N452" s="1718"/>
      <c r="O452" s="1719"/>
      <c r="P452" s="1719"/>
      <c r="Q452" s="1719"/>
      <c r="R452" s="1719"/>
      <c r="S452" s="1719"/>
      <c r="T452" s="1719"/>
      <c r="U452" s="1719"/>
      <c r="V452" s="1719"/>
      <c r="W452" s="1719"/>
      <c r="X452" s="1719"/>
      <c r="Y452" s="1719"/>
      <c r="Z452" s="1719"/>
      <c r="AA452" s="1719"/>
      <c r="AB452" s="1719"/>
      <c r="AC452" s="1719"/>
      <c r="AD452" s="1719"/>
      <c r="AE452" s="1719"/>
      <c r="AF452" s="1719"/>
      <c r="AG452" s="1719"/>
      <c r="AH452" s="75"/>
    </row>
    <row r="453" spans="1:34" x14ac:dyDescent="0.2">
      <c r="A453" s="1141">
        <v>4</v>
      </c>
      <c r="B453" s="1986" t="s">
        <v>1650</v>
      </c>
      <c r="C453" s="1930"/>
      <c r="D453" s="1930"/>
      <c r="E453" s="1930"/>
      <c r="F453" s="1144" t="s">
        <v>304</v>
      </c>
      <c r="G453" s="1714">
        <v>1</v>
      </c>
      <c r="H453" s="1714" t="s">
        <v>244</v>
      </c>
      <c r="I453" s="1715">
        <v>438</v>
      </c>
      <c r="J453" s="1715">
        <f t="shared" si="6"/>
        <v>438</v>
      </c>
      <c r="K453" s="1716"/>
      <c r="L453" s="1717"/>
      <c r="M453" s="1717"/>
      <c r="N453" s="1718"/>
      <c r="O453" s="1718"/>
      <c r="P453" s="1718"/>
      <c r="Q453" s="1718"/>
      <c r="R453" s="1719"/>
      <c r="S453" s="1719"/>
      <c r="T453" s="1719"/>
      <c r="U453" s="1719"/>
      <c r="V453" s="1719"/>
      <c r="W453" s="1719"/>
      <c r="X453" s="1719"/>
      <c r="Y453" s="1719"/>
      <c r="Z453" s="1719"/>
      <c r="AA453" s="1719"/>
      <c r="AB453" s="1719"/>
      <c r="AC453" s="1719"/>
      <c r="AD453" s="1719"/>
      <c r="AE453" s="1719"/>
      <c r="AF453" s="1719"/>
      <c r="AG453" s="1719"/>
      <c r="AH453" s="75"/>
    </row>
    <row r="454" spans="1:34" x14ac:dyDescent="0.2">
      <c r="A454" s="1141">
        <v>5</v>
      </c>
      <c r="B454" s="1986" t="s">
        <v>1651</v>
      </c>
      <c r="C454" s="1930"/>
      <c r="D454" s="1930"/>
      <c r="E454" s="1930"/>
      <c r="F454" s="1144" t="s">
        <v>304</v>
      </c>
      <c r="G454" s="1714">
        <v>2</v>
      </c>
      <c r="H454" s="1714">
        <v>2</v>
      </c>
      <c r="I454" s="1715">
        <v>1048</v>
      </c>
      <c r="J454" s="1715">
        <f t="shared" si="6"/>
        <v>4192</v>
      </c>
      <c r="K454" s="1716"/>
      <c r="L454" s="1717"/>
      <c r="M454" s="1717"/>
      <c r="N454" s="1718"/>
      <c r="O454" s="1718"/>
      <c r="P454" s="1718"/>
      <c r="Q454" s="1718"/>
      <c r="R454" s="1719"/>
      <c r="S454" s="1719"/>
      <c r="T454" s="1719"/>
      <c r="U454" s="1719"/>
      <c r="V454" s="1719"/>
      <c r="W454" s="1719"/>
      <c r="X454" s="1719"/>
      <c r="Y454" s="1719"/>
      <c r="Z454" s="1719"/>
      <c r="AA454" s="1719"/>
      <c r="AB454" s="1719"/>
      <c r="AC454" s="1719"/>
      <c r="AD454" s="1719"/>
      <c r="AE454" s="1719"/>
      <c r="AF454" s="1719"/>
      <c r="AG454" s="1719"/>
      <c r="AH454" s="75"/>
    </row>
    <row r="455" spans="1:34" x14ac:dyDescent="0.2">
      <c r="A455" s="1141">
        <v>6</v>
      </c>
      <c r="B455" s="1986" t="s">
        <v>1652</v>
      </c>
      <c r="C455" s="1930"/>
      <c r="D455" s="1930"/>
      <c r="E455" s="1930"/>
      <c r="F455" s="1144" t="s">
        <v>304</v>
      </c>
      <c r="G455" s="1714">
        <v>2</v>
      </c>
      <c r="H455" s="1714">
        <v>2</v>
      </c>
      <c r="I455" s="1715">
        <v>351</v>
      </c>
      <c r="J455" s="1715">
        <f t="shared" si="6"/>
        <v>1404</v>
      </c>
      <c r="K455" s="1716"/>
      <c r="L455" s="1717"/>
      <c r="M455" s="1717"/>
      <c r="N455" s="1718"/>
      <c r="O455" s="1718"/>
      <c r="P455" s="1718"/>
      <c r="Q455" s="1718"/>
      <c r="R455" s="1719"/>
      <c r="S455" s="1719"/>
      <c r="T455" s="1719"/>
      <c r="U455" s="1719"/>
      <c r="V455" s="1719"/>
      <c r="W455" s="1719"/>
      <c r="X455" s="1719"/>
      <c r="Y455" s="1719"/>
      <c r="Z455" s="1719"/>
      <c r="AA455" s="1719"/>
      <c r="AB455" s="1719"/>
      <c r="AC455" s="1719"/>
      <c r="AD455" s="1719"/>
      <c r="AE455" s="1719"/>
      <c r="AF455" s="1719"/>
      <c r="AG455" s="1719"/>
      <c r="AH455" s="75"/>
    </row>
    <row r="456" spans="1:34" x14ac:dyDescent="0.2">
      <c r="A456" s="1141">
        <v>7</v>
      </c>
      <c r="B456" s="1986" t="s">
        <v>1653</v>
      </c>
      <c r="C456" s="1930"/>
      <c r="D456" s="1930"/>
      <c r="E456" s="1930"/>
      <c r="F456" s="1144" t="s">
        <v>304</v>
      </c>
      <c r="G456" s="1714">
        <v>2</v>
      </c>
      <c r="H456" s="1714">
        <v>2</v>
      </c>
      <c r="I456" s="1715">
        <v>256</v>
      </c>
      <c r="J456" s="1715">
        <f t="shared" si="6"/>
        <v>1024</v>
      </c>
      <c r="K456" s="1716"/>
      <c r="L456" s="1717"/>
      <c r="M456" s="1717"/>
      <c r="N456" s="1718"/>
      <c r="O456" s="1718"/>
      <c r="P456" s="1718"/>
      <c r="Q456" s="1718"/>
      <c r="R456" s="1719"/>
      <c r="S456" s="1719"/>
      <c r="T456" s="1719"/>
      <c r="U456" s="1719"/>
      <c r="V456" s="1719"/>
      <c r="W456" s="1719"/>
      <c r="X456" s="1719"/>
      <c r="Y456" s="1719"/>
      <c r="Z456" s="1719"/>
      <c r="AA456" s="1719"/>
      <c r="AB456" s="1719"/>
      <c r="AC456" s="1719"/>
      <c r="AD456" s="1719"/>
      <c r="AE456" s="1719"/>
      <c r="AF456" s="1719"/>
      <c r="AG456" s="1719"/>
      <c r="AH456" s="75"/>
    </row>
    <row r="457" spans="1:34" x14ac:dyDescent="0.2">
      <c r="A457" s="1141">
        <v>8</v>
      </c>
      <c r="B457" s="1986" t="s">
        <v>1654</v>
      </c>
      <c r="C457" s="1930"/>
      <c r="D457" s="1930"/>
      <c r="E457" s="1930"/>
      <c r="F457" s="1144" t="s">
        <v>304</v>
      </c>
      <c r="G457" s="1714">
        <v>2</v>
      </c>
      <c r="H457" s="1714">
        <v>2</v>
      </c>
      <c r="I457" s="1715">
        <v>284</v>
      </c>
      <c r="J457" s="1715">
        <f t="shared" si="6"/>
        <v>1136</v>
      </c>
      <c r="K457" s="1716"/>
      <c r="L457" s="1717"/>
      <c r="M457" s="1717"/>
      <c r="N457" s="1718"/>
      <c r="O457" s="1718"/>
      <c r="P457" s="1718"/>
      <c r="Q457" s="1718"/>
      <c r="R457" s="1719"/>
      <c r="S457" s="1719"/>
      <c r="T457" s="1719"/>
      <c r="U457" s="1719"/>
      <c r="V457" s="1719"/>
      <c r="W457" s="1719"/>
      <c r="X457" s="1719"/>
      <c r="Y457" s="1719"/>
      <c r="Z457" s="1719"/>
      <c r="AA457" s="1719"/>
      <c r="AB457" s="1719"/>
      <c r="AC457" s="1719"/>
      <c r="AD457" s="1719"/>
      <c r="AE457" s="1719"/>
      <c r="AF457" s="1719"/>
      <c r="AG457" s="1719"/>
      <c r="AH457" s="75"/>
    </row>
    <row r="458" spans="1:34" ht="29.25" customHeight="1" x14ac:dyDescent="0.2">
      <c r="A458" s="1141">
        <v>9</v>
      </c>
      <c r="B458" s="1986" t="s">
        <v>1655</v>
      </c>
      <c r="C458" s="1930"/>
      <c r="D458" s="1930"/>
      <c r="E458" s="1930"/>
      <c r="F458" s="1144" t="s">
        <v>304</v>
      </c>
      <c r="G458" s="1714">
        <v>1</v>
      </c>
      <c r="H458" s="1714">
        <v>4</v>
      </c>
      <c r="I458" s="1715">
        <v>315</v>
      </c>
      <c r="J458" s="1715">
        <f t="shared" si="6"/>
        <v>1260</v>
      </c>
      <c r="K458" s="1716"/>
      <c r="L458" s="1717"/>
      <c r="M458" s="1717"/>
      <c r="N458" s="1718"/>
      <c r="O458" s="1718"/>
      <c r="P458" s="1718"/>
      <c r="Q458" s="1718"/>
      <c r="R458" s="1719"/>
      <c r="S458" s="1719"/>
      <c r="T458" s="1719"/>
      <c r="U458" s="1719"/>
      <c r="V458" s="1719"/>
      <c r="W458" s="1719"/>
      <c r="X458" s="1719"/>
      <c r="Y458" s="1719"/>
      <c r="Z458" s="1719"/>
      <c r="AA458" s="1719"/>
      <c r="AB458" s="1719"/>
      <c r="AC458" s="1719"/>
      <c r="AD458" s="1719"/>
      <c r="AE458" s="1719"/>
      <c r="AF458" s="1719"/>
      <c r="AG458" s="1719"/>
      <c r="AH458" s="75"/>
    </row>
    <row r="459" spans="1:34" x14ac:dyDescent="0.2">
      <c r="A459" s="1141">
        <v>10</v>
      </c>
      <c r="B459" s="1986" t="s">
        <v>1656</v>
      </c>
      <c r="C459" s="1930"/>
      <c r="D459" s="1930"/>
      <c r="E459" s="1930"/>
      <c r="F459" s="1144" t="s">
        <v>304</v>
      </c>
      <c r="G459" s="1714">
        <v>1</v>
      </c>
      <c r="H459" s="1714">
        <v>2</v>
      </c>
      <c r="I459" s="1715">
        <v>487</v>
      </c>
      <c r="J459" s="1715">
        <f t="shared" si="6"/>
        <v>974</v>
      </c>
      <c r="K459" s="1716"/>
      <c r="L459" s="1717"/>
      <c r="M459" s="1717"/>
      <c r="N459" s="1718"/>
      <c r="O459" s="1718"/>
      <c r="P459" s="1718"/>
      <c r="Q459" s="1718"/>
      <c r="R459" s="1719"/>
      <c r="S459" s="1719"/>
      <c r="T459" s="1719"/>
      <c r="U459" s="1719"/>
      <c r="V459" s="1719"/>
      <c r="W459" s="1719"/>
      <c r="X459" s="1719"/>
      <c r="Y459" s="1719"/>
      <c r="Z459" s="1719"/>
      <c r="AA459" s="1719"/>
      <c r="AB459" s="1719"/>
      <c r="AC459" s="1719"/>
      <c r="AD459" s="1719"/>
      <c r="AE459" s="1719"/>
      <c r="AF459" s="1719"/>
      <c r="AG459" s="1719"/>
      <c r="AH459" s="75"/>
    </row>
    <row r="460" spans="1:34" x14ac:dyDescent="0.2">
      <c r="A460" s="1141">
        <v>11</v>
      </c>
      <c r="B460" s="1986" t="s">
        <v>1657</v>
      </c>
      <c r="C460" s="1930"/>
      <c r="D460" s="1930"/>
      <c r="E460" s="1930"/>
      <c r="F460" s="1144" t="s">
        <v>304</v>
      </c>
      <c r="G460" s="1714">
        <v>1</v>
      </c>
      <c r="H460" s="1714">
        <v>2</v>
      </c>
      <c r="I460" s="1715">
        <v>284</v>
      </c>
      <c r="J460" s="1715">
        <f t="shared" si="6"/>
        <v>568</v>
      </c>
      <c r="K460" s="1716"/>
      <c r="L460" s="1717"/>
      <c r="M460" s="1717"/>
      <c r="N460" s="1718"/>
      <c r="O460" s="1718"/>
      <c r="P460" s="1718"/>
      <c r="Q460" s="1718"/>
      <c r="R460" s="1719"/>
      <c r="S460" s="1719"/>
      <c r="T460" s="1719"/>
      <c r="U460" s="1719"/>
      <c r="V460" s="1719"/>
      <c r="W460" s="1719"/>
      <c r="X460" s="1719"/>
      <c r="Y460" s="1719"/>
      <c r="Z460" s="1719"/>
      <c r="AA460" s="1719"/>
      <c r="AB460" s="1719"/>
      <c r="AC460" s="1719"/>
      <c r="AD460" s="1719"/>
      <c r="AE460" s="1719"/>
      <c r="AF460" s="1719"/>
      <c r="AG460" s="1719"/>
      <c r="AH460" s="75"/>
    </row>
    <row r="461" spans="1:34" x14ac:dyDescent="0.2">
      <c r="A461" s="1141">
        <v>12</v>
      </c>
      <c r="B461" s="1986" t="s">
        <v>1658</v>
      </c>
      <c r="C461" s="1930"/>
      <c r="D461" s="1930"/>
      <c r="E461" s="1930"/>
      <c r="F461" s="1144" t="s">
        <v>304</v>
      </c>
      <c r="G461" s="1714">
        <v>1</v>
      </c>
      <c r="H461" s="1714">
        <v>2</v>
      </c>
      <c r="I461" s="1715">
        <v>284</v>
      </c>
      <c r="J461" s="1715">
        <f t="shared" si="6"/>
        <v>568</v>
      </c>
      <c r="K461" s="1716"/>
      <c r="L461" s="1717"/>
      <c r="M461" s="1717"/>
      <c r="N461" s="1718"/>
      <c r="O461" s="1718"/>
      <c r="P461" s="1718"/>
      <c r="Q461" s="1718"/>
      <c r="R461" s="1719"/>
      <c r="S461" s="1719"/>
      <c r="T461" s="1719"/>
      <c r="U461" s="1719"/>
      <c r="V461" s="1719"/>
      <c r="W461" s="1719"/>
      <c r="X461" s="1719"/>
      <c r="Y461" s="1719"/>
      <c r="Z461" s="1719"/>
      <c r="AA461" s="1719"/>
      <c r="AB461" s="1719"/>
      <c r="AC461" s="1719"/>
      <c r="AD461" s="1719"/>
      <c r="AE461" s="1719"/>
      <c r="AF461" s="1719"/>
      <c r="AG461" s="1719"/>
      <c r="AH461" s="75"/>
    </row>
    <row r="462" spans="1:34" ht="29.25" customHeight="1" x14ac:dyDescent="0.2">
      <c r="A462" s="1141">
        <v>13</v>
      </c>
      <c r="B462" s="1986" t="s">
        <v>1659</v>
      </c>
      <c r="C462" s="1930"/>
      <c r="D462" s="1930"/>
      <c r="E462" s="1930"/>
      <c r="F462" s="1144" t="s">
        <v>304</v>
      </c>
      <c r="G462" s="1714">
        <v>1</v>
      </c>
      <c r="H462" s="1714">
        <v>3</v>
      </c>
      <c r="I462" s="1715">
        <v>315</v>
      </c>
      <c r="J462" s="1715">
        <f t="shared" si="6"/>
        <v>945</v>
      </c>
      <c r="K462" s="1716"/>
      <c r="L462" s="1717"/>
      <c r="M462" s="1717"/>
      <c r="N462" s="1718"/>
      <c r="O462" s="1718"/>
      <c r="P462" s="1718"/>
      <c r="Q462" s="1718"/>
      <c r="R462" s="1719"/>
      <c r="S462" s="1719"/>
      <c r="T462" s="1719"/>
      <c r="U462" s="1719"/>
      <c r="V462" s="1719"/>
      <c r="W462" s="1719"/>
      <c r="X462" s="1719"/>
      <c r="Y462" s="1719"/>
      <c r="Z462" s="1719"/>
      <c r="AA462" s="1719"/>
      <c r="AB462" s="1719"/>
      <c r="AC462" s="1719"/>
      <c r="AD462" s="1719"/>
      <c r="AE462" s="1719"/>
      <c r="AF462" s="1719"/>
      <c r="AG462" s="1719"/>
      <c r="AH462" s="75"/>
    </row>
    <row r="463" spans="1:34" ht="29.25" customHeight="1" x14ac:dyDescent="0.2">
      <c r="A463" s="1141">
        <v>14</v>
      </c>
      <c r="B463" s="1986" t="s">
        <v>1660</v>
      </c>
      <c r="C463" s="1930"/>
      <c r="D463" s="1930"/>
      <c r="E463" s="1930"/>
      <c r="F463" s="1144" t="s">
        <v>304</v>
      </c>
      <c r="G463" s="1714">
        <v>1</v>
      </c>
      <c r="H463" s="1714">
        <v>3</v>
      </c>
      <c r="I463" s="1715">
        <v>315</v>
      </c>
      <c r="J463" s="1715">
        <f t="shared" si="6"/>
        <v>945</v>
      </c>
      <c r="K463" s="1716"/>
      <c r="L463" s="1717"/>
      <c r="M463" s="1717"/>
      <c r="N463" s="1718"/>
      <c r="O463" s="1718"/>
      <c r="P463" s="1718"/>
      <c r="Q463" s="1718"/>
      <c r="R463" s="1719"/>
      <c r="S463" s="1719"/>
      <c r="T463" s="1719"/>
      <c r="U463" s="1719"/>
      <c r="V463" s="1719"/>
      <c r="W463" s="1719"/>
      <c r="X463" s="1719"/>
      <c r="Y463" s="1719"/>
      <c r="Z463" s="1719"/>
      <c r="AA463" s="1719"/>
      <c r="AB463" s="1719"/>
      <c r="AC463" s="1719"/>
      <c r="AD463" s="1719"/>
      <c r="AE463" s="1719"/>
      <c r="AF463" s="1719"/>
      <c r="AG463" s="1719"/>
      <c r="AH463" s="75"/>
    </row>
    <row r="464" spans="1:34" ht="15" customHeight="1" x14ac:dyDescent="0.25">
      <c r="A464" s="1895" t="s">
        <v>39</v>
      </c>
      <c r="B464" s="1895"/>
      <c r="C464" s="1895"/>
      <c r="D464" s="1895"/>
      <c r="E464" s="1895"/>
      <c r="F464" s="1895"/>
      <c r="G464" s="1895"/>
      <c r="H464" s="1895"/>
      <c r="I464" s="1895"/>
      <c r="J464" s="1589">
        <f>J449</f>
        <v>57786</v>
      </c>
      <c r="K464" s="344"/>
      <c r="L464" s="8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</row>
    <row r="465" spans="1:28" ht="10.5" customHeight="1" x14ac:dyDescent="0.25">
      <c r="A465" s="1635"/>
      <c r="B465" s="1635"/>
      <c r="C465" s="1635"/>
      <c r="D465" s="1635"/>
      <c r="E465" s="1635"/>
      <c r="F465" s="1635"/>
      <c r="G465" s="1635"/>
      <c r="H465" s="1635"/>
      <c r="I465" s="1635"/>
      <c r="J465" s="782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</row>
    <row r="466" spans="1:28" x14ac:dyDescent="0.25">
      <c r="A466" s="1908" t="s">
        <v>1868</v>
      </c>
      <c r="B466" s="1908"/>
      <c r="C466" s="1908"/>
      <c r="D466" s="1908"/>
      <c r="E466" s="1908"/>
      <c r="F466" s="1908"/>
      <c r="G466" s="1908"/>
      <c r="H466" s="1908"/>
      <c r="I466" s="1635"/>
      <c r="J466" s="98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</row>
    <row r="467" spans="1:28" x14ac:dyDescent="0.25">
      <c r="A467" s="1926" t="s">
        <v>8</v>
      </c>
      <c r="B467" s="1926" t="s">
        <v>1</v>
      </c>
      <c r="C467" s="1926"/>
      <c r="D467" s="1926"/>
      <c r="E467" s="1926"/>
      <c r="F467" s="1926" t="s">
        <v>736</v>
      </c>
      <c r="G467" s="1926" t="s">
        <v>1827</v>
      </c>
      <c r="H467" s="1926" t="s">
        <v>735</v>
      </c>
      <c r="I467" s="1926"/>
      <c r="J467" s="1926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</row>
    <row r="468" spans="1:28" ht="120" x14ac:dyDescent="0.25">
      <c r="A468" s="1926"/>
      <c r="B468" s="1926"/>
      <c r="C468" s="1926"/>
      <c r="D468" s="1926"/>
      <c r="E468" s="1926"/>
      <c r="F468" s="1926"/>
      <c r="G468" s="1598" t="s">
        <v>1869</v>
      </c>
      <c r="H468" s="1598" t="s">
        <v>1871</v>
      </c>
      <c r="I468" s="1598" t="s">
        <v>748</v>
      </c>
      <c r="J468" s="1598" t="s">
        <v>256</v>
      </c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</row>
    <row r="469" spans="1:28" x14ac:dyDescent="0.25">
      <c r="A469" s="1625">
        <v>1</v>
      </c>
      <c r="B469" s="1907" t="s">
        <v>1870</v>
      </c>
      <c r="C469" s="1908"/>
      <c r="D469" s="1908"/>
      <c r="E469" s="1908"/>
      <c r="F469" s="1625" t="s">
        <v>108</v>
      </c>
      <c r="G469" s="1230">
        <v>2</v>
      </c>
      <c r="H469" s="1617">
        <v>9000</v>
      </c>
      <c r="I469" s="1230">
        <v>12</v>
      </c>
      <c r="J469" s="1591">
        <f>G469*H469*I469</f>
        <v>216000</v>
      </c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</row>
    <row r="470" spans="1:28" x14ac:dyDescent="0.25">
      <c r="A470" s="2059" t="s">
        <v>39</v>
      </c>
      <c r="B470" s="2060"/>
      <c r="C470" s="2060"/>
      <c r="D470" s="2060"/>
      <c r="E470" s="2060"/>
      <c r="F470" s="2060"/>
      <c r="G470" s="2061"/>
      <c r="H470" s="2061"/>
      <c r="I470" s="2062"/>
      <c r="J470" s="1192">
        <f>SUM(J469:J469)</f>
        <v>216000</v>
      </c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</row>
    <row r="471" spans="1:28" ht="10.5" customHeight="1" x14ac:dyDescent="0.25">
      <c r="A471" s="1635"/>
      <c r="B471" s="1635"/>
      <c r="C471" s="1635"/>
      <c r="D471" s="1635"/>
      <c r="E471" s="1635"/>
      <c r="F471" s="1635"/>
      <c r="G471" s="1635"/>
      <c r="H471" s="1635"/>
      <c r="I471" s="1635"/>
      <c r="J471" s="782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</row>
    <row r="472" spans="1:28" ht="15" customHeight="1" x14ac:dyDescent="0.25">
      <c r="A472" s="1645" t="s">
        <v>63</v>
      </c>
      <c r="B472" s="72"/>
      <c r="C472" s="72"/>
      <c r="D472" s="61"/>
      <c r="E472" s="71" t="s">
        <v>70</v>
      </c>
      <c r="J472" s="85">
        <f>J473+J565+J575</f>
        <v>9165977.5899999999</v>
      </c>
      <c r="K472" s="341"/>
      <c r="L472" s="2" t="s">
        <v>1284</v>
      </c>
      <c r="M472" s="75"/>
      <c r="N472" s="75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</row>
    <row r="473" spans="1:28" ht="15" customHeight="1" x14ac:dyDescent="0.25">
      <c r="A473" s="1645" t="s">
        <v>26</v>
      </c>
      <c r="B473" s="72"/>
      <c r="C473" s="72"/>
      <c r="D473" s="61"/>
      <c r="E473" s="71" t="s">
        <v>624</v>
      </c>
      <c r="J473" s="85">
        <f>J474+J547+J556</f>
        <v>5595877.5899999999</v>
      </c>
      <c r="K473" s="341">
        <f>J478+J506+J515+J524+J536</f>
        <v>3350508.87</v>
      </c>
      <c r="L473" s="2" t="s">
        <v>1285</v>
      </c>
      <c r="M473" s="81"/>
      <c r="N473" s="34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</row>
    <row r="474" spans="1:28" x14ac:dyDescent="0.25">
      <c r="A474" s="1645" t="s">
        <v>27</v>
      </c>
      <c r="B474" s="72"/>
      <c r="C474" s="72"/>
      <c r="D474" s="61"/>
      <c r="E474" s="71" t="s">
        <v>1830</v>
      </c>
      <c r="J474" s="85">
        <f>J486+J506+J515+J524+J530+J536+J545</f>
        <v>4589282.59</v>
      </c>
      <c r="K474" s="341"/>
      <c r="L474" s="829" t="s">
        <v>1286</v>
      </c>
      <c r="M474" s="83"/>
      <c r="N474" s="829" t="s">
        <v>1287</v>
      </c>
      <c r="O474" s="70">
        <f>K473+M474</f>
        <v>3350508.87</v>
      </c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</row>
    <row r="475" spans="1:28" x14ac:dyDescent="0.25">
      <c r="A475" s="1" t="s">
        <v>1140</v>
      </c>
      <c r="B475" s="1"/>
      <c r="C475" s="1"/>
      <c r="D475" s="1"/>
      <c r="E475" s="1"/>
      <c r="F475" s="1"/>
      <c r="G475" s="1"/>
      <c r="H475" s="4"/>
      <c r="I475" s="4"/>
      <c r="J475" s="4"/>
      <c r="K475" s="70"/>
      <c r="M475" s="354"/>
      <c r="N475" s="354"/>
      <c r="O475" s="354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</row>
    <row r="476" spans="1:28" x14ac:dyDescent="0.25">
      <c r="A476" s="1898" t="s">
        <v>8</v>
      </c>
      <c r="B476" s="1898" t="s">
        <v>35</v>
      </c>
      <c r="C476" s="1898"/>
      <c r="D476" s="1898"/>
      <c r="E476" s="1898"/>
      <c r="F476" s="1898"/>
      <c r="G476" s="1898" t="s">
        <v>1827</v>
      </c>
      <c r="H476" s="1898"/>
      <c r="I476" s="1898"/>
      <c r="J476" s="1898"/>
      <c r="K476" s="61" t="s">
        <v>1478</v>
      </c>
    </row>
    <row r="477" spans="1:28" ht="45" x14ac:dyDescent="0.25">
      <c r="A477" s="1898"/>
      <c r="B477" s="1898"/>
      <c r="C477" s="1898"/>
      <c r="D477" s="1898"/>
      <c r="E477" s="1898"/>
      <c r="F477" s="1898"/>
      <c r="G477" s="1581" t="s">
        <v>1141</v>
      </c>
      <c r="H477" s="1581" t="s">
        <v>1142</v>
      </c>
      <c r="I477" s="1581" t="s">
        <v>1143</v>
      </c>
      <c r="J477" s="1581" t="s">
        <v>256</v>
      </c>
      <c r="K477" s="343"/>
    </row>
    <row r="478" spans="1:28" x14ac:dyDescent="0.25">
      <c r="A478" s="1621" t="s">
        <v>1876</v>
      </c>
      <c r="B478" s="1754"/>
      <c r="C478" s="1754"/>
      <c r="D478" s="1754"/>
      <c r="E478" s="1754"/>
      <c r="F478" s="1754"/>
      <c r="G478" s="1754"/>
      <c r="H478" s="1754"/>
      <c r="I478" s="1754"/>
      <c r="J478" s="1532">
        <f>J479+J480</f>
        <v>2812981.5</v>
      </c>
      <c r="K478" s="344">
        <f>239047.2-161696.28</f>
        <v>77350.92</v>
      </c>
      <c r="L478" s="81">
        <f>J478-K478</f>
        <v>2735630.58</v>
      </c>
    </row>
    <row r="479" spans="1:28" ht="33" customHeight="1" x14ac:dyDescent="0.25">
      <c r="A479" s="1905">
        <v>1</v>
      </c>
      <c r="B479" s="1909" t="s">
        <v>1145</v>
      </c>
      <c r="C479" s="1910"/>
      <c r="D479" s="1910"/>
      <c r="E479" s="1910"/>
      <c r="F479" s="1910"/>
      <c r="G479" s="1652">
        <v>1</v>
      </c>
      <c r="H479" s="59">
        <v>8755</v>
      </c>
      <c r="I479" s="1588">
        <v>160.65</v>
      </c>
      <c r="J479" s="1588">
        <f>H479*I479</f>
        <v>1406490.75</v>
      </c>
      <c r="K479" s="61"/>
    </row>
    <row r="480" spans="1:28" ht="30" customHeight="1" x14ac:dyDescent="0.25">
      <c r="A480" s="1906"/>
      <c r="B480" s="1909" t="s">
        <v>1146</v>
      </c>
      <c r="C480" s="1910"/>
      <c r="D480" s="1910"/>
      <c r="E480" s="1910"/>
      <c r="F480" s="1910"/>
      <c r="G480" s="1652">
        <v>1</v>
      </c>
      <c r="H480" s="59">
        <v>8755</v>
      </c>
      <c r="I480" s="1588">
        <v>160.65</v>
      </c>
      <c r="J480" s="1588">
        <f>H480*I480</f>
        <v>1406490.75</v>
      </c>
      <c r="K480" s="61"/>
      <c r="L480" s="81"/>
    </row>
    <row r="481" spans="1:14" x14ac:dyDescent="0.25">
      <c r="A481" s="1720" t="s">
        <v>1877</v>
      </c>
      <c r="B481" s="1755"/>
      <c r="C481" s="1755"/>
      <c r="D481" s="1755"/>
      <c r="E481" s="1755"/>
      <c r="F481" s="1755"/>
      <c r="G481" s="1755"/>
      <c r="H481" s="1755"/>
      <c r="I481" s="1755"/>
      <c r="J481" s="1532">
        <f>J482</f>
        <v>1291680</v>
      </c>
      <c r="K481" s="61"/>
      <c r="L481" s="81"/>
    </row>
    <row r="482" spans="1:14" x14ac:dyDescent="0.25">
      <c r="A482" s="1651">
        <v>2</v>
      </c>
      <c r="B482" s="1986" t="s">
        <v>1878</v>
      </c>
      <c r="C482" s="1930"/>
      <c r="D482" s="1930"/>
      <c r="E482" s="1930"/>
      <c r="F482" s="1930"/>
      <c r="G482" s="1721">
        <v>2</v>
      </c>
      <c r="H482" s="1230">
        <f>299*12</f>
        <v>3588</v>
      </c>
      <c r="I482" s="1617">
        <v>180</v>
      </c>
      <c r="J482" s="1617">
        <f>G482*H482*I482</f>
        <v>1291680</v>
      </c>
      <c r="K482" s="344">
        <v>0</v>
      </c>
      <c r="L482" s="81">
        <f>J482-K482</f>
        <v>1291680</v>
      </c>
    </row>
    <row r="483" spans="1:14" x14ac:dyDescent="0.25">
      <c r="A483" s="1951" t="s">
        <v>39</v>
      </c>
      <c r="B483" s="1951"/>
      <c r="C483" s="1951"/>
      <c r="D483" s="1951"/>
      <c r="E483" s="1951"/>
      <c r="F483" s="1951"/>
      <c r="G483" s="1951"/>
      <c r="H483" s="1951"/>
      <c r="I483" s="1951"/>
      <c r="J483" s="1589">
        <f>J478+J481</f>
        <v>4104661.5</v>
      </c>
      <c r="K483" s="344"/>
      <c r="L483" s="81"/>
      <c r="M483" s="81"/>
    </row>
    <row r="484" spans="1:14" x14ac:dyDescent="0.25">
      <c r="A484" s="1924" t="s">
        <v>514</v>
      </c>
      <c r="B484" s="1925"/>
      <c r="C484" s="1925"/>
      <c r="D484" s="1925"/>
      <c r="E484" s="1925"/>
      <c r="F484" s="1925"/>
      <c r="G484" s="1925"/>
      <c r="H484" s="1925"/>
      <c r="I484" s="1925"/>
      <c r="J484" s="1925"/>
      <c r="K484" s="61"/>
    </row>
    <row r="485" spans="1:14" ht="29.25" customHeight="1" x14ac:dyDescent="0.25">
      <c r="A485" s="1953" t="s">
        <v>2141</v>
      </c>
      <c r="B485" s="1953"/>
      <c r="C485" s="1953"/>
      <c r="D485" s="1953"/>
      <c r="E485" s="1953"/>
      <c r="F485" s="1953"/>
      <c r="G485" s="1953"/>
      <c r="H485" s="1953"/>
      <c r="I485" s="1953"/>
      <c r="J485" s="1363">
        <v>161696.28</v>
      </c>
      <c r="K485" s="344"/>
      <c r="L485" s="81"/>
    </row>
    <row r="486" spans="1:14" ht="29.25" customHeight="1" x14ac:dyDescent="0.25">
      <c r="A486" s="1953" t="s">
        <v>2140</v>
      </c>
      <c r="B486" s="1953"/>
      <c r="C486" s="1953"/>
      <c r="D486" s="1953"/>
      <c r="E486" s="1953"/>
      <c r="F486" s="1953"/>
      <c r="G486" s="1953"/>
      <c r="H486" s="1953"/>
      <c r="I486" s="1953"/>
      <c r="J486" s="1363">
        <f>J483-J485</f>
        <v>3942965.22</v>
      </c>
      <c r="N486" s="1722"/>
    </row>
    <row r="487" spans="1:14" hidden="1" x14ac:dyDescent="0.25">
      <c r="A487" s="1891" t="s">
        <v>619</v>
      </c>
      <c r="B487" s="1891"/>
      <c r="C487" s="1891"/>
      <c r="D487" s="1891"/>
      <c r="E487" s="1891"/>
      <c r="F487" s="1891"/>
      <c r="G487" s="1891"/>
      <c r="H487" s="1891"/>
      <c r="I487" s="1891"/>
      <c r="J487" s="1588"/>
      <c r="K487" s="344"/>
      <c r="L487" s="81"/>
    </row>
    <row r="488" spans="1:14" hidden="1" x14ac:dyDescent="0.25">
      <c r="A488" s="1891" t="s">
        <v>1147</v>
      </c>
      <c r="B488" s="1891"/>
      <c r="C488" s="1891"/>
      <c r="D488" s="1891"/>
      <c r="E488" s="1891"/>
      <c r="F488" s="1891"/>
      <c r="G488" s="1891"/>
      <c r="H488" s="1891"/>
      <c r="I488" s="1891"/>
      <c r="J488" s="360"/>
      <c r="K488" s="1603"/>
    </row>
    <row r="489" spans="1:14" ht="11.25" customHeight="1" x14ac:dyDescent="0.25">
      <c r="A489" s="1723"/>
      <c r="B489" s="1724"/>
      <c r="C489" s="1724"/>
      <c r="D489" s="1724"/>
      <c r="E489" s="1724"/>
      <c r="F489" s="1724"/>
      <c r="G489" s="1724"/>
      <c r="H489" s="1724"/>
      <c r="I489" s="1724"/>
      <c r="J489" s="911"/>
      <c r="K489" s="70"/>
    </row>
    <row r="490" spans="1:14" hidden="1" x14ac:dyDescent="0.25">
      <c r="A490" s="1644" t="s">
        <v>310</v>
      </c>
      <c r="K490" s="1648"/>
    </row>
    <row r="491" spans="1:14" hidden="1" x14ac:dyDescent="0.25">
      <c r="A491" s="1898" t="s">
        <v>8</v>
      </c>
      <c r="B491" s="1898" t="s">
        <v>35</v>
      </c>
      <c r="C491" s="1898"/>
      <c r="D491" s="1898"/>
      <c r="E491" s="1898"/>
      <c r="F491" s="1898"/>
      <c r="G491" s="1898" t="s">
        <v>61</v>
      </c>
      <c r="H491" s="1898" t="s">
        <v>1476</v>
      </c>
      <c r="I491" s="1898"/>
      <c r="J491" s="1898"/>
    </row>
    <row r="492" spans="1:14" ht="28.5" hidden="1" customHeight="1" x14ac:dyDescent="0.25">
      <c r="A492" s="1898"/>
      <c r="B492" s="1898"/>
      <c r="C492" s="1898"/>
      <c r="D492" s="1898"/>
      <c r="E492" s="1898"/>
      <c r="F492" s="1898"/>
      <c r="G492" s="1898"/>
      <c r="H492" s="1581" t="s">
        <v>248</v>
      </c>
      <c r="I492" s="1588" t="s">
        <v>264</v>
      </c>
      <c r="J492" s="1588" t="s">
        <v>256</v>
      </c>
      <c r="K492" s="61"/>
    </row>
    <row r="493" spans="1:14" ht="15" hidden="1" customHeight="1" x14ac:dyDescent="0.25">
      <c r="A493" s="1630">
        <v>1</v>
      </c>
      <c r="B493" s="1909" t="s">
        <v>87</v>
      </c>
      <c r="C493" s="1909"/>
      <c r="D493" s="1909"/>
      <c r="E493" s="1909"/>
      <c r="F493" s="1909"/>
      <c r="G493" s="1588" t="s">
        <v>298</v>
      </c>
      <c r="H493" s="59">
        <v>22</v>
      </c>
      <c r="I493" s="1588">
        <v>88</v>
      </c>
      <c r="J493" s="1588">
        <f>H493*I493</f>
        <v>1936</v>
      </c>
      <c r="K493" s="344" t="s">
        <v>1478</v>
      </c>
    </row>
    <row r="494" spans="1:14" ht="15" hidden="1" customHeight="1" x14ac:dyDescent="0.25">
      <c r="A494" s="1630">
        <v>2</v>
      </c>
      <c r="B494" s="1909" t="s">
        <v>87</v>
      </c>
      <c r="C494" s="1909"/>
      <c r="D494" s="1909"/>
      <c r="E494" s="1909"/>
      <c r="F494" s="1909"/>
      <c r="G494" s="1588" t="s">
        <v>298</v>
      </c>
      <c r="H494" s="59">
        <v>192</v>
      </c>
      <c r="I494" s="1588">
        <v>35</v>
      </c>
      <c r="J494" s="1588">
        <f>H494*I494</f>
        <v>6720</v>
      </c>
      <c r="K494" s="344" t="s">
        <v>1478</v>
      </c>
    </row>
    <row r="495" spans="1:14" hidden="1" x14ac:dyDescent="0.25">
      <c r="A495" s="1895" t="s">
        <v>39</v>
      </c>
      <c r="B495" s="1895"/>
      <c r="C495" s="1895"/>
      <c r="D495" s="1895"/>
      <c r="E495" s="1895"/>
      <c r="F495" s="1895"/>
      <c r="G495" s="1895"/>
      <c r="H495" s="1895"/>
      <c r="I495" s="1895"/>
      <c r="J495" s="1589">
        <f>SUM(J493:J494)</f>
        <v>8656</v>
      </c>
    </row>
    <row r="496" spans="1:14" hidden="1" x14ac:dyDescent="0.25">
      <c r="A496" s="1924" t="s">
        <v>514</v>
      </c>
      <c r="B496" s="1925"/>
      <c r="C496" s="1925"/>
      <c r="D496" s="1925"/>
      <c r="E496" s="1925"/>
      <c r="F496" s="1925"/>
      <c r="G496" s="1925"/>
      <c r="H496" s="1925"/>
      <c r="I496" s="1925"/>
      <c r="J496" s="1925"/>
    </row>
    <row r="497" spans="1:12" hidden="1" x14ac:dyDescent="0.25">
      <c r="A497" s="1913" t="s">
        <v>1134</v>
      </c>
      <c r="B497" s="1913"/>
      <c r="C497" s="1913"/>
      <c r="D497" s="1913"/>
      <c r="E497" s="1913"/>
      <c r="F497" s="1913"/>
      <c r="G497" s="1913"/>
      <c r="H497" s="1913"/>
      <c r="I497" s="1913"/>
      <c r="J497" s="1594">
        <v>0</v>
      </c>
    </row>
    <row r="498" spans="1:12" hidden="1" x14ac:dyDescent="0.25">
      <c r="A498" s="1913" t="s">
        <v>153</v>
      </c>
      <c r="B498" s="1913"/>
      <c r="C498" s="1913"/>
      <c r="D498" s="1913"/>
      <c r="E498" s="1913"/>
      <c r="F498" s="1913"/>
      <c r="G498" s="1913"/>
      <c r="H498" s="1913"/>
      <c r="I498" s="1913"/>
      <c r="J498" s="1594"/>
      <c r="K498" s="344">
        <v>0</v>
      </c>
      <c r="L498" s="81">
        <f>J498-K498</f>
        <v>0</v>
      </c>
    </row>
    <row r="499" spans="1:12" hidden="1" x14ac:dyDescent="0.25">
      <c r="A499" s="1891" t="s">
        <v>619</v>
      </c>
      <c r="B499" s="1891"/>
      <c r="C499" s="1891"/>
      <c r="D499" s="1891"/>
      <c r="E499" s="1891"/>
      <c r="F499" s="1891"/>
      <c r="G499" s="1891"/>
      <c r="H499" s="1891"/>
      <c r="I499" s="1891"/>
      <c r="J499" s="1588"/>
    </row>
    <row r="500" spans="1:12" hidden="1" x14ac:dyDescent="0.25">
      <c r="A500" s="636"/>
      <c r="B500" s="636"/>
      <c r="C500" s="636"/>
      <c r="D500" s="636"/>
      <c r="E500" s="636"/>
      <c r="F500" s="636"/>
      <c r="G500" s="636"/>
      <c r="H500" s="636"/>
      <c r="I500" s="636"/>
      <c r="J500" s="98"/>
    </row>
    <row r="501" spans="1:12" x14ac:dyDescent="0.25">
      <c r="A501" s="1" t="s">
        <v>823</v>
      </c>
      <c r="B501" s="1"/>
      <c r="C501" s="1"/>
      <c r="D501" s="1"/>
      <c r="E501" s="1"/>
      <c r="F501" s="1"/>
      <c r="G501" s="1"/>
      <c r="H501" s="4"/>
      <c r="I501" s="4"/>
      <c r="J501" s="4"/>
    </row>
    <row r="502" spans="1:12" ht="15" customHeight="1" x14ac:dyDescent="0.25">
      <c r="A502" s="1926" t="s">
        <v>8</v>
      </c>
      <c r="B502" s="1926" t="s">
        <v>35</v>
      </c>
      <c r="C502" s="1926"/>
      <c r="D502" s="1926"/>
      <c r="E502" s="1926"/>
      <c r="F502" s="1926"/>
      <c r="G502" s="1926" t="s">
        <v>61</v>
      </c>
      <c r="H502" s="1926" t="s">
        <v>1827</v>
      </c>
      <c r="I502" s="1926"/>
      <c r="J502" s="1926"/>
      <c r="K502" s="81" t="s">
        <v>1478</v>
      </c>
    </row>
    <row r="503" spans="1:12" ht="32.25" customHeight="1" x14ac:dyDescent="0.25">
      <c r="A503" s="1926"/>
      <c r="B503" s="1926"/>
      <c r="C503" s="1926"/>
      <c r="D503" s="1926"/>
      <c r="E503" s="1926"/>
      <c r="F503" s="1926"/>
      <c r="G503" s="1926"/>
      <c r="H503" s="1598" t="s">
        <v>248</v>
      </c>
      <c r="I503" s="1598" t="s">
        <v>738</v>
      </c>
      <c r="J503" s="1598" t="s">
        <v>256</v>
      </c>
    </row>
    <row r="504" spans="1:12" ht="30" customHeight="1" x14ac:dyDescent="0.25">
      <c r="A504" s="1141">
        <v>1</v>
      </c>
      <c r="B504" s="2089" t="s">
        <v>1879</v>
      </c>
      <c r="C504" s="2090"/>
      <c r="D504" s="2090"/>
      <c r="E504" s="2090"/>
      <c r="F504" s="2091"/>
      <c r="G504" s="1617" t="s">
        <v>618</v>
      </c>
      <c r="H504" s="1364">
        <f>744*2</f>
        <v>1488</v>
      </c>
      <c r="I504" s="1617">
        <v>12.45</v>
      </c>
      <c r="J504" s="1617">
        <f>H504*I504</f>
        <v>18525.599999999999</v>
      </c>
    </row>
    <row r="505" spans="1:12" ht="30" customHeight="1" x14ac:dyDescent="0.25">
      <c r="A505" s="1141">
        <v>2</v>
      </c>
      <c r="B505" s="2089" t="s">
        <v>1880</v>
      </c>
      <c r="C505" s="2090"/>
      <c r="D505" s="2090"/>
      <c r="E505" s="2090"/>
      <c r="F505" s="2091"/>
      <c r="G505" s="1617" t="s">
        <v>618</v>
      </c>
      <c r="H505" s="1364">
        <v>16032</v>
      </c>
      <c r="I505" s="1617">
        <v>12.45</v>
      </c>
      <c r="J505" s="1617">
        <f>H505*I505</f>
        <v>199598.4</v>
      </c>
    </row>
    <row r="506" spans="1:12" ht="15" customHeight="1" x14ac:dyDescent="0.25">
      <c r="A506" s="1993" t="s">
        <v>39</v>
      </c>
      <c r="B506" s="1993"/>
      <c r="C506" s="1993"/>
      <c r="D506" s="1993"/>
      <c r="E506" s="1993"/>
      <c r="F506" s="1993"/>
      <c r="G506" s="1993"/>
      <c r="H506" s="1192" t="s">
        <v>5</v>
      </c>
      <c r="I506" s="1192" t="s">
        <v>5</v>
      </c>
      <c r="J506" s="1192">
        <f>SUM(J504:J505)</f>
        <v>218124</v>
      </c>
      <c r="K506" s="1379">
        <v>18525.599999999999</v>
      </c>
      <c r="L506" s="1756">
        <f>J506-K506</f>
        <v>199598.4</v>
      </c>
    </row>
    <row r="507" spans="1:12" ht="10.5" customHeight="1" x14ac:dyDescent="0.25">
      <c r="A507" s="1635"/>
      <c r="B507" s="1635"/>
      <c r="C507" s="1635"/>
      <c r="D507" s="1635"/>
      <c r="E507" s="1635"/>
      <c r="F507" s="1635"/>
      <c r="G507" s="1635"/>
      <c r="H507" s="1635"/>
      <c r="I507" s="1635"/>
      <c r="J507" s="98"/>
    </row>
    <row r="508" spans="1:12" x14ac:dyDescent="0.25">
      <c r="A508" s="1644" t="s">
        <v>823</v>
      </c>
      <c r="K508" s="61"/>
      <c r="L508" s="1757"/>
    </row>
    <row r="509" spans="1:12" x14ac:dyDescent="0.25">
      <c r="A509" s="1926" t="s">
        <v>8</v>
      </c>
      <c r="B509" s="1926" t="s">
        <v>35</v>
      </c>
      <c r="C509" s="1926"/>
      <c r="D509" s="1926"/>
      <c r="E509" s="1926"/>
      <c r="F509" s="1926"/>
      <c r="G509" s="1926" t="s">
        <v>61</v>
      </c>
      <c r="H509" s="1926" t="s">
        <v>1827</v>
      </c>
      <c r="I509" s="1926"/>
      <c r="J509" s="1926"/>
      <c r="K509" s="61" t="s">
        <v>1478</v>
      </c>
      <c r="L509" s="1757"/>
    </row>
    <row r="510" spans="1:12" ht="30" x14ac:dyDescent="0.25">
      <c r="A510" s="1926"/>
      <c r="B510" s="1926"/>
      <c r="C510" s="1926"/>
      <c r="D510" s="1926"/>
      <c r="E510" s="1926"/>
      <c r="F510" s="1926"/>
      <c r="G510" s="1926"/>
      <c r="H510" s="1598" t="s">
        <v>248</v>
      </c>
      <c r="I510" s="1617" t="s">
        <v>264</v>
      </c>
      <c r="J510" s="1617" t="s">
        <v>256</v>
      </c>
      <c r="L510" s="1757"/>
    </row>
    <row r="511" spans="1:12" x14ac:dyDescent="0.25">
      <c r="A511" s="2086" t="s">
        <v>1881</v>
      </c>
      <c r="B511" s="2087"/>
      <c r="C511" s="2087"/>
      <c r="D511" s="2087"/>
      <c r="E511" s="2087"/>
      <c r="F511" s="2087"/>
      <c r="G511" s="2087"/>
      <c r="H511" s="2087"/>
      <c r="I511" s="2088"/>
      <c r="J511" s="1617"/>
      <c r="L511" s="1757"/>
    </row>
    <row r="512" spans="1:12" x14ac:dyDescent="0.25">
      <c r="A512" s="1141">
        <v>1</v>
      </c>
      <c r="B512" s="2071" t="s">
        <v>1882</v>
      </c>
      <c r="C512" s="2030"/>
      <c r="D512" s="2030"/>
      <c r="E512" s="2030"/>
      <c r="F512" s="2031"/>
      <c r="G512" s="1617" t="s">
        <v>1862</v>
      </c>
      <c r="H512" s="1230">
        <v>25</v>
      </c>
      <c r="I512" s="1617">
        <v>373.13</v>
      </c>
      <c r="J512" s="1617">
        <f>H512*I512</f>
        <v>9328.25</v>
      </c>
      <c r="K512" s="344"/>
      <c r="L512" s="1757"/>
    </row>
    <row r="513" spans="1:12" x14ac:dyDescent="0.25">
      <c r="A513" s="1141">
        <v>2</v>
      </c>
      <c r="B513" s="2071" t="s">
        <v>1883</v>
      </c>
      <c r="C513" s="2030"/>
      <c r="D513" s="2030"/>
      <c r="E513" s="2030"/>
      <c r="F513" s="2031"/>
      <c r="G513" s="1617" t="s">
        <v>1862</v>
      </c>
      <c r="H513" s="1230">
        <v>64</v>
      </c>
      <c r="I513" s="1617">
        <v>531.33000000000004</v>
      </c>
      <c r="J513" s="1617">
        <f t="shared" ref="J513:J514" si="7">H513*I513</f>
        <v>34005.120000000003</v>
      </c>
      <c r="K513" s="344"/>
      <c r="L513" s="1757"/>
    </row>
    <row r="514" spans="1:12" x14ac:dyDescent="0.25">
      <c r="A514" s="1141">
        <v>3</v>
      </c>
      <c r="B514" s="1986" t="s">
        <v>1884</v>
      </c>
      <c r="C514" s="1986"/>
      <c r="D514" s="1986"/>
      <c r="E514" s="1986"/>
      <c r="F514" s="1986"/>
      <c r="G514" s="1617" t="s">
        <v>1862</v>
      </c>
      <c r="H514" s="1230">
        <v>110</v>
      </c>
      <c r="I514" s="1617">
        <v>597</v>
      </c>
      <c r="J514" s="1617">
        <f t="shared" si="7"/>
        <v>65670</v>
      </c>
      <c r="K514" s="344"/>
      <c r="L514" s="1757"/>
    </row>
    <row r="515" spans="1:12" x14ac:dyDescent="0.25">
      <c r="A515" s="2039" t="s">
        <v>39</v>
      </c>
      <c r="B515" s="2040"/>
      <c r="C515" s="2040"/>
      <c r="D515" s="2040"/>
      <c r="E515" s="2040"/>
      <c r="F515" s="2040"/>
      <c r="G515" s="2040"/>
      <c r="H515" s="2040"/>
      <c r="I515" s="2041"/>
      <c r="J515" s="1192">
        <f>SUM(J512:J514)</f>
        <v>109003.37</v>
      </c>
      <c r="K515" s="1379">
        <v>4552.13</v>
      </c>
      <c r="L515" s="1756">
        <f>J515-K515</f>
        <v>104451.24</v>
      </c>
    </row>
    <row r="516" spans="1:12" ht="10.5" customHeight="1" x14ac:dyDescent="0.25">
      <c r="A516" s="63"/>
      <c r="B516" s="63"/>
      <c r="C516" s="63"/>
      <c r="D516" s="63"/>
      <c r="E516" s="63"/>
      <c r="F516" s="63"/>
      <c r="G516" s="63"/>
      <c r="H516" s="63"/>
      <c r="I516" s="63"/>
      <c r="J516" s="64"/>
      <c r="K516" s="61"/>
      <c r="L516" s="1757"/>
    </row>
    <row r="517" spans="1:12" x14ac:dyDescent="0.25">
      <c r="A517" s="1644" t="s">
        <v>823</v>
      </c>
      <c r="K517" s="61"/>
      <c r="L517" s="1757"/>
    </row>
    <row r="518" spans="1:12" x14ac:dyDescent="0.25">
      <c r="A518" s="1926" t="s">
        <v>8</v>
      </c>
      <c r="B518" s="1926" t="s">
        <v>35</v>
      </c>
      <c r="C518" s="1926"/>
      <c r="D518" s="1926"/>
      <c r="E518" s="1926"/>
      <c r="F518" s="1926"/>
      <c r="G518" s="1926" t="s">
        <v>61</v>
      </c>
      <c r="H518" s="1926" t="s">
        <v>1827</v>
      </c>
      <c r="I518" s="1926"/>
      <c r="J518" s="1926"/>
      <c r="K518" s="61" t="s">
        <v>1478</v>
      </c>
      <c r="L518" s="1757"/>
    </row>
    <row r="519" spans="1:12" ht="30" x14ac:dyDescent="0.25">
      <c r="A519" s="1926"/>
      <c r="B519" s="1926"/>
      <c r="C519" s="1926"/>
      <c r="D519" s="1926"/>
      <c r="E519" s="1926"/>
      <c r="F519" s="1926"/>
      <c r="G519" s="1926"/>
      <c r="H519" s="1598" t="s">
        <v>248</v>
      </c>
      <c r="I519" s="1617" t="s">
        <v>264</v>
      </c>
      <c r="J519" s="1617" t="s">
        <v>256</v>
      </c>
      <c r="L519" s="1757"/>
    </row>
    <row r="520" spans="1:12" x14ac:dyDescent="0.25">
      <c r="A520" s="2086" t="s">
        <v>1885</v>
      </c>
      <c r="B520" s="2087"/>
      <c r="C520" s="2087"/>
      <c r="D520" s="2087"/>
      <c r="E520" s="2087"/>
      <c r="F520" s="2087"/>
      <c r="G520" s="2087"/>
      <c r="H520" s="2087"/>
      <c r="I520" s="2088"/>
      <c r="J520" s="1617"/>
      <c r="L520" s="1757"/>
    </row>
    <row r="521" spans="1:12" x14ac:dyDescent="0.25">
      <c r="A521" s="1141">
        <v>1</v>
      </c>
      <c r="B521" s="1986" t="s">
        <v>1892</v>
      </c>
      <c r="C521" s="1986"/>
      <c r="D521" s="1986"/>
      <c r="E521" s="1986"/>
      <c r="F521" s="1986"/>
      <c r="G521" s="1617" t="s">
        <v>1862</v>
      </c>
      <c r="H521" s="1230">
        <v>10</v>
      </c>
      <c r="I521" s="1617">
        <v>1000</v>
      </c>
      <c r="J521" s="1617">
        <f>H521*I521</f>
        <v>10000</v>
      </c>
      <c r="K521" s="344"/>
      <c r="L521" s="1757"/>
    </row>
    <row r="522" spans="1:12" x14ac:dyDescent="0.25">
      <c r="A522" s="1141">
        <v>3</v>
      </c>
      <c r="B522" s="1986" t="s">
        <v>1893</v>
      </c>
      <c r="C522" s="1986"/>
      <c r="D522" s="1986"/>
      <c r="E522" s="1986"/>
      <c r="F522" s="1986"/>
      <c r="G522" s="1617" t="s">
        <v>1862</v>
      </c>
      <c r="H522" s="1230">
        <v>50</v>
      </c>
      <c r="I522" s="1617">
        <v>1200</v>
      </c>
      <c r="J522" s="1617">
        <f>H522*I522</f>
        <v>60000</v>
      </c>
      <c r="K522" s="344"/>
      <c r="L522" s="1757"/>
    </row>
    <row r="523" spans="1:12" x14ac:dyDescent="0.25">
      <c r="A523" s="1141">
        <v>5</v>
      </c>
      <c r="B523" s="1986" t="s">
        <v>1246</v>
      </c>
      <c r="C523" s="1986"/>
      <c r="D523" s="1986"/>
      <c r="E523" s="1986"/>
      <c r="F523" s="1986"/>
      <c r="G523" s="1617" t="s">
        <v>1862</v>
      </c>
      <c r="H523" s="1230">
        <v>60</v>
      </c>
      <c r="I523" s="1617">
        <v>340</v>
      </c>
      <c r="J523" s="1617">
        <f t="shared" ref="J523" si="8">H523*I523</f>
        <v>20400</v>
      </c>
      <c r="K523" s="344"/>
      <c r="L523" s="1757"/>
    </row>
    <row r="524" spans="1:12" x14ac:dyDescent="0.25">
      <c r="A524" s="2039" t="s">
        <v>39</v>
      </c>
      <c r="B524" s="2040"/>
      <c r="C524" s="2040"/>
      <c r="D524" s="2040"/>
      <c r="E524" s="2040"/>
      <c r="F524" s="2040"/>
      <c r="G524" s="2040"/>
      <c r="H524" s="2040"/>
      <c r="I524" s="2041"/>
      <c r="J524" s="1192">
        <f>SUM(J521:J523)</f>
        <v>90400</v>
      </c>
      <c r="K524" s="1379">
        <v>0</v>
      </c>
      <c r="L524" s="1756">
        <f>J524-K524</f>
        <v>90400</v>
      </c>
    </row>
    <row r="525" spans="1:12" x14ac:dyDescent="0.25">
      <c r="A525" s="63"/>
      <c r="B525" s="63"/>
      <c r="C525" s="63"/>
      <c r="D525" s="63"/>
      <c r="E525" s="63"/>
      <c r="F525" s="63"/>
      <c r="G525" s="63"/>
      <c r="H525" s="63"/>
      <c r="I525" s="63"/>
      <c r="J525" s="64"/>
      <c r="K525" s="61"/>
      <c r="L525" s="1757"/>
    </row>
    <row r="526" spans="1:12" x14ac:dyDescent="0.25">
      <c r="A526" s="1644" t="s">
        <v>823</v>
      </c>
      <c r="K526" s="61"/>
      <c r="L526" s="1757"/>
    </row>
    <row r="527" spans="1:12" x14ac:dyDescent="0.25">
      <c r="A527" s="1926" t="s">
        <v>8</v>
      </c>
      <c r="B527" s="1926" t="s">
        <v>35</v>
      </c>
      <c r="C527" s="1926"/>
      <c r="D527" s="1926"/>
      <c r="E527" s="1926"/>
      <c r="F527" s="1926"/>
      <c r="G527" s="1926" t="s">
        <v>61</v>
      </c>
      <c r="H527" s="1926" t="s">
        <v>1827</v>
      </c>
      <c r="I527" s="1926"/>
      <c r="J527" s="1926"/>
      <c r="K527" s="61"/>
      <c r="L527" s="1757"/>
    </row>
    <row r="528" spans="1:12" ht="30" x14ac:dyDescent="0.25">
      <c r="A528" s="1926"/>
      <c r="B528" s="1926"/>
      <c r="C528" s="1926"/>
      <c r="D528" s="1926"/>
      <c r="E528" s="1926"/>
      <c r="F528" s="1926"/>
      <c r="G528" s="1926"/>
      <c r="H528" s="1598" t="s">
        <v>248</v>
      </c>
      <c r="I528" s="1617" t="s">
        <v>264</v>
      </c>
      <c r="J528" s="1617" t="s">
        <v>256</v>
      </c>
      <c r="L528" s="1757"/>
    </row>
    <row r="529" spans="1:12" ht="29.25" customHeight="1" x14ac:dyDescent="0.25">
      <c r="A529" s="1381">
        <v>1</v>
      </c>
      <c r="B529" s="2071" t="s">
        <v>1886</v>
      </c>
      <c r="C529" s="2030"/>
      <c r="D529" s="2030"/>
      <c r="E529" s="2030"/>
      <c r="F529" s="2031"/>
      <c r="G529" s="1617" t="s">
        <v>273</v>
      </c>
      <c r="H529" s="1230">
        <v>106</v>
      </c>
      <c r="I529" s="1617">
        <v>700</v>
      </c>
      <c r="J529" s="1617">
        <f>H529*I529</f>
        <v>74200</v>
      </c>
      <c r="K529" s="70"/>
      <c r="L529" s="1757"/>
    </row>
    <row r="530" spans="1:12" x14ac:dyDescent="0.25">
      <c r="A530" s="2039" t="s">
        <v>39</v>
      </c>
      <c r="B530" s="2040"/>
      <c r="C530" s="2040"/>
      <c r="D530" s="2040"/>
      <c r="E530" s="2040"/>
      <c r="F530" s="2040"/>
      <c r="G530" s="2040"/>
      <c r="H530" s="2040"/>
      <c r="I530" s="2041"/>
      <c r="J530" s="1192">
        <f>SUM(J529:J529)</f>
        <v>74200</v>
      </c>
      <c r="K530" s="344">
        <v>0</v>
      </c>
      <c r="L530" s="1756">
        <f>J530-K530</f>
        <v>74200</v>
      </c>
    </row>
    <row r="531" spans="1:12" x14ac:dyDescent="0.25">
      <c r="A531" s="63"/>
      <c r="B531" s="63"/>
      <c r="C531" s="63"/>
      <c r="D531" s="63"/>
      <c r="E531" s="63"/>
      <c r="F531" s="63"/>
      <c r="G531" s="63"/>
      <c r="H531" s="63"/>
      <c r="I531" s="63"/>
      <c r="J531" s="64"/>
      <c r="K531" s="61"/>
      <c r="L531" s="1757"/>
    </row>
    <row r="532" spans="1:12" x14ac:dyDescent="0.25">
      <c r="A532" s="1644" t="s">
        <v>823</v>
      </c>
      <c r="K532" s="61"/>
      <c r="L532" s="1757"/>
    </row>
    <row r="533" spans="1:12" x14ac:dyDescent="0.25">
      <c r="A533" s="2019" t="s">
        <v>8</v>
      </c>
      <c r="B533" s="1926" t="s">
        <v>35</v>
      </c>
      <c r="C533" s="2046"/>
      <c r="D533" s="2046"/>
      <c r="E533" s="2046"/>
      <c r="F533" s="1926" t="s">
        <v>61</v>
      </c>
      <c r="G533" s="1926" t="s">
        <v>1827</v>
      </c>
      <c r="H533" s="1927"/>
      <c r="I533" s="1927"/>
      <c r="J533" s="1927"/>
      <c r="K533" s="61" t="s">
        <v>1478</v>
      </c>
      <c r="L533" s="1757"/>
    </row>
    <row r="534" spans="1:12" ht="45" x14ac:dyDescent="0.25">
      <c r="A534" s="1962"/>
      <c r="B534" s="2046"/>
      <c r="C534" s="2046"/>
      <c r="D534" s="2046"/>
      <c r="E534" s="2046"/>
      <c r="F534" s="1926"/>
      <c r="G534" s="1598" t="s">
        <v>248</v>
      </c>
      <c r="H534" s="1598" t="s">
        <v>255</v>
      </c>
      <c r="I534" s="1617" t="s">
        <v>264</v>
      </c>
      <c r="J534" s="1617" t="s">
        <v>256</v>
      </c>
      <c r="K534" s="61"/>
      <c r="L534" s="1757"/>
    </row>
    <row r="535" spans="1:12" ht="30.75" customHeight="1" x14ac:dyDescent="0.25">
      <c r="A535" s="1141">
        <v>1</v>
      </c>
      <c r="B535" s="2003" t="s">
        <v>1267</v>
      </c>
      <c r="C535" s="2047"/>
      <c r="D535" s="2047"/>
      <c r="E535" s="2048"/>
      <c r="F535" s="1617" t="s">
        <v>1887</v>
      </c>
      <c r="G535" s="1230">
        <v>3</v>
      </c>
      <c r="H535" s="1230">
        <v>50</v>
      </c>
      <c r="I535" s="1617">
        <v>800</v>
      </c>
      <c r="J535" s="1617">
        <f>G535*H535*I535</f>
        <v>120000</v>
      </c>
      <c r="K535" s="344"/>
      <c r="L535" s="1757"/>
    </row>
    <row r="536" spans="1:12" x14ac:dyDescent="0.25">
      <c r="A536" s="2039" t="s">
        <v>39</v>
      </c>
      <c r="B536" s="2040"/>
      <c r="C536" s="2040"/>
      <c r="D536" s="2040"/>
      <c r="E536" s="2040"/>
      <c r="F536" s="2040"/>
      <c r="G536" s="2040"/>
      <c r="H536" s="2040"/>
      <c r="I536" s="2041"/>
      <c r="J536" s="1192">
        <f>SUM(J535)</f>
        <v>120000</v>
      </c>
      <c r="K536" s="344">
        <v>0</v>
      </c>
      <c r="L536" s="1756">
        <f>J536-K536</f>
        <v>120000</v>
      </c>
    </row>
    <row r="537" spans="1:12" x14ac:dyDescent="0.25">
      <c r="A537" s="63"/>
      <c r="B537" s="63"/>
      <c r="C537" s="63"/>
      <c r="D537" s="63"/>
      <c r="E537" s="63"/>
      <c r="F537" s="63"/>
      <c r="G537" s="63"/>
      <c r="H537" s="63"/>
      <c r="I537" s="63"/>
      <c r="J537" s="64"/>
      <c r="K537" s="61"/>
      <c r="L537" s="1757"/>
    </row>
    <row r="538" spans="1:12" x14ac:dyDescent="0.25">
      <c r="A538" s="1644" t="s">
        <v>1270</v>
      </c>
      <c r="K538" s="61"/>
      <c r="L538" s="1757"/>
    </row>
    <row r="539" spans="1:12" x14ac:dyDescent="0.25">
      <c r="A539" s="1926" t="s">
        <v>8</v>
      </c>
      <c r="B539" s="1926" t="s">
        <v>35</v>
      </c>
      <c r="C539" s="1926"/>
      <c r="D539" s="1926"/>
      <c r="E539" s="1926"/>
      <c r="F539" s="1926"/>
      <c r="G539" s="1926" t="s">
        <v>1827</v>
      </c>
      <c r="H539" s="1927"/>
      <c r="I539" s="1927"/>
      <c r="J539" s="1927"/>
      <c r="K539" s="61"/>
      <c r="L539" s="1757"/>
    </row>
    <row r="540" spans="1:12" ht="30" x14ac:dyDescent="0.25">
      <c r="A540" s="1926"/>
      <c r="B540" s="1926"/>
      <c r="C540" s="1926"/>
      <c r="D540" s="1926"/>
      <c r="E540" s="1926"/>
      <c r="F540" s="1926"/>
      <c r="G540" s="1598" t="s">
        <v>61</v>
      </c>
      <c r="H540" s="1598" t="s">
        <v>248</v>
      </c>
      <c r="I540" s="1617" t="s">
        <v>264</v>
      </c>
      <c r="J540" s="1617" t="s">
        <v>256</v>
      </c>
      <c r="K540" s="1648"/>
      <c r="L540" s="1757"/>
    </row>
    <row r="541" spans="1:12" x14ac:dyDescent="0.25">
      <c r="A541" s="1141">
        <v>1</v>
      </c>
      <c r="B541" s="1986" t="s">
        <v>1888</v>
      </c>
      <c r="C541" s="1986"/>
      <c r="D541" s="1986"/>
      <c r="E541" s="1986"/>
      <c r="F541" s="1986"/>
      <c r="G541" s="1617" t="s">
        <v>273</v>
      </c>
      <c r="H541" s="1230">
        <v>1</v>
      </c>
      <c r="I541" s="1617">
        <v>1600</v>
      </c>
      <c r="J541" s="1617">
        <f t="shared" ref="J541:J544" si="9">H541*I541</f>
        <v>1600</v>
      </c>
      <c r="K541" s="70"/>
      <c r="L541" s="1757"/>
    </row>
    <row r="542" spans="1:12" x14ac:dyDescent="0.25">
      <c r="A542" s="1141">
        <v>2</v>
      </c>
      <c r="B542" s="1986" t="s">
        <v>1889</v>
      </c>
      <c r="C542" s="1986"/>
      <c r="D542" s="1986"/>
      <c r="E542" s="1986"/>
      <c r="F542" s="1986"/>
      <c r="G542" s="1617" t="s">
        <v>273</v>
      </c>
      <c r="H542" s="1230">
        <v>1</v>
      </c>
      <c r="I542" s="1617">
        <v>2400</v>
      </c>
      <c r="J542" s="1617">
        <f t="shared" si="9"/>
        <v>2400</v>
      </c>
      <c r="K542" s="70"/>
      <c r="L542" s="1757"/>
    </row>
    <row r="543" spans="1:12" x14ac:dyDescent="0.25">
      <c r="A543" s="1141">
        <v>3</v>
      </c>
      <c r="B543" s="1986" t="s">
        <v>1890</v>
      </c>
      <c r="C543" s="1986"/>
      <c r="D543" s="1986"/>
      <c r="E543" s="1986"/>
      <c r="F543" s="1986"/>
      <c r="G543" s="1617" t="s">
        <v>273</v>
      </c>
      <c r="H543" s="1230">
        <v>1</v>
      </c>
      <c r="I543" s="1617">
        <v>3000</v>
      </c>
      <c r="J543" s="1617">
        <f t="shared" si="9"/>
        <v>3000</v>
      </c>
      <c r="K543" s="61"/>
      <c r="L543" s="1757"/>
    </row>
    <row r="544" spans="1:12" x14ac:dyDescent="0.25">
      <c r="A544" s="1141">
        <v>4</v>
      </c>
      <c r="B544" s="1986" t="s">
        <v>1891</v>
      </c>
      <c r="C544" s="1986"/>
      <c r="D544" s="1986"/>
      <c r="E544" s="1986"/>
      <c r="F544" s="1986"/>
      <c r="G544" s="1617" t="s">
        <v>273</v>
      </c>
      <c r="H544" s="1230">
        <v>31</v>
      </c>
      <c r="I544" s="1617">
        <v>890</v>
      </c>
      <c r="J544" s="1617">
        <f t="shared" si="9"/>
        <v>27590</v>
      </c>
      <c r="K544" s="61"/>
      <c r="L544" s="1757"/>
    </row>
    <row r="545" spans="1:28" x14ac:dyDescent="0.25">
      <c r="A545" s="2039" t="s">
        <v>39</v>
      </c>
      <c r="B545" s="2040"/>
      <c r="C545" s="2040"/>
      <c r="D545" s="2040"/>
      <c r="E545" s="2040"/>
      <c r="F545" s="2040"/>
      <c r="G545" s="2040"/>
      <c r="H545" s="2040"/>
      <c r="I545" s="2041"/>
      <c r="J545" s="1192">
        <f>SUM(J541:J544)</f>
        <v>34590</v>
      </c>
      <c r="K545" s="344">
        <v>0</v>
      </c>
      <c r="L545" s="83">
        <f>J545-K545</f>
        <v>34590</v>
      </c>
    </row>
    <row r="546" spans="1:28" x14ac:dyDescent="0.25">
      <c r="A546" s="1635"/>
      <c r="B546" s="1635"/>
      <c r="C546" s="1635"/>
      <c r="D546" s="1635"/>
      <c r="E546" s="1635"/>
      <c r="F546" s="1635"/>
      <c r="G546" s="1635"/>
      <c r="H546" s="1635"/>
      <c r="I546" s="1635"/>
      <c r="J546" s="98"/>
    </row>
    <row r="547" spans="1:28" x14ac:dyDescent="0.25">
      <c r="A547" s="1645" t="s">
        <v>27</v>
      </c>
      <c r="E547" s="71" t="s">
        <v>1896</v>
      </c>
      <c r="G547" s="60"/>
      <c r="H547" s="90"/>
      <c r="I547" s="60"/>
      <c r="J547" s="85">
        <f>J591</f>
        <v>73195</v>
      </c>
      <c r="K547" s="1648"/>
      <c r="M547" s="1661"/>
      <c r="N547" s="1648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</row>
    <row r="548" spans="1:28" x14ac:dyDescent="0.25">
      <c r="A548" s="1644" t="s">
        <v>321</v>
      </c>
      <c r="E548" s="72"/>
      <c r="G548" s="60"/>
      <c r="H548" s="90"/>
      <c r="I548" s="60"/>
      <c r="J548" s="60"/>
      <c r="K548" s="1648"/>
      <c r="M548" s="1661"/>
      <c r="N548" s="1648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</row>
    <row r="549" spans="1:28" x14ac:dyDescent="0.25">
      <c r="A549" s="1898" t="s">
        <v>8</v>
      </c>
      <c r="B549" s="1898" t="s">
        <v>35</v>
      </c>
      <c r="C549" s="1898"/>
      <c r="D549" s="1898"/>
      <c r="E549" s="1898"/>
      <c r="F549" s="1898"/>
      <c r="G549" s="1898" t="s">
        <v>61</v>
      </c>
      <c r="H549" s="1899" t="s">
        <v>1827</v>
      </c>
      <c r="I549" s="1998"/>
      <c r="J549" s="1999"/>
      <c r="K549" s="1648"/>
      <c r="M549" s="1661"/>
      <c r="N549" s="1648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</row>
    <row r="550" spans="1:28" ht="30" customHeight="1" x14ac:dyDescent="0.25">
      <c r="A550" s="1898"/>
      <c r="B550" s="1898"/>
      <c r="C550" s="1898"/>
      <c r="D550" s="1898"/>
      <c r="E550" s="1898"/>
      <c r="F550" s="1898"/>
      <c r="G550" s="1898"/>
      <c r="H550" s="96" t="s">
        <v>1173</v>
      </c>
      <c r="I550" s="1581" t="s">
        <v>264</v>
      </c>
      <c r="J550" s="1581" t="s">
        <v>256</v>
      </c>
      <c r="K550" s="1648"/>
      <c r="L550" s="1648"/>
      <c r="M550" s="1648"/>
      <c r="N550" s="1648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</row>
    <row r="551" spans="1:28" x14ac:dyDescent="0.25">
      <c r="A551" s="1630">
        <v>1</v>
      </c>
      <c r="B551" s="1909" t="s">
        <v>1613</v>
      </c>
      <c r="C551" s="1909"/>
      <c r="D551" s="1909"/>
      <c r="E551" s="1909"/>
      <c r="F551" s="1909"/>
      <c r="G551" s="1588" t="s">
        <v>108</v>
      </c>
      <c r="H551" s="96">
        <f>72</f>
        <v>72</v>
      </c>
      <c r="I551" s="1588">
        <v>391</v>
      </c>
      <c r="J551" s="59">
        <f>H551*I551</f>
        <v>28152</v>
      </c>
      <c r="K551" s="1648"/>
      <c r="L551" s="1725"/>
      <c r="M551" s="81"/>
      <c r="N551" s="1648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</row>
    <row r="552" spans="1:28" x14ac:dyDescent="0.25">
      <c r="A552" s="1630">
        <v>2</v>
      </c>
      <c r="B552" s="1909" t="s">
        <v>1614</v>
      </c>
      <c r="C552" s="1909"/>
      <c r="D552" s="1909"/>
      <c r="E552" s="1909"/>
      <c r="F552" s="1909"/>
      <c r="G552" s="1588" t="s">
        <v>108</v>
      </c>
      <c r="H552" s="96">
        <v>72</v>
      </c>
      <c r="I552" s="1588">
        <v>391</v>
      </c>
      <c r="J552" s="59">
        <f>H552*I552</f>
        <v>28152</v>
      </c>
      <c r="K552" s="1648"/>
      <c r="L552" s="1648"/>
      <c r="M552" s="1648"/>
      <c r="N552" s="1648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</row>
    <row r="553" spans="1:28" x14ac:dyDescent="0.25">
      <c r="A553" s="1630">
        <v>3</v>
      </c>
      <c r="B553" s="1921" t="s">
        <v>1678</v>
      </c>
      <c r="C553" s="2006"/>
      <c r="D553" s="2006"/>
      <c r="E553" s="2006"/>
      <c r="F553" s="2006"/>
      <c r="G553" s="2006"/>
      <c r="H553" s="2006"/>
      <c r="I553" s="2085"/>
      <c r="J553" s="59">
        <f>(J551+J552)*30%</f>
        <v>16891</v>
      </c>
      <c r="L553" s="1648"/>
      <c r="M553" s="1648"/>
      <c r="N553" s="1648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</row>
    <row r="554" spans="1:28" x14ac:dyDescent="0.25">
      <c r="A554" s="1895" t="s">
        <v>39</v>
      </c>
      <c r="B554" s="1895"/>
      <c r="C554" s="1895"/>
      <c r="D554" s="1895"/>
      <c r="E554" s="1895"/>
      <c r="F554" s="1895"/>
      <c r="G554" s="1895"/>
      <c r="H554" s="100" t="s">
        <v>5</v>
      </c>
      <c r="I554" s="1589" t="s">
        <v>5</v>
      </c>
      <c r="J554" s="1589">
        <f>SUM(J551:J553)</f>
        <v>73195</v>
      </c>
      <c r="L554" s="81"/>
      <c r="M554" s="1648"/>
      <c r="N554" s="1648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</row>
    <row r="555" spans="1:28" x14ac:dyDescent="0.25">
      <c r="M555" s="1661"/>
    </row>
    <row r="556" spans="1:28" x14ac:dyDescent="0.25">
      <c r="A556" s="1645" t="s">
        <v>27</v>
      </c>
      <c r="B556" s="72"/>
      <c r="C556" s="72"/>
      <c r="D556" s="72"/>
      <c r="E556" s="71" t="s">
        <v>1897</v>
      </c>
      <c r="F556" s="72"/>
      <c r="G556" s="72"/>
      <c r="H556" s="74"/>
      <c r="I556" s="78"/>
      <c r="J556" s="92">
        <f>J563</f>
        <v>933400</v>
      </c>
      <c r="M556" s="1661"/>
    </row>
    <row r="557" spans="1:28" x14ac:dyDescent="0.25">
      <c r="A557" s="1644" t="s">
        <v>318</v>
      </c>
      <c r="M557" s="1661"/>
    </row>
    <row r="558" spans="1:28" x14ac:dyDescent="0.25">
      <c r="A558" s="1898" t="s">
        <v>8</v>
      </c>
      <c r="B558" s="2080" t="s">
        <v>35</v>
      </c>
      <c r="C558" s="1959"/>
      <c r="D558" s="2081"/>
      <c r="E558" s="1899" t="s">
        <v>1827</v>
      </c>
      <c r="F558" s="1911"/>
      <c r="G558" s="1911"/>
      <c r="H558" s="1911"/>
      <c r="I558" s="1911"/>
      <c r="J558" s="1912"/>
      <c r="M558" s="1661"/>
    </row>
    <row r="559" spans="1:28" ht="30" x14ac:dyDescent="0.25">
      <c r="A559" s="1898"/>
      <c r="B559" s="2009"/>
      <c r="C559" s="1961"/>
      <c r="D559" s="1962"/>
      <c r="E559" s="1639" t="s">
        <v>61</v>
      </c>
      <c r="F559" s="1639" t="s">
        <v>1170</v>
      </c>
      <c r="G559" s="1639" t="s">
        <v>1171</v>
      </c>
      <c r="H559" s="1639" t="s">
        <v>931</v>
      </c>
      <c r="I559" s="1639" t="s">
        <v>1172</v>
      </c>
      <c r="J559" s="1639" t="s">
        <v>297</v>
      </c>
      <c r="M559" s="1661"/>
    </row>
    <row r="560" spans="1:28" ht="46.5" customHeight="1" x14ac:dyDescent="0.25">
      <c r="A560" s="1630">
        <v>1</v>
      </c>
      <c r="B560" s="1921" t="s">
        <v>1717</v>
      </c>
      <c r="C560" s="2078"/>
      <c r="D560" s="2079"/>
      <c r="E560" s="1639" t="s">
        <v>299</v>
      </c>
      <c r="F560" s="59">
        <v>21</v>
      </c>
      <c r="G560" s="59">
        <f>125+125</f>
        <v>250</v>
      </c>
      <c r="H560" s="1588">
        <v>359</v>
      </c>
      <c r="I560" s="541">
        <v>40</v>
      </c>
      <c r="J560" s="1588">
        <f>F560*G560*H560*I560%</f>
        <v>753900</v>
      </c>
      <c r="M560" s="1661"/>
    </row>
    <row r="561" spans="1:23" ht="44.25" customHeight="1" x14ac:dyDescent="0.25">
      <c r="A561" s="1630">
        <v>2</v>
      </c>
      <c r="B561" s="1921" t="s">
        <v>1489</v>
      </c>
      <c r="C561" s="2078"/>
      <c r="D561" s="2079"/>
      <c r="E561" s="1639" t="s">
        <v>299</v>
      </c>
      <c r="F561" s="59">
        <v>5</v>
      </c>
      <c r="G561" s="59">
        <f>125+125</f>
        <v>250</v>
      </c>
      <c r="H561" s="1588">
        <v>345.62</v>
      </c>
      <c r="I561" s="541">
        <v>40</v>
      </c>
      <c r="J561" s="1588">
        <f>F561*G561*H561*I561%</f>
        <v>172810</v>
      </c>
      <c r="M561" s="1661"/>
    </row>
    <row r="562" spans="1:23" ht="30.75" customHeight="1" x14ac:dyDescent="0.25">
      <c r="A562" s="1141">
        <v>3</v>
      </c>
      <c r="B562" s="2003" t="s">
        <v>2165</v>
      </c>
      <c r="C562" s="2047"/>
      <c r="D562" s="2047"/>
      <c r="E562" s="2007"/>
      <c r="F562" s="2007"/>
      <c r="G562" s="2007"/>
      <c r="H562" s="2007"/>
      <c r="I562" s="2008"/>
      <c r="J562" s="1617">
        <v>6690</v>
      </c>
      <c r="M562" s="1661"/>
    </row>
    <row r="563" spans="1:23" x14ac:dyDescent="0.25">
      <c r="A563" s="1895" t="s">
        <v>39</v>
      </c>
      <c r="B563" s="1895"/>
      <c r="C563" s="1895"/>
      <c r="D563" s="1895"/>
      <c r="E563" s="1895"/>
      <c r="F563" s="1895"/>
      <c r="G563" s="1895"/>
      <c r="H563" s="1589" t="s">
        <v>5</v>
      </c>
      <c r="I563" s="1589" t="s">
        <v>5</v>
      </c>
      <c r="J563" s="1589">
        <f>SUM(J560:J562)</f>
        <v>933400</v>
      </c>
      <c r="M563" s="1661"/>
    </row>
    <row r="564" spans="1:23" x14ac:dyDescent="0.25">
      <c r="M564" s="1661"/>
    </row>
    <row r="565" spans="1:23" x14ac:dyDescent="0.25">
      <c r="A565" s="1645" t="s">
        <v>26</v>
      </c>
      <c r="B565" s="72"/>
      <c r="C565" s="72"/>
      <c r="D565" s="72"/>
      <c r="E565" s="71" t="s">
        <v>731</v>
      </c>
      <c r="J565" s="85">
        <f>J573</f>
        <v>1400100</v>
      </c>
      <c r="M565" s="1661"/>
    </row>
    <row r="566" spans="1:23" x14ac:dyDescent="0.25">
      <c r="A566" s="1645" t="s">
        <v>27</v>
      </c>
      <c r="B566" s="72"/>
      <c r="C566" s="72"/>
      <c r="D566" s="72"/>
      <c r="E566" s="71" t="s">
        <v>1898</v>
      </c>
      <c r="J566" s="85">
        <f>J573</f>
        <v>1400100</v>
      </c>
      <c r="M566" s="1661"/>
    </row>
    <row r="567" spans="1:23" x14ac:dyDescent="0.25">
      <c r="A567" s="1644" t="s">
        <v>318</v>
      </c>
      <c r="M567" s="1661"/>
    </row>
    <row r="568" spans="1:23" ht="15" customHeight="1" x14ac:dyDescent="0.25">
      <c r="A568" s="1898" t="s">
        <v>8</v>
      </c>
      <c r="B568" s="2080" t="s">
        <v>35</v>
      </c>
      <c r="C568" s="1959"/>
      <c r="D568" s="2081"/>
      <c r="E568" s="1899" t="s">
        <v>1827</v>
      </c>
      <c r="F568" s="1911"/>
      <c r="G568" s="1911"/>
      <c r="H568" s="1911"/>
      <c r="I568" s="1911"/>
      <c r="J568" s="1912"/>
      <c r="M568" s="1661"/>
      <c r="N568" s="1602"/>
      <c r="O568" s="2017"/>
      <c r="P568" s="2017"/>
      <c r="Q568" s="2075"/>
      <c r="R568" s="1602"/>
      <c r="S568" s="1602"/>
      <c r="T568" s="1602"/>
      <c r="U568" s="1602"/>
      <c r="V568" s="1602"/>
      <c r="W568" s="1602"/>
    </row>
    <row r="569" spans="1:23" ht="32.25" customHeight="1" x14ac:dyDescent="0.25">
      <c r="A569" s="1898"/>
      <c r="B569" s="2009"/>
      <c r="C569" s="1961"/>
      <c r="D569" s="1962"/>
      <c r="E569" s="1639" t="s">
        <v>61</v>
      </c>
      <c r="F569" s="1639" t="s">
        <v>1170</v>
      </c>
      <c r="G569" s="1639" t="s">
        <v>1171</v>
      </c>
      <c r="H569" s="1639" t="s">
        <v>931</v>
      </c>
      <c r="I569" s="1639" t="s">
        <v>1172</v>
      </c>
      <c r="J569" s="1639" t="s">
        <v>297</v>
      </c>
      <c r="M569" s="1661"/>
      <c r="N569" s="1602"/>
      <c r="O569" s="2016"/>
      <c r="P569" s="2016"/>
      <c r="Q569" s="2076"/>
      <c r="R569" s="1602"/>
      <c r="S569" s="1602"/>
      <c r="T569" s="1602"/>
      <c r="U569" s="97"/>
      <c r="V569" s="75"/>
      <c r="W569" s="98"/>
    </row>
    <row r="570" spans="1:23" ht="42.75" customHeight="1" x14ac:dyDescent="0.25">
      <c r="A570" s="1630">
        <v>1</v>
      </c>
      <c r="B570" s="1921" t="s">
        <v>1717</v>
      </c>
      <c r="C570" s="2078"/>
      <c r="D570" s="2079"/>
      <c r="E570" s="1639" t="s">
        <v>299</v>
      </c>
      <c r="F570" s="59">
        <v>21</v>
      </c>
      <c r="G570" s="59">
        <f>125+125</f>
        <v>250</v>
      </c>
      <c r="H570" s="1588">
        <v>359</v>
      </c>
      <c r="I570" s="541">
        <v>60</v>
      </c>
      <c r="J570" s="1588">
        <f>F570*G570*H570*I570%</f>
        <v>1130850</v>
      </c>
      <c r="K570" s="344"/>
      <c r="L570" s="81"/>
      <c r="M570" s="1661"/>
      <c r="N570" s="97"/>
      <c r="O570" s="2016"/>
      <c r="P570" s="2016"/>
      <c r="Q570" s="2076"/>
      <c r="R570" s="1602"/>
      <c r="S570" s="1602"/>
      <c r="T570" s="1602"/>
      <c r="U570" s="97"/>
      <c r="V570" s="75"/>
      <c r="W570" s="98"/>
    </row>
    <row r="571" spans="1:23" ht="42.75" customHeight="1" x14ac:dyDescent="0.25">
      <c r="A571" s="1630">
        <v>2</v>
      </c>
      <c r="B571" s="1921" t="s">
        <v>1489</v>
      </c>
      <c r="C571" s="2078"/>
      <c r="D571" s="2079"/>
      <c r="E571" s="1639" t="s">
        <v>299</v>
      </c>
      <c r="F571" s="59">
        <v>5</v>
      </c>
      <c r="G571" s="59">
        <f>125+125</f>
        <v>250</v>
      </c>
      <c r="H571" s="1588">
        <v>345.62</v>
      </c>
      <c r="I571" s="541">
        <v>60</v>
      </c>
      <c r="J571" s="1588">
        <f>F571*G571*H571*I571%</f>
        <v>259215</v>
      </c>
      <c r="K571" s="344"/>
      <c r="M571" s="1661"/>
      <c r="N571" s="2077"/>
      <c r="O571" s="2077"/>
      <c r="P571" s="2077"/>
      <c r="Q571" s="2077"/>
      <c r="R571" s="2077"/>
      <c r="S571" s="2077"/>
      <c r="T571" s="2077"/>
      <c r="U571" s="2077"/>
      <c r="V571" s="2077"/>
      <c r="W571" s="741"/>
    </row>
    <row r="572" spans="1:23" ht="27.75" customHeight="1" x14ac:dyDescent="0.25">
      <c r="A572" s="1141">
        <v>3</v>
      </c>
      <c r="B572" s="2003" t="s">
        <v>2165</v>
      </c>
      <c r="C572" s="2047"/>
      <c r="D572" s="2047"/>
      <c r="E572" s="2007"/>
      <c r="F572" s="2007"/>
      <c r="G572" s="2007"/>
      <c r="H572" s="2007"/>
      <c r="I572" s="2008"/>
      <c r="J572" s="1617">
        <v>10035</v>
      </c>
      <c r="K572" s="344"/>
      <c r="M572" s="1661"/>
      <c r="N572" s="1615"/>
      <c r="O572" s="1615"/>
      <c r="P572" s="1615"/>
      <c r="Q572" s="1615"/>
      <c r="R572" s="1615"/>
      <c r="S572" s="1615"/>
      <c r="T572" s="1615"/>
      <c r="U572" s="1615"/>
      <c r="V572" s="1615"/>
      <c r="W572" s="741"/>
    </row>
    <row r="573" spans="1:23" x14ac:dyDescent="0.25">
      <c r="A573" s="1895" t="s">
        <v>39</v>
      </c>
      <c r="B573" s="1895"/>
      <c r="C573" s="1895"/>
      <c r="D573" s="1895"/>
      <c r="E573" s="1895"/>
      <c r="F573" s="1895"/>
      <c r="G573" s="1895"/>
      <c r="H573" s="1589" t="s">
        <v>5</v>
      </c>
      <c r="I573" s="1589" t="s">
        <v>5</v>
      </c>
      <c r="J573" s="1589">
        <f>SUM(J570:J572)</f>
        <v>1400100</v>
      </c>
      <c r="M573" s="1661"/>
      <c r="N573" s="79"/>
      <c r="O573" s="79"/>
      <c r="P573" s="79"/>
      <c r="Q573" s="79"/>
      <c r="R573" s="79"/>
      <c r="S573" s="79"/>
      <c r="T573" s="79"/>
      <c r="U573" s="79"/>
      <c r="V573" s="79"/>
      <c r="W573" s="79"/>
    </row>
    <row r="574" spans="1:23" x14ac:dyDescent="0.25">
      <c r="A574" s="63"/>
      <c r="B574" s="63"/>
      <c r="C574" s="63"/>
      <c r="D574" s="63"/>
      <c r="E574" s="63"/>
      <c r="F574" s="63"/>
      <c r="G574" s="63"/>
      <c r="H574" s="64"/>
      <c r="I574" s="64"/>
      <c r="J574" s="64"/>
      <c r="M574" s="1661"/>
      <c r="N574" s="79"/>
      <c r="O574" s="79"/>
      <c r="P574" s="79"/>
      <c r="Q574" s="79"/>
      <c r="R574" s="79"/>
      <c r="S574" s="79"/>
      <c r="T574" s="79"/>
      <c r="U574" s="79"/>
      <c r="V574" s="79"/>
      <c r="W574" s="79"/>
    </row>
    <row r="575" spans="1:23" x14ac:dyDescent="0.25">
      <c r="A575" s="1645" t="s">
        <v>26</v>
      </c>
      <c r="B575" s="72"/>
      <c r="C575" s="72"/>
      <c r="D575" s="72"/>
      <c r="E575" s="71" t="s">
        <v>626</v>
      </c>
      <c r="J575" s="85">
        <f>J576</f>
        <v>2170000</v>
      </c>
      <c r="K575" s="341"/>
      <c r="L575" s="2" t="s">
        <v>1284</v>
      </c>
      <c r="M575" s="75"/>
      <c r="N575" s="79"/>
      <c r="O575" s="354"/>
    </row>
    <row r="576" spans="1:23" x14ac:dyDescent="0.25">
      <c r="A576" s="1645" t="s">
        <v>27</v>
      </c>
      <c r="B576" s="72"/>
      <c r="C576" s="72"/>
      <c r="D576" s="72"/>
      <c r="E576" s="71" t="s">
        <v>1837</v>
      </c>
      <c r="J576" s="85">
        <f>J582+J588</f>
        <v>2170000</v>
      </c>
      <c r="K576" s="341"/>
      <c r="L576" s="2" t="s">
        <v>1285</v>
      </c>
      <c r="M576" s="81"/>
      <c r="N576" s="341"/>
    </row>
    <row r="577" spans="1:28" x14ac:dyDescent="0.25">
      <c r="A577" s="1644" t="s">
        <v>318</v>
      </c>
      <c r="K577" s="341"/>
      <c r="L577" s="829" t="s">
        <v>1286</v>
      </c>
      <c r="M577" s="83"/>
      <c r="N577" s="829" t="s">
        <v>1287</v>
      </c>
    </row>
    <row r="578" spans="1:28" x14ac:dyDescent="0.25">
      <c r="A578" s="1898" t="s">
        <v>8</v>
      </c>
      <c r="B578" s="1898" t="s">
        <v>35</v>
      </c>
      <c r="C578" s="1898"/>
      <c r="D578" s="1898"/>
      <c r="E578" s="1898"/>
      <c r="F578" s="1898"/>
      <c r="G578" s="1898" t="s">
        <v>61</v>
      </c>
      <c r="H578" s="1899" t="s">
        <v>1827</v>
      </c>
      <c r="I578" s="1998"/>
      <c r="J578" s="1999"/>
      <c r="M578" s="1661"/>
    </row>
    <row r="579" spans="1:28" ht="30" customHeight="1" x14ac:dyDescent="0.25">
      <c r="A579" s="1898"/>
      <c r="B579" s="1898"/>
      <c r="C579" s="1898"/>
      <c r="D579" s="1898"/>
      <c r="E579" s="1898"/>
      <c r="F579" s="1898"/>
      <c r="G579" s="1898"/>
      <c r="H579" s="1581" t="s">
        <v>248</v>
      </c>
      <c r="I579" s="1588" t="s">
        <v>264</v>
      </c>
      <c r="J579" s="1588" t="s">
        <v>256</v>
      </c>
      <c r="M579" s="1661"/>
    </row>
    <row r="580" spans="1:28" x14ac:dyDescent="0.25">
      <c r="A580" s="1630">
        <v>1</v>
      </c>
      <c r="B580" s="1909" t="s">
        <v>1942</v>
      </c>
      <c r="C580" s="1909"/>
      <c r="D580" s="1909"/>
      <c r="E580" s="1909"/>
      <c r="F580" s="1909"/>
      <c r="G580" s="1588" t="s">
        <v>643</v>
      </c>
      <c r="H580" s="59">
        <v>1</v>
      </c>
      <c r="I580" s="65">
        <f>500000</f>
        <v>500000</v>
      </c>
      <c r="J580" s="1588">
        <f t="shared" ref="J580" si="10">H580*I580</f>
        <v>500000</v>
      </c>
      <c r="K580" s="344"/>
      <c r="L580" s="81"/>
      <c r="M580" s="1661"/>
    </row>
    <row r="581" spans="1:28" ht="15" customHeight="1" x14ac:dyDescent="0.25">
      <c r="A581" s="1079">
        <v>2</v>
      </c>
      <c r="B581" s="1986" t="s">
        <v>2265</v>
      </c>
      <c r="C581" s="1986"/>
      <c r="D581" s="1986"/>
      <c r="E581" s="1986"/>
      <c r="F581" s="1986"/>
      <c r="G581" s="1617" t="s">
        <v>108</v>
      </c>
      <c r="H581" s="1230">
        <v>11</v>
      </c>
      <c r="I581" s="1617">
        <v>10000</v>
      </c>
      <c r="J581" s="1617">
        <f>H581*I581</f>
        <v>110000</v>
      </c>
      <c r="K581" s="344"/>
      <c r="L581" s="81"/>
      <c r="M581" s="1661"/>
    </row>
    <row r="582" spans="1:28" x14ac:dyDescent="0.25">
      <c r="A582" s="1895" t="s">
        <v>39</v>
      </c>
      <c r="B582" s="1895"/>
      <c r="C582" s="1895"/>
      <c r="D582" s="1895"/>
      <c r="E582" s="1895"/>
      <c r="F582" s="1895"/>
      <c r="G582" s="1895"/>
      <c r="H582" s="1589" t="s">
        <v>5</v>
      </c>
      <c r="I582" s="1589" t="s">
        <v>5</v>
      </c>
      <c r="J582" s="1589">
        <f>SUM(J580:J581)</f>
        <v>610000</v>
      </c>
      <c r="M582" s="1661"/>
    </row>
    <row r="583" spans="1:28" x14ac:dyDescent="0.25">
      <c r="A583" s="63"/>
      <c r="B583" s="63"/>
      <c r="C583" s="63"/>
      <c r="D583" s="63"/>
      <c r="E583" s="63"/>
      <c r="F583" s="63"/>
      <c r="G583" s="63"/>
      <c r="H583" s="64"/>
      <c r="I583" s="64"/>
      <c r="J583" s="64"/>
      <c r="M583" s="1661"/>
    </row>
    <row r="584" spans="1:28" x14ac:dyDescent="0.25">
      <c r="A584" s="1644" t="s">
        <v>2228</v>
      </c>
      <c r="M584" s="1661"/>
    </row>
    <row r="585" spans="1:28" x14ac:dyDescent="0.25">
      <c r="A585" s="1898" t="s">
        <v>8</v>
      </c>
      <c r="B585" s="1898" t="s">
        <v>35</v>
      </c>
      <c r="C585" s="1898"/>
      <c r="D585" s="1898"/>
      <c r="E585" s="1898"/>
      <c r="F585" s="1898"/>
      <c r="G585" s="1898" t="s">
        <v>61</v>
      </c>
      <c r="H585" s="1899" t="s">
        <v>1827</v>
      </c>
      <c r="I585" s="1998"/>
      <c r="J585" s="1999"/>
      <c r="M585" s="1661"/>
    </row>
    <row r="586" spans="1:28" ht="30" x14ac:dyDescent="0.25">
      <c r="A586" s="1898"/>
      <c r="B586" s="1898"/>
      <c r="C586" s="1898"/>
      <c r="D586" s="1898"/>
      <c r="E586" s="1898"/>
      <c r="F586" s="1898"/>
      <c r="G586" s="1898"/>
      <c r="H586" s="1581" t="s">
        <v>248</v>
      </c>
      <c r="I586" s="1588" t="s">
        <v>264</v>
      </c>
      <c r="J586" s="1588" t="s">
        <v>256</v>
      </c>
      <c r="M586" s="1661"/>
    </row>
    <row r="587" spans="1:28" x14ac:dyDescent="0.25">
      <c r="A587" s="1630">
        <v>1</v>
      </c>
      <c r="B587" s="1909" t="s">
        <v>2229</v>
      </c>
      <c r="C587" s="1909"/>
      <c r="D587" s="1909"/>
      <c r="E587" s="1909"/>
      <c r="F587" s="1909"/>
      <c r="G587" s="1588" t="s">
        <v>1925</v>
      </c>
      <c r="H587" s="59">
        <v>13</v>
      </c>
      <c r="I587" s="65">
        <v>120000</v>
      </c>
      <c r="J587" s="1588">
        <f t="shared" ref="J587" si="11">H587*I587</f>
        <v>1560000</v>
      </c>
      <c r="M587" s="1661"/>
    </row>
    <row r="588" spans="1:28" x14ac:dyDescent="0.25">
      <c r="A588" s="1895" t="s">
        <v>39</v>
      </c>
      <c r="B588" s="1895"/>
      <c r="C588" s="1895"/>
      <c r="D588" s="1895"/>
      <c r="E588" s="1895"/>
      <c r="F588" s="1895"/>
      <c r="G588" s="1895"/>
      <c r="H588" s="1589" t="s">
        <v>5</v>
      </c>
      <c r="I588" s="1589" t="s">
        <v>5</v>
      </c>
      <c r="J588" s="1589">
        <f>SUM(J587:J587)</f>
        <v>1560000</v>
      </c>
      <c r="M588" s="1661"/>
    </row>
    <row r="589" spans="1:28" x14ac:dyDescent="0.25">
      <c r="M589" s="1661"/>
    </row>
    <row r="590" spans="1:28" hidden="1" x14ac:dyDescent="0.25">
      <c r="A590" s="1924" t="s">
        <v>514</v>
      </c>
      <c r="B590" s="1925"/>
      <c r="C590" s="1925"/>
      <c r="D590" s="1925"/>
      <c r="E590" s="1925"/>
      <c r="F590" s="1925"/>
      <c r="G590" s="1925"/>
      <c r="H590" s="1925"/>
      <c r="I590" s="1925"/>
      <c r="J590" s="1925"/>
      <c r="K590" s="61"/>
      <c r="L590" s="61"/>
      <c r="M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</row>
    <row r="591" spans="1:28" hidden="1" x14ac:dyDescent="0.25">
      <c r="A591" s="1913" t="s">
        <v>153</v>
      </c>
      <c r="B591" s="1913"/>
      <c r="C591" s="1913"/>
      <c r="D591" s="1913"/>
      <c r="E591" s="1913"/>
      <c r="F591" s="1913"/>
      <c r="G591" s="1913"/>
      <c r="H591" s="1913"/>
      <c r="I591" s="1913"/>
      <c r="J591" s="1594">
        <v>73195</v>
      </c>
      <c r="K591" s="61"/>
      <c r="L591" s="61"/>
      <c r="M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</row>
    <row r="592" spans="1:28" hidden="1" x14ac:dyDescent="0.25">
      <c r="A592" s="1891" t="s">
        <v>619</v>
      </c>
      <c r="B592" s="1891"/>
      <c r="C592" s="1891"/>
      <c r="D592" s="1891"/>
      <c r="E592" s="1891"/>
      <c r="F592" s="1891"/>
      <c r="G592" s="1891"/>
      <c r="H592" s="1891"/>
      <c r="I592" s="1891"/>
      <c r="J592" s="1588">
        <f>J554-J591</f>
        <v>0</v>
      </c>
      <c r="K592" s="61"/>
      <c r="L592" s="61"/>
      <c r="M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</row>
    <row r="593" spans="1:28" x14ac:dyDescent="0.25">
      <c r="A593" s="1645" t="s">
        <v>63</v>
      </c>
      <c r="B593" s="72"/>
      <c r="C593" s="72"/>
      <c r="D593" s="75"/>
      <c r="E593" s="71" t="s">
        <v>79</v>
      </c>
      <c r="J593" s="85">
        <f>J594+J606</f>
        <v>14300</v>
      </c>
      <c r="L593" s="61"/>
      <c r="M593" s="8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</row>
    <row r="594" spans="1:28" hidden="1" x14ac:dyDescent="0.25">
      <c r="A594" s="1645" t="s">
        <v>26</v>
      </c>
      <c r="B594" s="72"/>
      <c r="C594" s="72"/>
      <c r="D594" s="75"/>
      <c r="E594" s="71" t="s">
        <v>624</v>
      </c>
      <c r="J594" s="85">
        <f>J603</f>
        <v>0</v>
      </c>
      <c r="L594" s="174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</row>
    <row r="595" spans="1:28" hidden="1" x14ac:dyDescent="0.25">
      <c r="A595" s="1645" t="s">
        <v>27</v>
      </c>
      <c r="B595" s="72"/>
      <c r="C595" s="72"/>
      <c r="D595" s="75"/>
      <c r="E595" s="71" t="s">
        <v>1477</v>
      </c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</row>
    <row r="596" spans="1:28" hidden="1" x14ac:dyDescent="0.25">
      <c r="A596" s="1644" t="s">
        <v>325</v>
      </c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</row>
    <row r="597" spans="1:28" hidden="1" x14ac:dyDescent="0.25">
      <c r="A597" s="1898" t="s">
        <v>8</v>
      </c>
      <c r="B597" s="1898" t="s">
        <v>35</v>
      </c>
      <c r="C597" s="1898"/>
      <c r="D597" s="1898"/>
      <c r="E597" s="1898"/>
      <c r="F597" s="1898"/>
      <c r="G597" s="1898" t="s">
        <v>61</v>
      </c>
      <c r="H597" s="1899" t="s">
        <v>1476</v>
      </c>
      <c r="I597" s="1998"/>
      <c r="J597" s="1999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</row>
    <row r="598" spans="1:28" ht="30" hidden="1" x14ac:dyDescent="0.25">
      <c r="A598" s="1898"/>
      <c r="B598" s="1898"/>
      <c r="C598" s="1898"/>
      <c r="D598" s="1898"/>
      <c r="E598" s="1898"/>
      <c r="F598" s="1898"/>
      <c r="G598" s="1898"/>
      <c r="H598" s="1581" t="s">
        <v>248</v>
      </c>
      <c r="I598" s="1588" t="s">
        <v>264</v>
      </c>
      <c r="J598" s="1588" t="s">
        <v>256</v>
      </c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</row>
    <row r="599" spans="1:28" ht="33" hidden="1" customHeight="1" x14ac:dyDescent="0.25">
      <c r="A599" s="1630">
        <v>1</v>
      </c>
      <c r="B599" s="1909" t="s">
        <v>734</v>
      </c>
      <c r="C599" s="1909"/>
      <c r="D599" s="1909"/>
      <c r="E599" s="1909"/>
      <c r="F599" s="1909"/>
      <c r="G599" s="1588" t="s">
        <v>633</v>
      </c>
      <c r="H599" s="59">
        <v>1</v>
      </c>
      <c r="I599" s="1588">
        <v>9971.16</v>
      </c>
      <c r="J599" s="1588">
        <f>H599*I599</f>
        <v>9971.16</v>
      </c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</row>
    <row r="600" spans="1:28" hidden="1" x14ac:dyDescent="0.25">
      <c r="A600" s="1630">
        <v>1</v>
      </c>
      <c r="B600" s="1921" t="s">
        <v>301</v>
      </c>
      <c r="C600" s="2006"/>
      <c r="D600" s="1922"/>
      <c r="E600" s="1922"/>
      <c r="F600" s="1923"/>
      <c r="G600" s="1588" t="s">
        <v>108</v>
      </c>
      <c r="H600" s="59">
        <v>1</v>
      </c>
      <c r="I600" s="1588">
        <v>4000</v>
      </c>
      <c r="J600" s="1588">
        <f>H600*I600</f>
        <v>4000</v>
      </c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</row>
    <row r="601" spans="1:28" hidden="1" x14ac:dyDescent="0.25">
      <c r="A601" s="1895" t="s">
        <v>39</v>
      </c>
      <c r="B601" s="1895"/>
      <c r="C601" s="1895"/>
      <c r="D601" s="1895"/>
      <c r="E601" s="1895"/>
      <c r="F601" s="1895"/>
      <c r="G601" s="1895"/>
      <c r="H601" s="1589" t="s">
        <v>5</v>
      </c>
      <c r="I601" s="1589" t="s">
        <v>5</v>
      </c>
      <c r="J601" s="1589">
        <f>J600</f>
        <v>4000</v>
      </c>
      <c r="K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</row>
    <row r="602" spans="1:28" hidden="1" x14ac:dyDescent="0.25">
      <c r="A602" s="1924" t="s">
        <v>514</v>
      </c>
      <c r="B602" s="1925"/>
      <c r="C602" s="1925"/>
      <c r="D602" s="1925"/>
      <c r="E602" s="1925"/>
      <c r="F602" s="1925"/>
      <c r="G602" s="1925"/>
      <c r="H602" s="1925"/>
      <c r="I602" s="1925"/>
      <c r="J602" s="1925"/>
      <c r="K602" s="61"/>
      <c r="L602" s="61"/>
      <c r="M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</row>
    <row r="603" spans="1:28" hidden="1" x14ac:dyDescent="0.25">
      <c r="A603" s="1913" t="s">
        <v>153</v>
      </c>
      <c r="B603" s="1913"/>
      <c r="C603" s="1913"/>
      <c r="D603" s="1913"/>
      <c r="E603" s="1913"/>
      <c r="F603" s="1913"/>
      <c r="G603" s="1913"/>
      <c r="H603" s="1913"/>
      <c r="I603" s="1913"/>
      <c r="J603" s="1594"/>
      <c r="K603" s="61"/>
      <c r="L603" s="61"/>
      <c r="M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</row>
    <row r="604" spans="1:28" hidden="1" x14ac:dyDescent="0.25">
      <c r="A604" s="1891" t="s">
        <v>619</v>
      </c>
      <c r="B604" s="1891"/>
      <c r="C604" s="1891"/>
      <c r="D604" s="1891"/>
      <c r="E604" s="1891"/>
      <c r="F604" s="1891"/>
      <c r="G604" s="1891"/>
      <c r="H604" s="1891"/>
      <c r="I604" s="1891"/>
      <c r="J604" s="1588"/>
      <c r="K604" s="61"/>
      <c r="L604" s="61"/>
      <c r="M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</row>
    <row r="605" spans="1:28" hidden="1" x14ac:dyDescent="0.25"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</row>
    <row r="606" spans="1:28" x14ac:dyDescent="0.25">
      <c r="A606" s="1645" t="s">
        <v>26</v>
      </c>
      <c r="B606" s="72"/>
      <c r="C606" s="72"/>
      <c r="D606" s="75"/>
      <c r="E606" s="71" t="s">
        <v>624</v>
      </c>
      <c r="J606" s="85">
        <f>J614</f>
        <v>14300</v>
      </c>
      <c r="L606" s="174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</row>
    <row r="607" spans="1:28" x14ac:dyDescent="0.25">
      <c r="A607" s="1645" t="s">
        <v>27</v>
      </c>
      <c r="B607" s="72"/>
      <c r="C607" s="72"/>
      <c r="D607" s="75"/>
      <c r="E607" s="71" t="s">
        <v>1896</v>
      </c>
      <c r="J607" s="85">
        <f>J614</f>
        <v>14300</v>
      </c>
      <c r="K607" s="354"/>
      <c r="L607" s="99"/>
      <c r="M607" s="99"/>
      <c r="N607" s="99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</row>
    <row r="608" spans="1:28" x14ac:dyDescent="0.25">
      <c r="A608" s="1644" t="s">
        <v>325</v>
      </c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</row>
    <row r="609" spans="1:33" x14ac:dyDescent="0.25">
      <c r="A609" s="1898" t="s">
        <v>8</v>
      </c>
      <c r="B609" s="1898" t="s">
        <v>35</v>
      </c>
      <c r="C609" s="1898"/>
      <c r="D609" s="1898"/>
      <c r="E609" s="1898"/>
      <c r="F609" s="1898"/>
      <c r="G609" s="1899" t="s">
        <v>1827</v>
      </c>
      <c r="H609" s="1900"/>
      <c r="I609" s="1900"/>
      <c r="J609" s="190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</row>
    <row r="610" spans="1:33" ht="30" customHeight="1" x14ac:dyDescent="0.25">
      <c r="A610" s="1898"/>
      <c r="B610" s="1898"/>
      <c r="C610" s="1898"/>
      <c r="D610" s="1898"/>
      <c r="E610" s="1898"/>
      <c r="F610" s="1898"/>
      <c r="G610" s="1581" t="s">
        <v>36</v>
      </c>
      <c r="H610" s="1581" t="s">
        <v>638</v>
      </c>
      <c r="I610" s="1588" t="s">
        <v>639</v>
      </c>
      <c r="J610" s="1588" t="s">
        <v>297</v>
      </c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</row>
    <row r="611" spans="1:33" ht="30" customHeight="1" x14ac:dyDescent="0.25">
      <c r="A611" s="1630">
        <v>1</v>
      </c>
      <c r="B611" s="1909" t="s">
        <v>1894</v>
      </c>
      <c r="C611" s="1909"/>
      <c r="D611" s="1909"/>
      <c r="E611" s="1909"/>
      <c r="F611" s="1909"/>
      <c r="G611" s="59">
        <v>21</v>
      </c>
      <c r="H611" s="59">
        <v>125</v>
      </c>
      <c r="I611" s="1588">
        <v>2.2000000000000002</v>
      </c>
      <c r="J611" s="1588">
        <f>G611*H611*I611</f>
        <v>5775</v>
      </c>
      <c r="K611" s="61"/>
      <c r="M611" s="174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</row>
    <row r="612" spans="1:33" ht="30" customHeight="1" x14ac:dyDescent="0.25">
      <c r="A612" s="1630">
        <v>2</v>
      </c>
      <c r="B612" s="1909" t="s">
        <v>1895</v>
      </c>
      <c r="C612" s="1909"/>
      <c r="D612" s="1909"/>
      <c r="E612" s="1909"/>
      <c r="F612" s="1909"/>
      <c r="G612" s="59">
        <v>21</v>
      </c>
      <c r="H612" s="59">
        <v>125</v>
      </c>
      <c r="I612" s="1588">
        <v>2.2000000000000002</v>
      </c>
      <c r="J612" s="1588">
        <f>G612*H612*I612</f>
        <v>5775</v>
      </c>
      <c r="K612" s="1726"/>
      <c r="M612" s="174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</row>
    <row r="613" spans="1:33" ht="32.25" customHeight="1" x14ac:dyDescent="0.25">
      <c r="A613" s="1630">
        <v>3</v>
      </c>
      <c r="B613" s="1909" t="s">
        <v>1490</v>
      </c>
      <c r="C613" s="1909"/>
      <c r="D613" s="1909"/>
      <c r="E613" s="1909"/>
      <c r="F613" s="1909"/>
      <c r="G613" s="59">
        <v>5</v>
      </c>
      <c r="H613" s="59">
        <f>125+125</f>
        <v>250</v>
      </c>
      <c r="I613" s="1588">
        <v>2.2000000000000002</v>
      </c>
      <c r="J613" s="1588">
        <f>G613*H613*I613</f>
        <v>2750</v>
      </c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</row>
    <row r="614" spans="1:33" x14ac:dyDescent="0.25">
      <c r="A614" s="1895" t="s">
        <v>39</v>
      </c>
      <c r="B614" s="1895"/>
      <c r="C614" s="1895"/>
      <c r="D614" s="1895"/>
      <c r="E614" s="1895"/>
      <c r="F614" s="1895"/>
      <c r="G614" s="1895"/>
      <c r="H614" s="1589" t="s">
        <v>5</v>
      </c>
      <c r="I614" s="1589" t="s">
        <v>5</v>
      </c>
      <c r="J614" s="1589">
        <f>SUM(J611:J613)</f>
        <v>14300</v>
      </c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</row>
    <row r="615" spans="1:33" x14ac:dyDescent="0.25"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</row>
    <row r="616" spans="1:33" hidden="1" x14ac:dyDescent="0.25">
      <c r="A616" s="1644" t="s">
        <v>311</v>
      </c>
      <c r="K616" s="61"/>
      <c r="L616" s="61"/>
      <c r="M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</row>
    <row r="617" spans="1:33" x14ac:dyDescent="0.25">
      <c r="A617" s="1645" t="s">
        <v>63</v>
      </c>
      <c r="B617" s="72"/>
      <c r="C617" s="72"/>
      <c r="D617" s="75"/>
      <c r="E617" s="71" t="s">
        <v>80</v>
      </c>
      <c r="J617" s="85">
        <f>J618</f>
        <v>36523391.299999997</v>
      </c>
      <c r="K617" s="341"/>
      <c r="L617" s="2" t="s">
        <v>1284</v>
      </c>
      <c r="M617" s="83"/>
      <c r="N617" s="79"/>
      <c r="O617" s="354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</row>
    <row r="618" spans="1:33" x14ac:dyDescent="0.25">
      <c r="A618" s="1645" t="s">
        <v>26</v>
      </c>
      <c r="B618" s="72"/>
      <c r="C618" s="72"/>
      <c r="D618" s="75"/>
      <c r="E618" s="71" t="s">
        <v>626</v>
      </c>
      <c r="J618" s="85">
        <f>J619</f>
        <v>36523391.299999997</v>
      </c>
      <c r="K618" s="341"/>
      <c r="L618" s="2" t="s">
        <v>1285</v>
      </c>
      <c r="M618" s="81"/>
      <c r="N618" s="341"/>
      <c r="O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</row>
    <row r="619" spans="1:33" x14ac:dyDescent="0.25">
      <c r="A619" s="1645" t="s">
        <v>27</v>
      </c>
      <c r="B619" s="72"/>
      <c r="C619" s="72"/>
      <c r="D619" s="75"/>
      <c r="E619" s="71" t="s">
        <v>67</v>
      </c>
      <c r="J619" s="85">
        <f>J627+J636+J645+J722+J736+J744+J764+J669+J686+J713+J729</f>
        <v>36523391.299999997</v>
      </c>
      <c r="K619" s="341"/>
      <c r="L619" s="829" t="s">
        <v>1286</v>
      </c>
      <c r="M619" s="83"/>
      <c r="N619" s="829" t="s">
        <v>1287</v>
      </c>
      <c r="O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</row>
    <row r="620" spans="1:33" x14ac:dyDescent="0.25">
      <c r="A620" s="1644" t="s">
        <v>326</v>
      </c>
      <c r="K620" s="99"/>
      <c r="L620" s="174" t="s">
        <v>1288</v>
      </c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</row>
    <row r="621" spans="1:33" ht="15" customHeight="1" x14ac:dyDescent="0.25">
      <c r="A621" s="1926" t="s">
        <v>8</v>
      </c>
      <c r="B621" s="1926" t="s">
        <v>35</v>
      </c>
      <c r="C621" s="1926"/>
      <c r="D621" s="1926"/>
      <c r="E621" s="1926"/>
      <c r="F621" s="1926"/>
      <c r="G621" s="1926" t="s">
        <v>61</v>
      </c>
      <c r="H621" s="1990" t="s">
        <v>1827</v>
      </c>
      <c r="I621" s="1991"/>
      <c r="J621" s="1992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</row>
    <row r="622" spans="1:33" ht="31.5" customHeight="1" x14ac:dyDescent="0.25">
      <c r="A622" s="1926"/>
      <c r="B622" s="1926"/>
      <c r="C622" s="1926"/>
      <c r="D622" s="1926"/>
      <c r="E622" s="1926"/>
      <c r="F622" s="1926"/>
      <c r="G622" s="1926"/>
      <c r="H622" s="1598" t="s">
        <v>248</v>
      </c>
      <c r="I622" s="1617" t="s">
        <v>264</v>
      </c>
      <c r="J622" s="1617" t="s">
        <v>256</v>
      </c>
      <c r="K622" s="61"/>
      <c r="L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</row>
    <row r="623" spans="1:33" s="87" customFormat="1" ht="14.25" hidden="1" customHeight="1" x14ac:dyDescent="0.25">
      <c r="A623" s="2082" t="s">
        <v>1621</v>
      </c>
      <c r="B623" s="2083"/>
      <c r="C623" s="2083"/>
      <c r="D623" s="2083"/>
      <c r="E623" s="2083"/>
      <c r="F623" s="2083"/>
      <c r="G623" s="2083"/>
      <c r="H623" s="2083"/>
      <c r="I623" s="2084"/>
      <c r="J623" s="1228">
        <f>SUM(J624:J625)</f>
        <v>8700000</v>
      </c>
      <c r="K623" s="174"/>
      <c r="L623" s="174"/>
      <c r="M623" s="354"/>
      <c r="N623" s="354"/>
      <c r="Q623" s="1727"/>
      <c r="R623" s="1728"/>
      <c r="S623" s="1600"/>
      <c r="T623" s="1729"/>
    </row>
    <row r="624" spans="1:33" x14ac:dyDescent="0.25">
      <c r="A624" s="1079">
        <v>1</v>
      </c>
      <c r="B624" s="1986" t="s">
        <v>1621</v>
      </c>
      <c r="C624" s="1930"/>
      <c r="D624" s="1930"/>
      <c r="E624" s="1930"/>
      <c r="F624" s="1930"/>
      <c r="G624" s="1617" t="s">
        <v>245</v>
      </c>
      <c r="H624" s="1730">
        <v>8000</v>
      </c>
      <c r="I624" s="1731">
        <v>800</v>
      </c>
      <c r="J624" s="1617">
        <f>H624*I624</f>
        <v>6400000</v>
      </c>
      <c r="K624" s="61"/>
      <c r="L624" s="1102"/>
      <c r="M624" s="1593"/>
      <c r="N624" s="1593"/>
      <c r="O624" s="1593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  <c r="AA624" s="75"/>
      <c r="AB624" s="75"/>
      <c r="AC624" s="75"/>
      <c r="AD624" s="75"/>
      <c r="AE624" s="75"/>
      <c r="AF624" s="75"/>
      <c r="AG624" s="75"/>
    </row>
    <row r="625" spans="1:33" x14ac:dyDescent="0.25">
      <c r="A625" s="1079">
        <v>2</v>
      </c>
      <c r="B625" s="1986" t="s">
        <v>1621</v>
      </c>
      <c r="C625" s="1930"/>
      <c r="D625" s="1930"/>
      <c r="E625" s="1930"/>
      <c r="F625" s="1930"/>
      <c r="G625" s="1617" t="s">
        <v>245</v>
      </c>
      <c r="H625" s="1730">
        <v>4600</v>
      </c>
      <c r="I625" s="1731">
        <v>500</v>
      </c>
      <c r="J625" s="1617">
        <f>H625*I625</f>
        <v>2300000</v>
      </c>
      <c r="K625" s="61"/>
      <c r="L625" s="1102"/>
      <c r="M625" s="1593"/>
      <c r="N625" s="1593"/>
      <c r="O625" s="1593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  <c r="AA625" s="75"/>
      <c r="AB625" s="75"/>
      <c r="AC625" s="75"/>
      <c r="AD625" s="75"/>
      <c r="AE625" s="75"/>
      <c r="AF625" s="75"/>
      <c r="AG625" s="75"/>
    </row>
    <row r="626" spans="1:33" x14ac:dyDescent="0.25">
      <c r="A626" s="1079">
        <v>3</v>
      </c>
      <c r="B626" s="1986" t="s">
        <v>1943</v>
      </c>
      <c r="C626" s="1930"/>
      <c r="D626" s="1930"/>
      <c r="E626" s="1930"/>
      <c r="F626" s="1930"/>
      <c r="G626" s="1617" t="s">
        <v>245</v>
      </c>
      <c r="H626" s="1730">
        <v>10000</v>
      </c>
      <c r="I626" s="1731">
        <v>180</v>
      </c>
      <c r="J626" s="1617">
        <f>H626*I626</f>
        <v>1800000</v>
      </c>
      <c r="K626" s="70"/>
      <c r="L626" s="1102"/>
      <c r="M626" s="1593"/>
      <c r="N626" s="1593"/>
      <c r="O626" s="1593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  <c r="AA626" s="75"/>
      <c r="AB626" s="75"/>
      <c r="AC626" s="75"/>
      <c r="AD626" s="75"/>
      <c r="AE626" s="75"/>
      <c r="AF626" s="75"/>
      <c r="AG626" s="75"/>
    </row>
    <row r="627" spans="1:33" x14ac:dyDescent="0.25">
      <c r="A627" s="1993" t="s">
        <v>39</v>
      </c>
      <c r="B627" s="1993"/>
      <c r="C627" s="1993"/>
      <c r="D627" s="1993"/>
      <c r="E627" s="1993"/>
      <c r="F627" s="1993"/>
      <c r="G627" s="1993"/>
      <c r="H627" s="1192" t="s">
        <v>5</v>
      </c>
      <c r="I627" s="1192" t="s">
        <v>5</v>
      </c>
      <c r="J627" s="1192">
        <f>J624+J625+J626</f>
        <v>10500000</v>
      </c>
      <c r="K627" s="174"/>
      <c r="L627" s="1732"/>
      <c r="M627" s="61"/>
      <c r="N627" s="61"/>
      <c r="O627" s="61"/>
      <c r="P627" s="61"/>
      <c r="Q627" s="1733"/>
      <c r="R627" s="1734"/>
      <c r="S627" s="1735"/>
      <c r="T627" s="1736"/>
      <c r="U627" s="61"/>
      <c r="V627" s="61"/>
      <c r="W627" s="61"/>
      <c r="X627" s="61"/>
      <c r="Y627" s="61"/>
      <c r="Z627" s="61"/>
      <c r="AA627" s="61"/>
      <c r="AB627" s="61"/>
    </row>
    <row r="628" spans="1:33" x14ac:dyDescent="0.25">
      <c r="A628" s="63"/>
      <c r="B628" s="63"/>
      <c r="C628" s="63"/>
      <c r="D628" s="63"/>
      <c r="E628" s="63"/>
      <c r="F628" s="63"/>
      <c r="G628" s="63"/>
      <c r="H628" s="64"/>
      <c r="I628" s="64"/>
      <c r="J628" s="64"/>
      <c r="K628" s="61"/>
      <c r="M628" s="61"/>
      <c r="P628" s="61"/>
      <c r="Q628" s="1733"/>
      <c r="R628" s="1734"/>
      <c r="S628" s="1735"/>
      <c r="T628" s="1736"/>
      <c r="U628" s="61"/>
      <c r="V628" s="61"/>
      <c r="W628" s="61"/>
      <c r="X628" s="61"/>
      <c r="Y628" s="61"/>
      <c r="Z628" s="61"/>
      <c r="AA628" s="61"/>
      <c r="AB628" s="61"/>
    </row>
    <row r="629" spans="1:33" x14ac:dyDescent="0.25">
      <c r="A629" s="1644" t="s">
        <v>1538</v>
      </c>
      <c r="K629" s="61"/>
      <c r="M629" s="61"/>
      <c r="P629" s="61"/>
      <c r="Q629" s="1733"/>
      <c r="R629" s="1734"/>
      <c r="S629" s="1735"/>
      <c r="T629" s="1736"/>
      <c r="U629" s="61"/>
      <c r="V629" s="61"/>
      <c r="W629" s="61"/>
      <c r="X629" s="61"/>
      <c r="Y629" s="61"/>
      <c r="Z629" s="61"/>
      <c r="AA629" s="61"/>
      <c r="AB629" s="61"/>
    </row>
    <row r="630" spans="1:33" ht="15" customHeight="1" x14ac:dyDescent="0.25">
      <c r="A630" s="1926" t="s">
        <v>8</v>
      </c>
      <c r="B630" s="1926" t="s">
        <v>35</v>
      </c>
      <c r="C630" s="1926"/>
      <c r="D630" s="1926"/>
      <c r="E630" s="1926"/>
      <c r="F630" s="1926"/>
      <c r="G630" s="1926" t="s">
        <v>61</v>
      </c>
      <c r="H630" s="1990" t="s">
        <v>1827</v>
      </c>
      <c r="I630" s="1991"/>
      <c r="J630" s="1992"/>
      <c r="K630" s="61"/>
      <c r="M630" s="61"/>
      <c r="P630" s="61"/>
      <c r="Q630" s="1733"/>
      <c r="R630" s="1734"/>
      <c r="S630" s="1735"/>
      <c r="T630" s="1736"/>
      <c r="U630" s="61"/>
      <c r="V630" s="61"/>
      <c r="W630" s="61"/>
      <c r="X630" s="61"/>
      <c r="Y630" s="61"/>
      <c r="Z630" s="61"/>
      <c r="AA630" s="61"/>
      <c r="AB630" s="61"/>
    </row>
    <row r="631" spans="1:33" ht="30" x14ac:dyDescent="0.25">
      <c r="A631" s="1926"/>
      <c r="B631" s="1926"/>
      <c r="C631" s="1926"/>
      <c r="D631" s="1926"/>
      <c r="E631" s="1926"/>
      <c r="F631" s="1926"/>
      <c r="G631" s="1926"/>
      <c r="H631" s="1598" t="s">
        <v>248</v>
      </c>
      <c r="I631" s="1617" t="s">
        <v>264</v>
      </c>
      <c r="J631" s="1617" t="s">
        <v>256</v>
      </c>
      <c r="K631" s="61"/>
      <c r="M631" s="61"/>
      <c r="P631" s="61"/>
      <c r="Q631" s="1733"/>
      <c r="R631" s="1734"/>
      <c r="S631" s="1735"/>
      <c r="T631" s="1736"/>
      <c r="U631" s="61"/>
      <c r="V631" s="61"/>
      <c r="W631" s="61"/>
      <c r="X631" s="61"/>
      <c r="Y631" s="61"/>
      <c r="Z631" s="61"/>
      <c r="AA631" s="61"/>
      <c r="AB631" s="61"/>
    </row>
    <row r="632" spans="1:33" ht="15.75" customHeight="1" x14ac:dyDescent="0.25">
      <c r="A632" s="1141">
        <v>1</v>
      </c>
      <c r="B632" s="1986" t="s">
        <v>1562</v>
      </c>
      <c r="C632" s="1986"/>
      <c r="D632" s="1986"/>
      <c r="E632" s="1986"/>
      <c r="F632" s="1986"/>
      <c r="G632" s="1617" t="s">
        <v>304</v>
      </c>
      <c r="H632" s="1737">
        <v>3</v>
      </c>
      <c r="I632" s="1202">
        <v>600000</v>
      </c>
      <c r="J632" s="1617">
        <f>H632*I632</f>
        <v>1800000</v>
      </c>
      <c r="K632" s="1732"/>
      <c r="L632" s="774"/>
      <c r="M632" s="829"/>
      <c r="N632" s="774"/>
      <c r="O632" s="1593"/>
      <c r="P632" s="1593"/>
      <c r="Q632" s="1733"/>
      <c r="R632" s="1734"/>
      <c r="S632" s="1735"/>
      <c r="T632" s="1736"/>
      <c r="U632" s="61"/>
      <c r="V632" s="61"/>
      <c r="W632" s="61"/>
      <c r="X632" s="61"/>
      <c r="Y632" s="61"/>
      <c r="Z632" s="61"/>
      <c r="AA632" s="61"/>
      <c r="AB632" s="61"/>
    </row>
    <row r="633" spans="1:33" ht="15.75" hidden="1" customHeight="1" x14ac:dyDescent="0.25">
      <c r="A633" s="1141">
        <v>2</v>
      </c>
      <c r="B633" s="1986" t="s">
        <v>1563</v>
      </c>
      <c r="C633" s="1986"/>
      <c r="D633" s="1986"/>
      <c r="E633" s="1986"/>
      <c r="F633" s="1986"/>
      <c r="G633" s="1617" t="s">
        <v>304</v>
      </c>
      <c r="H633" s="1737"/>
      <c r="I633" s="1202">
        <v>14500</v>
      </c>
      <c r="J633" s="1617">
        <f>H633*I633</f>
        <v>0</v>
      </c>
      <c r="K633" s="1732"/>
      <c r="L633" s="774"/>
      <c r="M633" s="829"/>
      <c r="N633" s="774"/>
      <c r="O633" s="1593"/>
      <c r="P633" s="1593"/>
      <c r="Q633" s="1733"/>
      <c r="R633" s="1734"/>
      <c r="S633" s="1735"/>
      <c r="T633" s="1736"/>
      <c r="U633" s="61"/>
      <c r="V633" s="61"/>
      <c r="W633" s="61"/>
      <c r="X633" s="61"/>
      <c r="Y633" s="61"/>
      <c r="Z633" s="61"/>
      <c r="AA633" s="61"/>
      <c r="AB633" s="61"/>
    </row>
    <row r="634" spans="1:33" ht="15.75" hidden="1" customHeight="1" x14ac:dyDescent="0.25">
      <c r="A634" s="1141">
        <v>3</v>
      </c>
      <c r="B634" s="1986" t="s">
        <v>1560</v>
      </c>
      <c r="C634" s="1986"/>
      <c r="D634" s="1986"/>
      <c r="E634" s="1986"/>
      <c r="F634" s="1986"/>
      <c r="G634" s="1617" t="s">
        <v>304</v>
      </c>
      <c r="H634" s="1737"/>
      <c r="I634" s="1202">
        <v>3428.57</v>
      </c>
      <c r="J634" s="1617">
        <f>H634*I634</f>
        <v>0</v>
      </c>
      <c r="K634" s="1732"/>
      <c r="L634" s="774"/>
      <c r="M634" s="829"/>
      <c r="N634" s="774"/>
      <c r="O634" s="1593"/>
      <c r="P634" s="1593"/>
      <c r="Q634" s="1733"/>
      <c r="R634" s="1734"/>
      <c r="S634" s="1735"/>
      <c r="T634" s="1736"/>
      <c r="U634" s="61"/>
      <c r="V634" s="61"/>
      <c r="W634" s="61"/>
      <c r="X634" s="61"/>
      <c r="Y634" s="61"/>
      <c r="Z634" s="61"/>
      <c r="AA634" s="61"/>
      <c r="AB634" s="61"/>
    </row>
    <row r="635" spans="1:33" ht="15.75" hidden="1" customHeight="1" x14ac:dyDescent="0.25">
      <c r="A635" s="2003" t="s">
        <v>1561</v>
      </c>
      <c r="B635" s="2007"/>
      <c r="C635" s="2007"/>
      <c r="D635" s="2007"/>
      <c r="E635" s="2007"/>
      <c r="F635" s="2008"/>
      <c r="G635" s="1617"/>
      <c r="H635" s="1737"/>
      <c r="I635" s="1202"/>
      <c r="J635" s="1617">
        <f>0.02+2100-2100.02</f>
        <v>0</v>
      </c>
      <c r="K635" s="1732"/>
      <c r="L635" s="774"/>
      <c r="M635" s="829"/>
      <c r="N635" s="774"/>
      <c r="O635" s="1593"/>
      <c r="P635" s="1593"/>
      <c r="Q635" s="1733"/>
      <c r="R635" s="1734"/>
      <c r="S635" s="1735"/>
      <c r="T635" s="1736"/>
      <c r="U635" s="61"/>
      <c r="V635" s="61"/>
      <c r="W635" s="61"/>
      <c r="X635" s="61"/>
      <c r="Y635" s="61"/>
      <c r="Z635" s="61"/>
      <c r="AA635" s="61"/>
      <c r="AB635" s="61"/>
    </row>
    <row r="636" spans="1:33" x14ac:dyDescent="0.25">
      <c r="A636" s="1993" t="s">
        <v>39</v>
      </c>
      <c r="B636" s="1993"/>
      <c r="C636" s="1993"/>
      <c r="D636" s="1993"/>
      <c r="E636" s="1993"/>
      <c r="F636" s="1993"/>
      <c r="G636" s="1993"/>
      <c r="H636" s="1192" t="s">
        <v>5</v>
      </c>
      <c r="I636" s="1192" t="s">
        <v>5</v>
      </c>
      <c r="J636" s="1192">
        <f>SUM(J632:J635)</f>
        <v>1800000</v>
      </c>
      <c r="L636" s="774"/>
      <c r="M636" s="829"/>
      <c r="N636" s="774"/>
      <c r="O636" s="1593"/>
      <c r="P636" s="1593"/>
      <c r="Q636" s="1733"/>
      <c r="R636" s="1734"/>
      <c r="S636" s="1735"/>
      <c r="T636" s="1736"/>
      <c r="U636" s="61"/>
      <c r="V636" s="61"/>
      <c r="W636" s="61"/>
      <c r="X636" s="61"/>
      <c r="Y636" s="61"/>
      <c r="Z636" s="61"/>
      <c r="AA636" s="61"/>
      <c r="AB636" s="61"/>
    </row>
    <row r="637" spans="1:33" x14ac:dyDescent="0.25">
      <c r="A637" s="63"/>
      <c r="B637" s="63"/>
      <c r="C637" s="63"/>
      <c r="D637" s="63"/>
      <c r="E637" s="63"/>
      <c r="F637" s="63"/>
      <c r="G637" s="63"/>
      <c r="H637" s="64"/>
      <c r="I637" s="64"/>
      <c r="J637" s="64"/>
      <c r="L637" s="774"/>
      <c r="M637" s="829"/>
      <c r="N637" s="774"/>
      <c r="O637" s="1593"/>
      <c r="P637" s="1593"/>
      <c r="Q637" s="1733"/>
      <c r="R637" s="1734"/>
      <c r="S637" s="1735"/>
      <c r="T637" s="1736"/>
      <c r="U637" s="61"/>
      <c r="V637" s="61"/>
      <c r="W637" s="61"/>
      <c r="X637" s="61"/>
      <c r="Y637" s="61"/>
      <c r="Z637" s="61"/>
      <c r="AA637" s="61"/>
      <c r="AB637" s="61"/>
    </row>
    <row r="638" spans="1:33" x14ac:dyDescent="0.25">
      <c r="A638" s="1644" t="s">
        <v>1945</v>
      </c>
      <c r="L638" s="774"/>
      <c r="M638" s="829"/>
      <c r="N638" s="774"/>
      <c r="O638" s="1593"/>
      <c r="P638" s="1593"/>
      <c r="Q638" s="1733"/>
      <c r="R638" s="1734"/>
      <c r="S638" s="1735"/>
      <c r="T638" s="1736"/>
      <c r="U638" s="61"/>
      <c r="V638" s="61"/>
      <c r="W638" s="61"/>
      <c r="X638" s="61"/>
      <c r="Y638" s="61"/>
      <c r="Z638" s="61"/>
      <c r="AA638" s="61"/>
      <c r="AB638" s="61"/>
    </row>
    <row r="639" spans="1:33" ht="15" customHeight="1" x14ac:dyDescent="0.25">
      <c r="A639" s="1926" t="s">
        <v>8</v>
      </c>
      <c r="B639" s="1926" t="s">
        <v>35</v>
      </c>
      <c r="C639" s="1926"/>
      <c r="D639" s="1926"/>
      <c r="E639" s="1926"/>
      <c r="F639" s="1926"/>
      <c r="G639" s="1926" t="s">
        <v>61</v>
      </c>
      <c r="H639" s="1990" t="s">
        <v>1827</v>
      </c>
      <c r="I639" s="1991"/>
      <c r="J639" s="1992"/>
      <c r="L639" s="774"/>
      <c r="M639" s="829"/>
      <c r="N639" s="774"/>
      <c r="O639" s="1593"/>
      <c r="P639" s="1593"/>
      <c r="Q639" s="1733"/>
      <c r="R639" s="1734"/>
      <c r="S639" s="1735"/>
      <c r="T639" s="1736"/>
      <c r="U639" s="61"/>
      <c r="V639" s="61"/>
      <c r="W639" s="61"/>
      <c r="X639" s="61"/>
      <c r="Y639" s="61"/>
      <c r="Z639" s="61"/>
      <c r="AA639" s="61"/>
      <c r="AB639" s="61"/>
    </row>
    <row r="640" spans="1:33" ht="30" x14ac:dyDescent="0.25">
      <c r="A640" s="1926"/>
      <c r="B640" s="1926"/>
      <c r="C640" s="1926"/>
      <c r="D640" s="1926"/>
      <c r="E640" s="1926"/>
      <c r="F640" s="1926"/>
      <c r="G640" s="1926"/>
      <c r="H640" s="1598" t="s">
        <v>248</v>
      </c>
      <c r="I640" s="1617" t="s">
        <v>264</v>
      </c>
      <c r="J640" s="1617" t="s">
        <v>256</v>
      </c>
      <c r="L640" s="774"/>
      <c r="M640" s="79"/>
      <c r="N640" s="774"/>
      <c r="O640" s="1593"/>
      <c r="P640" s="1593"/>
      <c r="Q640" s="1733"/>
      <c r="R640" s="1734"/>
      <c r="S640" s="1735"/>
      <c r="T640" s="1736"/>
      <c r="U640" s="61"/>
      <c r="V640" s="61"/>
      <c r="W640" s="61"/>
      <c r="X640" s="61"/>
      <c r="Y640" s="61"/>
      <c r="Z640" s="61"/>
      <c r="AA640" s="61"/>
      <c r="AB640" s="61"/>
    </row>
    <row r="641" spans="1:28" ht="15.75" customHeight="1" x14ac:dyDescent="0.25">
      <c r="A641" s="1141">
        <v>1</v>
      </c>
      <c r="B641" s="1986" t="s">
        <v>1946</v>
      </c>
      <c r="C641" s="1986"/>
      <c r="D641" s="1986"/>
      <c r="E641" s="1986"/>
      <c r="F641" s="1986"/>
      <c r="G641" s="1617" t="s">
        <v>832</v>
      </c>
      <c r="H641" s="1758">
        <v>300</v>
      </c>
      <c r="I641" s="1202">
        <v>2000</v>
      </c>
      <c r="J641" s="1617">
        <f>H641*I641</f>
        <v>600000</v>
      </c>
      <c r="L641" s="774"/>
      <c r="M641" s="79"/>
      <c r="N641" s="774"/>
      <c r="O641" s="1593"/>
      <c r="P641" s="1593"/>
      <c r="Q641" s="1733"/>
      <c r="R641" s="1734"/>
      <c r="S641" s="1735"/>
      <c r="T641" s="1736"/>
      <c r="U641" s="61"/>
      <c r="V641" s="61"/>
      <c r="W641" s="61"/>
      <c r="X641" s="61"/>
      <c r="Y641" s="61"/>
      <c r="Z641" s="61"/>
      <c r="AA641" s="61"/>
      <c r="AB641" s="61"/>
    </row>
    <row r="642" spans="1:28" ht="15.75" customHeight="1" x14ac:dyDescent="0.25">
      <c r="A642" s="1141">
        <v>2</v>
      </c>
      <c r="B642" s="1986" t="s">
        <v>1947</v>
      </c>
      <c r="C642" s="1986"/>
      <c r="D642" s="1986"/>
      <c r="E642" s="1986"/>
      <c r="F642" s="1986"/>
      <c r="G642" s="1617" t="s">
        <v>832</v>
      </c>
      <c r="H642" s="1758">
        <v>240</v>
      </c>
      <c r="I642" s="1202">
        <v>2500</v>
      </c>
      <c r="J642" s="1617">
        <f>H642*I642</f>
        <v>600000</v>
      </c>
      <c r="L642" s="774"/>
      <c r="M642" s="79"/>
      <c r="N642" s="774"/>
      <c r="O642" s="1593"/>
      <c r="P642" s="1593"/>
      <c r="Q642" s="1733"/>
      <c r="R642" s="1734"/>
      <c r="S642" s="1735"/>
      <c r="T642" s="1736"/>
      <c r="U642" s="61"/>
      <c r="V642" s="61"/>
      <c r="W642" s="61"/>
      <c r="X642" s="61"/>
      <c r="Y642" s="61"/>
      <c r="Z642" s="61"/>
      <c r="AA642" s="61"/>
      <c r="AB642" s="61"/>
    </row>
    <row r="643" spans="1:28" ht="15.75" hidden="1" customHeight="1" x14ac:dyDescent="0.25">
      <c r="A643" s="1141">
        <v>3</v>
      </c>
      <c r="B643" s="1986" t="s">
        <v>1685</v>
      </c>
      <c r="C643" s="1986"/>
      <c r="D643" s="1986"/>
      <c r="E643" s="1986"/>
      <c r="F643" s="1986"/>
      <c r="G643" s="1617" t="s">
        <v>304</v>
      </c>
      <c r="H643" s="1758"/>
      <c r="I643" s="1202">
        <v>2930</v>
      </c>
      <c r="J643" s="1617">
        <f>H643*I643</f>
        <v>0</v>
      </c>
      <c r="L643" s="774"/>
      <c r="M643" s="79"/>
      <c r="N643" s="774"/>
      <c r="O643" s="1593"/>
      <c r="P643" s="1593"/>
      <c r="Q643" s="1733"/>
      <c r="R643" s="1734"/>
      <c r="S643" s="1735"/>
      <c r="T643" s="1736"/>
      <c r="U643" s="61"/>
      <c r="V643" s="61"/>
      <c r="W643" s="61"/>
      <c r="X643" s="61"/>
      <c r="Y643" s="61"/>
      <c r="Z643" s="61"/>
      <c r="AA643" s="61"/>
      <c r="AB643" s="61"/>
    </row>
    <row r="644" spans="1:28" ht="15.75" hidden="1" customHeight="1" x14ac:dyDescent="0.25">
      <c r="A644" s="1141">
        <v>4</v>
      </c>
      <c r="B644" s="1986" t="s">
        <v>1686</v>
      </c>
      <c r="C644" s="1986"/>
      <c r="D644" s="1986"/>
      <c r="E644" s="1986"/>
      <c r="F644" s="1986"/>
      <c r="G644" s="1617" t="s">
        <v>304</v>
      </c>
      <c r="H644" s="1758"/>
      <c r="I644" s="1202">
        <v>2930</v>
      </c>
      <c r="J644" s="1617">
        <f>H644*I644</f>
        <v>0</v>
      </c>
      <c r="L644" s="774"/>
      <c r="M644" s="79"/>
      <c r="N644" s="774"/>
      <c r="O644" s="1593"/>
      <c r="P644" s="1593"/>
      <c r="Q644" s="1733"/>
      <c r="R644" s="1734"/>
      <c r="S644" s="1735"/>
      <c r="T644" s="1736"/>
      <c r="U644" s="61"/>
      <c r="V644" s="61"/>
      <c r="W644" s="61"/>
      <c r="X644" s="61"/>
      <c r="Y644" s="61"/>
      <c r="Z644" s="61"/>
      <c r="AA644" s="61"/>
      <c r="AB644" s="61"/>
    </row>
    <row r="645" spans="1:28" x14ac:dyDescent="0.25">
      <c r="A645" s="1993" t="s">
        <v>39</v>
      </c>
      <c r="B645" s="1993"/>
      <c r="C645" s="1993"/>
      <c r="D645" s="1993"/>
      <c r="E645" s="1993"/>
      <c r="F645" s="1993"/>
      <c r="G645" s="1993"/>
      <c r="H645" s="1192" t="s">
        <v>5</v>
      </c>
      <c r="I645" s="1192" t="s">
        <v>5</v>
      </c>
      <c r="J645" s="1192">
        <f>SUM(J641:J644)</f>
        <v>1200000</v>
      </c>
      <c r="K645" s="1726"/>
      <c r="L645" s="774"/>
      <c r="M645" s="79"/>
      <c r="N645" s="774"/>
      <c r="O645" s="1593"/>
      <c r="P645" s="1593"/>
      <c r="Q645" s="1733"/>
      <c r="R645" s="1734"/>
      <c r="S645" s="1735"/>
      <c r="T645" s="1736"/>
      <c r="U645" s="61"/>
      <c r="V645" s="61"/>
      <c r="W645" s="61"/>
      <c r="X645" s="61"/>
      <c r="Y645" s="61"/>
      <c r="Z645" s="61"/>
      <c r="AA645" s="61"/>
      <c r="AB645" s="61"/>
    </row>
    <row r="646" spans="1:28" x14ac:dyDescent="0.25">
      <c r="A646" s="63"/>
      <c r="B646" s="63"/>
      <c r="C646" s="63"/>
      <c r="D646" s="63"/>
      <c r="E646" s="63"/>
      <c r="F646" s="63"/>
      <c r="G646" s="63"/>
      <c r="H646" s="64"/>
      <c r="I646" s="64"/>
      <c r="J646" s="64"/>
      <c r="L646" s="774"/>
      <c r="M646" s="79"/>
      <c r="N646" s="774"/>
      <c r="O646" s="1593"/>
      <c r="P646" s="1593"/>
      <c r="Q646" s="1733"/>
      <c r="R646" s="1734"/>
      <c r="S646" s="1735"/>
      <c r="T646" s="1736"/>
      <c r="U646" s="61"/>
      <c r="V646" s="61"/>
      <c r="W646" s="61"/>
      <c r="X646" s="61"/>
      <c r="Y646" s="61"/>
      <c r="Z646" s="61"/>
      <c r="AA646" s="61"/>
      <c r="AB646" s="61"/>
    </row>
    <row r="647" spans="1:28" ht="15" customHeight="1" x14ac:dyDescent="0.25">
      <c r="A647" s="1644" t="s">
        <v>2214</v>
      </c>
      <c r="L647" s="774"/>
      <c r="M647" s="79"/>
      <c r="N647" s="774"/>
      <c r="O647" s="1593"/>
      <c r="P647" s="1593"/>
      <c r="Q647" s="1733"/>
      <c r="R647" s="1734"/>
      <c r="S647" s="1735"/>
      <c r="T647" s="1736"/>
      <c r="U647" s="61"/>
      <c r="V647" s="61"/>
      <c r="W647" s="61"/>
      <c r="X647" s="61"/>
      <c r="Y647" s="61"/>
      <c r="Z647" s="61"/>
      <c r="AA647" s="61"/>
      <c r="AB647" s="61"/>
    </row>
    <row r="648" spans="1:28" ht="15" customHeight="1" x14ac:dyDescent="0.25">
      <c r="A648" s="1926" t="s">
        <v>8</v>
      </c>
      <c r="B648" s="1926" t="s">
        <v>35</v>
      </c>
      <c r="C648" s="1926"/>
      <c r="D648" s="1926"/>
      <c r="E648" s="1926"/>
      <c r="F648" s="1926"/>
      <c r="G648" s="1926" t="s">
        <v>61</v>
      </c>
      <c r="H648" s="1990" t="s">
        <v>1476</v>
      </c>
      <c r="I648" s="1991"/>
      <c r="J648" s="1992"/>
      <c r="L648" s="774"/>
      <c r="M648" s="79"/>
      <c r="N648" s="774"/>
      <c r="O648" s="1593"/>
      <c r="P648" s="1593"/>
      <c r="Q648" s="1733"/>
      <c r="R648" s="1734"/>
      <c r="S648" s="1735"/>
      <c r="T648" s="1736"/>
      <c r="U648" s="61"/>
      <c r="V648" s="61"/>
      <c r="W648" s="61"/>
      <c r="X648" s="61"/>
      <c r="Y648" s="61"/>
      <c r="Z648" s="61"/>
      <c r="AA648" s="61"/>
      <c r="AB648" s="61"/>
    </row>
    <row r="649" spans="1:28" ht="30" customHeight="1" x14ac:dyDescent="0.25">
      <c r="A649" s="1926"/>
      <c r="B649" s="1926"/>
      <c r="C649" s="1926"/>
      <c r="D649" s="1926"/>
      <c r="E649" s="1926"/>
      <c r="F649" s="1926"/>
      <c r="G649" s="1926"/>
      <c r="H649" s="1598" t="s">
        <v>248</v>
      </c>
      <c r="I649" s="1617" t="s">
        <v>264</v>
      </c>
      <c r="J649" s="1617" t="s">
        <v>256</v>
      </c>
      <c r="L649" s="774"/>
      <c r="M649" s="79"/>
      <c r="N649" s="774"/>
      <c r="O649" s="1593"/>
      <c r="P649" s="1593"/>
      <c r="Q649" s="1733"/>
      <c r="R649" s="1734"/>
      <c r="S649" s="1735"/>
      <c r="T649" s="1736"/>
      <c r="U649" s="61"/>
      <c r="V649" s="61"/>
      <c r="W649" s="61"/>
      <c r="X649" s="61"/>
      <c r="Y649" s="61"/>
      <c r="Z649" s="61"/>
      <c r="AA649" s="61"/>
      <c r="AB649" s="61"/>
    </row>
    <row r="650" spans="1:28" s="87" customFormat="1" ht="15" customHeight="1" x14ac:dyDescent="0.25">
      <c r="A650" s="1995" t="s">
        <v>2226</v>
      </c>
      <c r="B650" s="1996"/>
      <c r="C650" s="1996"/>
      <c r="D650" s="1996"/>
      <c r="E650" s="1996"/>
      <c r="F650" s="1996"/>
      <c r="G650" s="1996"/>
      <c r="H650" s="1996"/>
      <c r="I650" s="1997"/>
      <c r="J650" s="1738"/>
      <c r="K650" s="174"/>
      <c r="L650" s="774"/>
      <c r="M650" s="773"/>
      <c r="N650" s="774"/>
      <c r="O650" s="1593"/>
      <c r="P650" s="1593"/>
      <c r="Q650" s="1727"/>
      <c r="R650" s="1728"/>
      <c r="S650" s="1600"/>
      <c r="T650" s="1729"/>
    </row>
    <row r="651" spans="1:28" ht="15.75" customHeight="1" x14ac:dyDescent="0.25">
      <c r="A651" s="1141">
        <v>1</v>
      </c>
      <c r="B651" s="1986" t="s">
        <v>2168</v>
      </c>
      <c r="C651" s="1986"/>
      <c r="D651" s="1986"/>
      <c r="E651" s="1986"/>
      <c r="F651" s="1986"/>
      <c r="G651" s="1617" t="s">
        <v>304</v>
      </c>
      <c r="H651" s="1175">
        <v>8</v>
      </c>
      <c r="I651" s="1535">
        <v>1600</v>
      </c>
      <c r="J651" s="1617">
        <f t="shared" ref="J651:J668" si="12">H651*I651</f>
        <v>12800</v>
      </c>
      <c r="L651" s="774"/>
      <c r="M651" s="79"/>
      <c r="N651" s="774"/>
      <c r="O651" s="1593"/>
      <c r="P651" s="1593"/>
      <c r="Q651" s="1733"/>
      <c r="R651" s="1734"/>
      <c r="S651" s="1735"/>
      <c r="T651" s="1736"/>
      <c r="U651" s="61"/>
      <c r="V651" s="61"/>
      <c r="W651" s="61"/>
      <c r="X651" s="61"/>
      <c r="Y651" s="61"/>
      <c r="Z651" s="61"/>
      <c r="AA651" s="61"/>
      <c r="AB651" s="61"/>
    </row>
    <row r="652" spans="1:28" ht="15.75" customHeight="1" x14ac:dyDescent="0.25">
      <c r="A652" s="1141">
        <v>2</v>
      </c>
      <c r="B652" s="1986" t="s">
        <v>2169</v>
      </c>
      <c r="C652" s="1986"/>
      <c r="D652" s="1986"/>
      <c r="E652" s="1986"/>
      <c r="F652" s="1986"/>
      <c r="G652" s="1617" t="s">
        <v>304</v>
      </c>
      <c r="H652" s="1175">
        <v>10</v>
      </c>
      <c r="I652" s="1535">
        <v>30000</v>
      </c>
      <c r="J652" s="1617">
        <f t="shared" si="12"/>
        <v>300000</v>
      </c>
      <c r="L652" s="774"/>
      <c r="M652" s="79"/>
      <c r="N652" s="774"/>
      <c r="O652" s="1593"/>
      <c r="P652" s="1593"/>
      <c r="Q652" s="1733"/>
      <c r="R652" s="1734"/>
      <c r="S652" s="1735"/>
      <c r="T652" s="1736"/>
      <c r="U652" s="61"/>
      <c r="V652" s="61"/>
      <c r="W652" s="61"/>
      <c r="X652" s="61"/>
      <c r="Y652" s="61"/>
      <c r="Z652" s="61"/>
      <c r="AA652" s="61"/>
      <c r="AB652" s="61"/>
    </row>
    <row r="653" spans="1:28" ht="15.75" customHeight="1" x14ac:dyDescent="0.25">
      <c r="A653" s="1141">
        <v>3</v>
      </c>
      <c r="B653" s="1986" t="s">
        <v>2170</v>
      </c>
      <c r="C653" s="1986"/>
      <c r="D653" s="1986"/>
      <c r="E653" s="1986"/>
      <c r="F653" s="1986"/>
      <c r="G653" s="1617" t="s">
        <v>304</v>
      </c>
      <c r="H653" s="1175">
        <v>20</v>
      </c>
      <c r="I653" s="1535">
        <v>1400</v>
      </c>
      <c r="J653" s="1617">
        <f t="shared" si="12"/>
        <v>28000</v>
      </c>
      <c r="L653" s="774"/>
      <c r="M653" s="79"/>
      <c r="N653" s="774"/>
      <c r="O653" s="1593"/>
      <c r="P653" s="1593"/>
      <c r="Q653" s="1733"/>
      <c r="R653" s="1734"/>
      <c r="S653" s="1735"/>
      <c r="T653" s="1736"/>
      <c r="U653" s="61"/>
      <c r="V653" s="61"/>
      <c r="W653" s="61"/>
      <c r="X653" s="61"/>
      <c r="Y653" s="61"/>
      <c r="Z653" s="61"/>
      <c r="AA653" s="61"/>
      <c r="AB653" s="61"/>
    </row>
    <row r="654" spans="1:28" ht="15.75" customHeight="1" x14ac:dyDescent="0.25">
      <c r="A654" s="1141">
        <v>4</v>
      </c>
      <c r="B654" s="1986" t="s">
        <v>2171</v>
      </c>
      <c r="C654" s="1986"/>
      <c r="D654" s="1986"/>
      <c r="E654" s="1986"/>
      <c r="F654" s="1986"/>
      <c r="G654" s="1617" t="s">
        <v>304</v>
      </c>
      <c r="H654" s="1175">
        <v>20</v>
      </c>
      <c r="I654" s="1535">
        <v>880</v>
      </c>
      <c r="J654" s="1616">
        <f t="shared" si="12"/>
        <v>17600</v>
      </c>
      <c r="K654" s="83"/>
      <c r="L654" s="774"/>
      <c r="M654" s="829"/>
      <c r="N654" s="774"/>
      <c r="O654" s="1593"/>
      <c r="P654" s="1593"/>
      <c r="Q654" s="1733"/>
      <c r="R654" s="1734"/>
      <c r="S654" s="1735"/>
      <c r="T654" s="1736"/>
      <c r="U654" s="61"/>
      <c r="V654" s="61"/>
      <c r="W654" s="61"/>
      <c r="X654" s="61"/>
      <c r="Y654" s="61"/>
      <c r="Z654" s="61"/>
      <c r="AA654" s="61"/>
      <c r="AB654" s="61"/>
    </row>
    <row r="655" spans="1:28" ht="15.75" customHeight="1" x14ac:dyDescent="0.25">
      <c r="A655" s="1141">
        <v>5</v>
      </c>
      <c r="B655" s="1986" t="s">
        <v>2172</v>
      </c>
      <c r="C655" s="1986"/>
      <c r="D655" s="1986"/>
      <c r="E655" s="1986"/>
      <c r="F655" s="1986"/>
      <c r="G655" s="1617" t="s">
        <v>304</v>
      </c>
      <c r="H655" s="1175">
        <v>20</v>
      </c>
      <c r="I655" s="1535">
        <v>350</v>
      </c>
      <c r="J655" s="1616">
        <f t="shared" si="12"/>
        <v>7000</v>
      </c>
      <c r="K655" s="83"/>
      <c r="L655" s="774"/>
      <c r="M655" s="829"/>
      <c r="N655" s="774"/>
      <c r="O655" s="1593"/>
      <c r="P655" s="1593"/>
      <c r="Q655" s="1733"/>
      <c r="R655" s="1734"/>
      <c r="S655" s="1735"/>
      <c r="T655" s="1736"/>
      <c r="U655" s="61"/>
      <c r="V655" s="61"/>
      <c r="W655" s="61"/>
      <c r="X655" s="61"/>
      <c r="Y655" s="61"/>
      <c r="Z655" s="61"/>
      <c r="AA655" s="61"/>
      <c r="AB655" s="61"/>
    </row>
    <row r="656" spans="1:28" ht="18" customHeight="1" x14ac:dyDescent="0.25">
      <c r="A656" s="1141">
        <v>6</v>
      </c>
      <c r="B656" s="1986" t="s">
        <v>2173</v>
      </c>
      <c r="C656" s="1986"/>
      <c r="D656" s="1986"/>
      <c r="E656" s="1986"/>
      <c r="F656" s="1986"/>
      <c r="G656" s="1617" t="s">
        <v>304</v>
      </c>
      <c r="H656" s="1175">
        <v>20</v>
      </c>
      <c r="I656" s="1535">
        <v>5850</v>
      </c>
      <c r="J656" s="1616">
        <f t="shared" si="12"/>
        <v>117000</v>
      </c>
      <c r="K656" s="83"/>
      <c r="L656" s="774"/>
      <c r="M656" s="829"/>
      <c r="N656" s="774"/>
      <c r="O656" s="1593"/>
      <c r="P656" s="1593"/>
      <c r="Q656" s="1733"/>
      <c r="R656" s="1734"/>
      <c r="S656" s="1735"/>
      <c r="T656" s="1736"/>
      <c r="U656" s="61"/>
      <c r="V656" s="61"/>
      <c r="W656" s="61"/>
      <c r="X656" s="61"/>
      <c r="Y656" s="61"/>
      <c r="Z656" s="61"/>
      <c r="AA656" s="61"/>
      <c r="AB656" s="61"/>
    </row>
    <row r="657" spans="1:28" ht="18" customHeight="1" x14ac:dyDescent="0.25">
      <c r="A657" s="1141">
        <v>7</v>
      </c>
      <c r="B657" s="1986" t="s">
        <v>2174</v>
      </c>
      <c r="C657" s="1986"/>
      <c r="D657" s="1986"/>
      <c r="E657" s="1986"/>
      <c r="F657" s="1986"/>
      <c r="G657" s="1617" t="s">
        <v>304</v>
      </c>
      <c r="H657" s="1175">
        <v>19</v>
      </c>
      <c r="I657" s="1535">
        <v>4236</v>
      </c>
      <c r="J657" s="1617">
        <f t="shared" si="12"/>
        <v>80484</v>
      </c>
      <c r="L657" s="774"/>
      <c r="M657" s="829"/>
      <c r="N657" s="774"/>
      <c r="O657" s="1593"/>
      <c r="P657" s="1593"/>
      <c r="Q657" s="1733"/>
      <c r="R657" s="1734"/>
      <c r="S657" s="1735"/>
      <c r="T657" s="1736"/>
      <c r="U657" s="61"/>
      <c r="V657" s="61"/>
      <c r="W657" s="61"/>
      <c r="X657" s="61"/>
      <c r="Y657" s="61"/>
      <c r="Z657" s="61"/>
      <c r="AA657" s="61"/>
      <c r="AB657" s="61"/>
    </row>
    <row r="658" spans="1:28" ht="18" customHeight="1" x14ac:dyDescent="0.25">
      <c r="A658" s="1141">
        <v>8</v>
      </c>
      <c r="B658" s="1986" t="s">
        <v>2175</v>
      </c>
      <c r="C658" s="1986"/>
      <c r="D658" s="1986"/>
      <c r="E658" s="1986"/>
      <c r="F658" s="1986"/>
      <c r="G658" s="1617" t="s">
        <v>304</v>
      </c>
      <c r="H658" s="1175">
        <v>1</v>
      </c>
      <c r="I658" s="1535">
        <v>20000</v>
      </c>
      <c r="J658" s="1617">
        <f t="shared" si="12"/>
        <v>20000</v>
      </c>
      <c r="L658" s="774"/>
      <c r="M658" s="829"/>
      <c r="N658" s="774"/>
      <c r="O658" s="1593"/>
      <c r="P658" s="1593"/>
      <c r="Q658" s="1733"/>
      <c r="R658" s="1734"/>
      <c r="S658" s="1735"/>
      <c r="T658" s="1736"/>
      <c r="U658" s="61"/>
      <c r="V658" s="61"/>
      <c r="W658" s="61"/>
      <c r="X658" s="61"/>
      <c r="Y658" s="61"/>
      <c r="Z658" s="61"/>
      <c r="AA658" s="61"/>
      <c r="AB658" s="61"/>
    </row>
    <row r="659" spans="1:28" ht="18" customHeight="1" x14ac:dyDescent="0.25">
      <c r="A659" s="1141">
        <v>9</v>
      </c>
      <c r="B659" s="1986" t="s">
        <v>2176</v>
      </c>
      <c r="C659" s="1986"/>
      <c r="D659" s="1986"/>
      <c r="E659" s="1986"/>
      <c r="F659" s="1986"/>
      <c r="G659" s="1617" t="s">
        <v>304</v>
      </c>
      <c r="H659" s="1175">
        <v>12</v>
      </c>
      <c r="I659" s="1535">
        <v>1554</v>
      </c>
      <c r="J659" s="1617">
        <f t="shared" si="12"/>
        <v>18648</v>
      </c>
      <c r="L659" s="774"/>
      <c r="M659" s="829"/>
      <c r="N659" s="774"/>
      <c r="O659" s="1593"/>
      <c r="P659" s="1593"/>
      <c r="Q659" s="1733"/>
      <c r="R659" s="1734"/>
      <c r="S659" s="1735"/>
      <c r="T659" s="1736"/>
      <c r="U659" s="61"/>
      <c r="V659" s="61"/>
      <c r="W659" s="61"/>
      <c r="X659" s="61"/>
      <c r="Y659" s="61"/>
      <c r="Z659" s="61"/>
      <c r="AA659" s="61"/>
      <c r="AB659" s="61"/>
    </row>
    <row r="660" spans="1:28" ht="18" customHeight="1" x14ac:dyDescent="0.25">
      <c r="A660" s="1141">
        <v>10</v>
      </c>
      <c r="B660" s="1986" t="s">
        <v>2177</v>
      </c>
      <c r="C660" s="1986"/>
      <c r="D660" s="1986"/>
      <c r="E660" s="1986"/>
      <c r="F660" s="1986"/>
      <c r="G660" s="1617" t="s">
        <v>304</v>
      </c>
      <c r="H660" s="1175">
        <v>10</v>
      </c>
      <c r="I660" s="1535">
        <v>3366</v>
      </c>
      <c r="J660" s="1617">
        <f t="shared" si="12"/>
        <v>33660</v>
      </c>
      <c r="L660" s="774"/>
      <c r="M660" s="829"/>
      <c r="N660" s="774"/>
      <c r="O660" s="1593"/>
      <c r="P660" s="1593"/>
      <c r="Q660" s="1733"/>
      <c r="R660" s="1734"/>
      <c r="S660" s="1735"/>
      <c r="T660" s="1736"/>
      <c r="U660" s="61"/>
      <c r="V660" s="61"/>
      <c r="W660" s="61"/>
      <c r="X660" s="61"/>
      <c r="Y660" s="61"/>
      <c r="Z660" s="61"/>
      <c r="AA660" s="61"/>
      <c r="AB660" s="61"/>
    </row>
    <row r="661" spans="1:28" ht="18" customHeight="1" x14ac:dyDescent="0.25">
      <c r="A661" s="1141">
        <v>11</v>
      </c>
      <c r="B661" s="1986" t="s">
        <v>2178</v>
      </c>
      <c r="C661" s="1986"/>
      <c r="D661" s="1986"/>
      <c r="E661" s="1986"/>
      <c r="F661" s="1986"/>
      <c r="G661" s="1617" t="s">
        <v>304</v>
      </c>
      <c r="H661" s="1175">
        <v>20</v>
      </c>
      <c r="I661" s="1535">
        <v>1714</v>
      </c>
      <c r="J661" s="1617">
        <f t="shared" si="12"/>
        <v>34280</v>
      </c>
      <c r="L661" s="774"/>
      <c r="M661" s="829"/>
      <c r="N661" s="774"/>
      <c r="O661" s="1593"/>
      <c r="P661" s="1593"/>
      <c r="Q661" s="1733"/>
      <c r="R661" s="1734"/>
      <c r="S661" s="1735"/>
      <c r="T661" s="1736"/>
      <c r="U661" s="61"/>
      <c r="V661" s="61"/>
      <c r="W661" s="61"/>
      <c r="X661" s="61"/>
      <c r="Y661" s="61"/>
      <c r="Z661" s="61"/>
      <c r="AA661" s="61"/>
      <c r="AB661" s="61"/>
    </row>
    <row r="662" spans="1:28" ht="18" customHeight="1" x14ac:dyDescent="0.25">
      <c r="A662" s="1141">
        <v>12</v>
      </c>
      <c r="B662" s="1986" t="s">
        <v>2179</v>
      </c>
      <c r="C662" s="1986"/>
      <c r="D662" s="1986"/>
      <c r="E662" s="1986"/>
      <c r="F662" s="1986"/>
      <c r="G662" s="1617" t="s">
        <v>304</v>
      </c>
      <c r="H662" s="1175">
        <v>2</v>
      </c>
      <c r="I662" s="1535">
        <v>2652</v>
      </c>
      <c r="J662" s="1617">
        <f t="shared" si="12"/>
        <v>5304</v>
      </c>
      <c r="L662" s="774"/>
      <c r="M662" s="829"/>
      <c r="N662" s="774"/>
      <c r="O662" s="1593"/>
      <c r="P662" s="1593"/>
      <c r="Q662" s="1733"/>
      <c r="R662" s="1734"/>
      <c r="S662" s="1735"/>
      <c r="T662" s="1736"/>
      <c r="U662" s="61"/>
      <c r="V662" s="61"/>
      <c r="W662" s="61"/>
      <c r="X662" s="61"/>
      <c r="Y662" s="61"/>
      <c r="Z662" s="61"/>
      <c r="AA662" s="61"/>
      <c r="AB662" s="61"/>
    </row>
    <row r="663" spans="1:28" ht="18" customHeight="1" x14ac:dyDescent="0.25">
      <c r="A663" s="1141">
        <v>13</v>
      </c>
      <c r="B663" s="1986" t="s">
        <v>2180</v>
      </c>
      <c r="C663" s="1986"/>
      <c r="D663" s="1986"/>
      <c r="E663" s="1986"/>
      <c r="F663" s="1986"/>
      <c r="G663" s="1617" t="s">
        <v>304</v>
      </c>
      <c r="H663" s="1175">
        <v>1</v>
      </c>
      <c r="I663" s="1535">
        <v>4390</v>
      </c>
      <c r="J663" s="1617">
        <f t="shared" si="12"/>
        <v>4390</v>
      </c>
      <c r="L663" s="774"/>
      <c r="M663" s="829"/>
      <c r="N663" s="774"/>
      <c r="O663" s="1593"/>
      <c r="P663" s="1593"/>
      <c r="Q663" s="1733"/>
      <c r="R663" s="1734"/>
      <c r="S663" s="1735"/>
      <c r="T663" s="1736"/>
      <c r="U663" s="61"/>
      <c r="V663" s="61"/>
      <c r="W663" s="61"/>
      <c r="X663" s="61"/>
      <c r="Y663" s="61"/>
      <c r="Z663" s="61"/>
      <c r="AA663" s="61"/>
      <c r="AB663" s="61"/>
    </row>
    <row r="664" spans="1:28" ht="18" customHeight="1" x14ac:dyDescent="0.25">
      <c r="A664" s="1141">
        <v>14</v>
      </c>
      <c r="B664" s="1986" t="s">
        <v>2181</v>
      </c>
      <c r="C664" s="1986"/>
      <c r="D664" s="1986"/>
      <c r="E664" s="1986"/>
      <c r="F664" s="1986"/>
      <c r="G664" s="1617" t="s">
        <v>304</v>
      </c>
      <c r="H664" s="1175">
        <v>1</v>
      </c>
      <c r="I664" s="1535">
        <v>4146</v>
      </c>
      <c r="J664" s="1617">
        <f t="shared" si="12"/>
        <v>4146</v>
      </c>
      <c r="L664" s="774"/>
      <c r="M664" s="829"/>
      <c r="N664" s="774"/>
      <c r="O664" s="1593"/>
      <c r="P664" s="1593"/>
      <c r="Q664" s="1733"/>
      <c r="R664" s="1734"/>
      <c r="S664" s="1735"/>
      <c r="T664" s="1736"/>
      <c r="U664" s="61"/>
      <c r="V664" s="61"/>
      <c r="W664" s="61"/>
      <c r="X664" s="61"/>
      <c r="Y664" s="61"/>
      <c r="Z664" s="61"/>
      <c r="AA664" s="61"/>
      <c r="AB664" s="61"/>
    </row>
    <row r="665" spans="1:28" ht="15.75" customHeight="1" x14ac:dyDescent="0.25">
      <c r="A665" s="1141">
        <v>15</v>
      </c>
      <c r="B665" s="1986" t="s">
        <v>2182</v>
      </c>
      <c r="C665" s="1986"/>
      <c r="D665" s="1986"/>
      <c r="E665" s="1986"/>
      <c r="F665" s="1986"/>
      <c r="G665" s="1617" t="s">
        <v>304</v>
      </c>
      <c r="H665" s="1175">
        <v>1</v>
      </c>
      <c r="I665" s="1535">
        <v>150000</v>
      </c>
      <c r="J665" s="1617">
        <f t="shared" si="12"/>
        <v>150000</v>
      </c>
      <c r="L665" s="774"/>
      <c r="M665" s="829"/>
      <c r="N665" s="774"/>
      <c r="O665" s="1593"/>
      <c r="P665" s="1593"/>
      <c r="Q665" s="1733"/>
      <c r="R665" s="1734"/>
      <c r="S665" s="1735"/>
      <c r="T665" s="1736"/>
      <c r="U665" s="61"/>
      <c r="V665" s="61"/>
      <c r="W665" s="61"/>
      <c r="X665" s="61"/>
      <c r="Y665" s="61"/>
      <c r="Z665" s="61"/>
      <c r="AA665" s="61"/>
      <c r="AB665" s="61"/>
    </row>
    <row r="666" spans="1:28" ht="15.75" customHeight="1" x14ac:dyDescent="0.25">
      <c r="A666" s="1141">
        <v>16</v>
      </c>
      <c r="B666" s="1986" t="s">
        <v>2183</v>
      </c>
      <c r="C666" s="1986"/>
      <c r="D666" s="1986"/>
      <c r="E666" s="1986"/>
      <c r="F666" s="1986"/>
      <c r="G666" s="1617" t="s">
        <v>304</v>
      </c>
      <c r="H666" s="1175">
        <v>1</v>
      </c>
      <c r="I666" s="1535">
        <v>180000</v>
      </c>
      <c r="J666" s="1617">
        <f t="shared" si="12"/>
        <v>180000</v>
      </c>
      <c r="L666" s="774"/>
      <c r="M666" s="829"/>
      <c r="N666" s="774"/>
      <c r="O666" s="1593"/>
      <c r="P666" s="1593"/>
      <c r="Q666" s="1733"/>
      <c r="R666" s="1734"/>
      <c r="S666" s="1735"/>
      <c r="T666" s="1736"/>
      <c r="U666" s="61"/>
      <c r="V666" s="61"/>
      <c r="W666" s="61"/>
      <c r="X666" s="61"/>
      <c r="Y666" s="61"/>
      <c r="Z666" s="61"/>
      <c r="AA666" s="61"/>
      <c r="AB666" s="61"/>
    </row>
    <row r="667" spans="1:28" ht="15.75" customHeight="1" x14ac:dyDescent="0.25">
      <c r="A667" s="1141">
        <v>17</v>
      </c>
      <c r="B667" s="1986" t="s">
        <v>2184</v>
      </c>
      <c r="C667" s="1986"/>
      <c r="D667" s="1986"/>
      <c r="E667" s="1986"/>
      <c r="F667" s="1986"/>
      <c r="G667" s="1617" t="s">
        <v>304</v>
      </c>
      <c r="H667" s="1175">
        <v>5</v>
      </c>
      <c r="I667" s="1535">
        <v>1786</v>
      </c>
      <c r="J667" s="1617">
        <f t="shared" si="12"/>
        <v>8930</v>
      </c>
      <c r="L667" s="774"/>
      <c r="M667" s="829"/>
      <c r="N667" s="774"/>
      <c r="O667" s="1593"/>
      <c r="P667" s="1593"/>
      <c r="Q667" s="1733"/>
      <c r="R667" s="1734"/>
      <c r="S667" s="1735"/>
      <c r="T667" s="1736"/>
      <c r="U667" s="61"/>
      <c r="V667" s="61"/>
      <c r="W667" s="61"/>
      <c r="X667" s="61"/>
      <c r="Y667" s="61"/>
      <c r="Z667" s="61"/>
      <c r="AA667" s="61"/>
      <c r="AB667" s="61"/>
    </row>
    <row r="668" spans="1:28" ht="15.75" customHeight="1" x14ac:dyDescent="0.25">
      <c r="A668" s="1141">
        <v>18</v>
      </c>
      <c r="B668" s="1986" t="s">
        <v>2185</v>
      </c>
      <c r="C668" s="1986"/>
      <c r="D668" s="1986"/>
      <c r="E668" s="1986"/>
      <c r="F668" s="1986"/>
      <c r="G668" s="1617" t="s">
        <v>304</v>
      </c>
      <c r="H668" s="1175">
        <v>5</v>
      </c>
      <c r="I668" s="1535">
        <v>1232</v>
      </c>
      <c r="J668" s="1617">
        <f t="shared" si="12"/>
        <v>6160</v>
      </c>
      <c r="L668" s="774"/>
      <c r="M668" s="829"/>
      <c r="N668" s="774"/>
      <c r="O668" s="1593"/>
      <c r="P668" s="1593"/>
      <c r="Q668" s="1733"/>
      <c r="R668" s="1734"/>
      <c r="S668" s="1735"/>
      <c r="T668" s="1736"/>
      <c r="U668" s="61"/>
      <c r="V668" s="61"/>
      <c r="W668" s="61"/>
      <c r="X668" s="61"/>
      <c r="Y668" s="61"/>
      <c r="Z668" s="61"/>
      <c r="AA668" s="61"/>
      <c r="AB668" s="61"/>
    </row>
    <row r="669" spans="1:28" ht="15" customHeight="1" x14ac:dyDescent="0.25">
      <c r="A669" s="1993" t="s">
        <v>39</v>
      </c>
      <c r="B669" s="1993"/>
      <c r="C669" s="1993"/>
      <c r="D669" s="1993"/>
      <c r="E669" s="1993"/>
      <c r="F669" s="1993"/>
      <c r="G669" s="1993"/>
      <c r="H669" s="1192" t="s">
        <v>5</v>
      </c>
      <c r="I669" s="1192" t="s">
        <v>5</v>
      </c>
      <c r="J669" s="1192">
        <f>SUM(J651:J668)</f>
        <v>1028402</v>
      </c>
      <c r="L669" s="774"/>
      <c r="M669" s="1601"/>
      <c r="N669" s="1602"/>
      <c r="O669" s="97"/>
      <c r="P669" s="97"/>
      <c r="Q669" s="1733"/>
      <c r="R669" s="1734"/>
      <c r="S669" s="1735"/>
      <c r="T669" s="1736"/>
      <c r="U669" s="61"/>
      <c r="V669" s="61"/>
      <c r="W669" s="61"/>
      <c r="X669" s="61"/>
      <c r="Y669" s="61"/>
      <c r="Z669" s="61"/>
      <c r="AA669" s="61"/>
      <c r="AB669" s="61"/>
    </row>
    <row r="670" spans="1:28" ht="15" customHeight="1" x14ac:dyDescent="0.25">
      <c r="A670" s="63"/>
      <c r="B670" s="63"/>
      <c r="C670" s="63"/>
      <c r="D670" s="63"/>
      <c r="E670" s="63"/>
      <c r="F670" s="63"/>
      <c r="G670" s="63"/>
      <c r="H670" s="64"/>
      <c r="I670" s="64"/>
      <c r="J670" s="64"/>
      <c r="L670" s="774"/>
      <c r="M670" s="1601"/>
      <c r="N670" s="1602"/>
      <c r="O670" s="97"/>
      <c r="P670" s="97"/>
      <c r="Q670" s="1733"/>
      <c r="R670" s="1734"/>
      <c r="S670" s="1735"/>
      <c r="T670" s="1736"/>
      <c r="U670" s="61"/>
      <c r="V670" s="61"/>
      <c r="W670" s="61"/>
      <c r="X670" s="61"/>
      <c r="Y670" s="61"/>
      <c r="Z670" s="61"/>
      <c r="AA670" s="61"/>
      <c r="AB670" s="61"/>
    </row>
    <row r="671" spans="1:28" ht="15" customHeight="1" x14ac:dyDescent="0.25">
      <c r="A671" s="1644" t="s">
        <v>2215</v>
      </c>
      <c r="L671" s="774"/>
      <c r="M671" s="1601"/>
      <c r="N671" s="1602"/>
      <c r="O671" s="97"/>
      <c r="P671" s="97"/>
      <c r="Q671" s="1733"/>
      <c r="R671" s="1734"/>
      <c r="S671" s="1735"/>
      <c r="T671" s="1736"/>
      <c r="U671" s="61"/>
      <c r="V671" s="61"/>
      <c r="W671" s="61"/>
      <c r="X671" s="61"/>
      <c r="Y671" s="61"/>
      <c r="Z671" s="61"/>
      <c r="AA671" s="61"/>
      <c r="AB671" s="61"/>
    </row>
    <row r="672" spans="1:28" ht="15" customHeight="1" x14ac:dyDescent="0.25">
      <c r="A672" s="1926" t="s">
        <v>8</v>
      </c>
      <c r="B672" s="1926" t="s">
        <v>35</v>
      </c>
      <c r="C672" s="1926"/>
      <c r="D672" s="1926"/>
      <c r="E672" s="1926"/>
      <c r="F672" s="1926"/>
      <c r="G672" s="1926" t="s">
        <v>61</v>
      </c>
      <c r="H672" s="1990" t="s">
        <v>1476</v>
      </c>
      <c r="I672" s="1991"/>
      <c r="J672" s="1992"/>
      <c r="L672" s="774"/>
      <c r="M672" s="1601"/>
      <c r="N672" s="1602"/>
      <c r="O672" s="97"/>
      <c r="P672" s="97"/>
      <c r="Q672" s="1733"/>
      <c r="R672" s="1734"/>
      <c r="S672" s="1735"/>
      <c r="T672" s="1736"/>
      <c r="U672" s="61"/>
      <c r="V672" s="61"/>
      <c r="W672" s="61"/>
      <c r="X672" s="61"/>
      <c r="Y672" s="61"/>
      <c r="Z672" s="61"/>
      <c r="AA672" s="61"/>
      <c r="AB672" s="61"/>
    </row>
    <row r="673" spans="1:28" ht="30" customHeight="1" x14ac:dyDescent="0.25">
      <c r="A673" s="1926"/>
      <c r="B673" s="1926"/>
      <c r="C673" s="1926"/>
      <c r="D673" s="1926"/>
      <c r="E673" s="1926"/>
      <c r="F673" s="1926"/>
      <c r="G673" s="1926"/>
      <c r="H673" s="1598" t="s">
        <v>248</v>
      </c>
      <c r="I673" s="1617" t="s">
        <v>264</v>
      </c>
      <c r="J673" s="1617" t="s">
        <v>256</v>
      </c>
      <c r="L673" s="774"/>
      <c r="M673" s="1601"/>
      <c r="N673" s="1602"/>
      <c r="O673" s="97"/>
      <c r="P673" s="97"/>
      <c r="Q673" s="1733"/>
      <c r="R673" s="1734"/>
      <c r="S673" s="1735"/>
      <c r="T673" s="1736"/>
      <c r="U673" s="61"/>
      <c r="V673" s="61"/>
      <c r="W673" s="61"/>
      <c r="X673" s="61"/>
      <c r="Y673" s="61"/>
      <c r="Z673" s="61"/>
      <c r="AA673" s="61"/>
      <c r="AB673" s="61"/>
    </row>
    <row r="674" spans="1:28" ht="15" customHeight="1" x14ac:dyDescent="0.25">
      <c r="A674" s="1995" t="s">
        <v>2227</v>
      </c>
      <c r="B674" s="1996"/>
      <c r="C674" s="1996"/>
      <c r="D674" s="1996"/>
      <c r="E674" s="1996"/>
      <c r="F674" s="1996"/>
      <c r="G674" s="1996"/>
      <c r="H674" s="1996"/>
      <c r="I674" s="1997"/>
      <c r="J674" s="1738"/>
      <c r="L674" s="774"/>
      <c r="M674" s="1601"/>
      <c r="N674" s="1602"/>
      <c r="O674" s="97"/>
      <c r="P674" s="97"/>
      <c r="Q674" s="1733"/>
      <c r="R674" s="1734"/>
      <c r="S674" s="1735"/>
      <c r="T674" s="1736"/>
      <c r="U674" s="61"/>
      <c r="V674" s="61"/>
      <c r="W674" s="61"/>
      <c r="X674" s="61"/>
      <c r="Y674" s="61"/>
      <c r="Z674" s="61"/>
      <c r="AA674" s="61"/>
      <c r="AB674" s="61"/>
    </row>
    <row r="675" spans="1:28" x14ac:dyDescent="0.25">
      <c r="A675" s="1605">
        <v>1</v>
      </c>
      <c r="B675" s="1986" t="s">
        <v>2203</v>
      </c>
      <c r="C675" s="1986"/>
      <c r="D675" s="1986"/>
      <c r="E675" s="1986"/>
      <c r="F675" s="1986"/>
      <c r="G675" s="1617" t="s">
        <v>304</v>
      </c>
      <c r="H675" s="1175">
        <v>6</v>
      </c>
      <c r="I675" s="1535">
        <v>10200</v>
      </c>
      <c r="J675" s="1617">
        <f>H675*I675</f>
        <v>61200</v>
      </c>
      <c r="L675" s="774"/>
      <c r="M675" s="1601"/>
      <c r="N675" s="1602"/>
      <c r="O675" s="97"/>
      <c r="P675" s="97"/>
      <c r="Q675" s="1733"/>
      <c r="R675" s="1734"/>
      <c r="S675" s="1735"/>
      <c r="T675" s="1736"/>
      <c r="U675" s="61"/>
      <c r="V675" s="61"/>
      <c r="W675" s="61"/>
      <c r="X675" s="61"/>
      <c r="Y675" s="61"/>
      <c r="Z675" s="61"/>
      <c r="AA675" s="61"/>
      <c r="AB675" s="61"/>
    </row>
    <row r="676" spans="1:28" x14ac:dyDescent="0.25">
      <c r="A676" s="1605">
        <v>2</v>
      </c>
      <c r="B676" s="1986" t="s">
        <v>2204</v>
      </c>
      <c r="C676" s="1986"/>
      <c r="D676" s="1986"/>
      <c r="E676" s="1986"/>
      <c r="F676" s="1986"/>
      <c r="G676" s="1617" t="s">
        <v>304</v>
      </c>
      <c r="H676" s="1175">
        <v>1</v>
      </c>
      <c r="I676" s="1535">
        <v>38400</v>
      </c>
      <c r="J676" s="1617">
        <f t="shared" ref="J676:J685" si="13">H676*I676</f>
        <v>38400</v>
      </c>
      <c r="L676" s="774"/>
      <c r="M676" s="1601"/>
      <c r="N676" s="1602"/>
      <c r="O676" s="97"/>
      <c r="P676" s="97"/>
      <c r="Q676" s="1733"/>
      <c r="R676" s="1734"/>
      <c r="S676" s="1735"/>
      <c r="T676" s="1736"/>
      <c r="U676" s="61"/>
      <c r="V676" s="61"/>
      <c r="W676" s="61"/>
      <c r="X676" s="61"/>
      <c r="Y676" s="61"/>
      <c r="Z676" s="61"/>
      <c r="AA676" s="61"/>
      <c r="AB676" s="61"/>
    </row>
    <row r="677" spans="1:28" x14ac:dyDescent="0.25">
      <c r="A677" s="1605">
        <v>3</v>
      </c>
      <c r="B677" s="1986" t="s">
        <v>2205</v>
      </c>
      <c r="C677" s="1986"/>
      <c r="D677" s="1986"/>
      <c r="E677" s="1986"/>
      <c r="F677" s="1986"/>
      <c r="G677" s="1617" t="s">
        <v>304</v>
      </c>
      <c r="H677" s="1175">
        <v>2</v>
      </c>
      <c r="I677" s="1535">
        <v>25200</v>
      </c>
      <c r="J677" s="1617">
        <f t="shared" si="13"/>
        <v>50400</v>
      </c>
      <c r="L677" s="774"/>
      <c r="M677" s="1601"/>
      <c r="N677" s="1602"/>
      <c r="O677" s="97"/>
      <c r="P677" s="97"/>
      <c r="Q677" s="1733"/>
      <c r="R677" s="1734"/>
      <c r="S677" s="1735"/>
      <c r="T677" s="1736"/>
      <c r="U677" s="61"/>
      <c r="V677" s="61"/>
      <c r="W677" s="61"/>
      <c r="X677" s="61"/>
      <c r="Y677" s="61"/>
      <c r="Z677" s="61"/>
      <c r="AA677" s="61"/>
      <c r="AB677" s="61"/>
    </row>
    <row r="678" spans="1:28" x14ac:dyDescent="0.25">
      <c r="A678" s="1605">
        <v>4</v>
      </c>
      <c r="B678" s="1986" t="s">
        <v>2206</v>
      </c>
      <c r="C678" s="1986"/>
      <c r="D678" s="1986"/>
      <c r="E678" s="1986"/>
      <c r="F678" s="1986"/>
      <c r="G678" s="1617" t="s">
        <v>304</v>
      </c>
      <c r="H678" s="1175">
        <v>1</v>
      </c>
      <c r="I678" s="1535">
        <v>9800</v>
      </c>
      <c r="J678" s="1617">
        <f t="shared" si="13"/>
        <v>9800</v>
      </c>
      <c r="L678" s="774"/>
      <c r="M678" s="1601"/>
      <c r="N678" s="1602"/>
      <c r="O678" s="97"/>
      <c r="P678" s="97"/>
      <c r="Q678" s="1733"/>
      <c r="R678" s="1734"/>
      <c r="S678" s="1735"/>
      <c r="T678" s="1736"/>
      <c r="U678" s="61"/>
      <c r="V678" s="61"/>
      <c r="W678" s="61"/>
      <c r="X678" s="61"/>
      <c r="Y678" s="61"/>
      <c r="Z678" s="61"/>
      <c r="AA678" s="61"/>
      <c r="AB678" s="61"/>
    </row>
    <row r="679" spans="1:28" x14ac:dyDescent="0.25">
      <c r="A679" s="1605">
        <v>5</v>
      </c>
      <c r="B679" s="1986" t="s">
        <v>2207</v>
      </c>
      <c r="C679" s="1986"/>
      <c r="D679" s="1986"/>
      <c r="E679" s="1986"/>
      <c r="F679" s="1986"/>
      <c r="G679" s="1617" t="s">
        <v>304</v>
      </c>
      <c r="H679" s="1175">
        <v>5</v>
      </c>
      <c r="I679" s="1535">
        <v>2100</v>
      </c>
      <c r="J679" s="1617">
        <f t="shared" si="13"/>
        <v>10500</v>
      </c>
      <c r="L679" s="774"/>
      <c r="M679" s="1601"/>
      <c r="N679" s="1602"/>
      <c r="O679" s="97"/>
      <c r="P679" s="97"/>
      <c r="Q679" s="1733"/>
      <c r="R679" s="1734"/>
      <c r="S679" s="1735"/>
      <c r="T679" s="1736"/>
      <c r="U679" s="61"/>
      <c r="V679" s="61"/>
      <c r="W679" s="61"/>
      <c r="X679" s="61"/>
      <c r="Y679" s="61"/>
      <c r="Z679" s="61"/>
      <c r="AA679" s="61"/>
      <c r="AB679" s="61"/>
    </row>
    <row r="680" spans="1:28" x14ac:dyDescent="0.25">
      <c r="A680" s="1605">
        <v>6</v>
      </c>
      <c r="B680" s="1986" t="s">
        <v>2208</v>
      </c>
      <c r="C680" s="1986"/>
      <c r="D680" s="1986"/>
      <c r="E680" s="1986"/>
      <c r="F680" s="1986"/>
      <c r="G680" s="1617" t="s">
        <v>304</v>
      </c>
      <c r="H680" s="1175">
        <v>15</v>
      </c>
      <c r="I680" s="1535">
        <v>655</v>
      </c>
      <c r="J680" s="1617">
        <f t="shared" si="13"/>
        <v>9825</v>
      </c>
      <c r="L680" s="774"/>
      <c r="M680" s="1601"/>
      <c r="N680" s="1602"/>
      <c r="O680" s="97"/>
      <c r="P680" s="97"/>
      <c r="Q680" s="1733"/>
      <c r="R680" s="1734"/>
      <c r="S680" s="1735"/>
      <c r="T680" s="1736"/>
      <c r="U680" s="61"/>
      <c r="V680" s="61"/>
      <c r="W680" s="61"/>
      <c r="X680" s="61"/>
      <c r="Y680" s="61"/>
      <c r="Z680" s="61"/>
      <c r="AA680" s="61"/>
      <c r="AB680" s="61"/>
    </row>
    <row r="681" spans="1:28" x14ac:dyDescent="0.25">
      <c r="A681" s="1605">
        <v>7</v>
      </c>
      <c r="B681" s="1986" t="s">
        <v>2209</v>
      </c>
      <c r="C681" s="1986"/>
      <c r="D681" s="1986"/>
      <c r="E681" s="1986"/>
      <c r="F681" s="1986"/>
      <c r="G681" s="1617" t="s">
        <v>304</v>
      </c>
      <c r="H681" s="1175">
        <v>12</v>
      </c>
      <c r="I681" s="1535">
        <v>1900</v>
      </c>
      <c r="J681" s="1617">
        <f t="shared" si="13"/>
        <v>22800</v>
      </c>
      <c r="L681" s="774"/>
      <c r="M681" s="1601"/>
      <c r="N681" s="1602"/>
      <c r="O681" s="97"/>
      <c r="P681" s="97"/>
      <c r="Q681" s="1733"/>
      <c r="R681" s="1734"/>
      <c r="S681" s="1735"/>
      <c r="T681" s="1736"/>
      <c r="U681" s="61"/>
      <c r="V681" s="61"/>
      <c r="W681" s="61"/>
      <c r="X681" s="61"/>
      <c r="Y681" s="61"/>
      <c r="Z681" s="61"/>
      <c r="AA681" s="61"/>
      <c r="AB681" s="61"/>
    </row>
    <row r="682" spans="1:28" x14ac:dyDescent="0.25">
      <c r="A682" s="1605">
        <v>8</v>
      </c>
      <c r="B682" s="1986" t="s">
        <v>2210</v>
      </c>
      <c r="C682" s="1986"/>
      <c r="D682" s="1986"/>
      <c r="E682" s="1986"/>
      <c r="F682" s="1986"/>
      <c r="G682" s="1617" t="s">
        <v>304</v>
      </c>
      <c r="H682" s="1175">
        <v>5</v>
      </c>
      <c r="I682" s="1535">
        <v>2100</v>
      </c>
      <c r="J682" s="1617">
        <f t="shared" si="13"/>
        <v>10500</v>
      </c>
      <c r="L682" s="774"/>
      <c r="M682" s="1601"/>
      <c r="N682" s="1602"/>
      <c r="O682" s="97"/>
      <c r="P682" s="97"/>
      <c r="Q682" s="1733"/>
      <c r="R682" s="1734"/>
      <c r="S682" s="1735"/>
      <c r="T682" s="1736"/>
      <c r="U682" s="61"/>
      <c r="V682" s="61"/>
      <c r="W682" s="61"/>
      <c r="X682" s="61"/>
      <c r="Y682" s="61"/>
      <c r="Z682" s="61"/>
      <c r="AA682" s="61"/>
      <c r="AB682" s="61"/>
    </row>
    <row r="683" spans="1:28" x14ac:dyDescent="0.25">
      <c r="A683" s="1605">
        <v>9</v>
      </c>
      <c r="B683" s="1986" t="s">
        <v>2211</v>
      </c>
      <c r="C683" s="1986"/>
      <c r="D683" s="1986"/>
      <c r="E683" s="1986"/>
      <c r="F683" s="1986"/>
      <c r="G683" s="1617" t="s">
        <v>304</v>
      </c>
      <c r="H683" s="1175">
        <v>1</v>
      </c>
      <c r="I683" s="1535">
        <v>18600</v>
      </c>
      <c r="J683" s="1617">
        <f t="shared" si="13"/>
        <v>18600</v>
      </c>
      <c r="L683" s="774"/>
      <c r="M683" s="1601"/>
      <c r="N683" s="1602"/>
      <c r="O683" s="97"/>
      <c r="P683" s="97"/>
      <c r="Q683" s="1733"/>
      <c r="R683" s="1734"/>
      <c r="S683" s="1735"/>
      <c r="T683" s="1736"/>
      <c r="U683" s="61"/>
      <c r="V683" s="61"/>
      <c r="W683" s="61"/>
      <c r="X683" s="61"/>
      <c r="Y683" s="61"/>
      <c r="Z683" s="61"/>
      <c r="AA683" s="61"/>
      <c r="AB683" s="61"/>
    </row>
    <row r="684" spans="1:28" x14ac:dyDescent="0.25">
      <c r="A684" s="1605">
        <v>10</v>
      </c>
      <c r="B684" s="1986" t="s">
        <v>2212</v>
      </c>
      <c r="C684" s="1986"/>
      <c r="D684" s="1986"/>
      <c r="E684" s="1986"/>
      <c r="F684" s="1986"/>
      <c r="G684" s="1617" t="s">
        <v>304</v>
      </c>
      <c r="H684" s="1175">
        <v>1</v>
      </c>
      <c r="I684" s="1535">
        <v>4400</v>
      </c>
      <c r="J684" s="1617">
        <f t="shared" si="13"/>
        <v>4400</v>
      </c>
      <c r="L684" s="774"/>
      <c r="M684" s="1601"/>
      <c r="N684" s="1602"/>
      <c r="O684" s="97"/>
      <c r="P684" s="97"/>
      <c r="Q684" s="1733"/>
      <c r="R684" s="1734"/>
      <c r="S684" s="1735"/>
      <c r="T684" s="1736"/>
      <c r="U684" s="61"/>
      <c r="V684" s="61"/>
      <c r="W684" s="61"/>
      <c r="X684" s="61"/>
      <c r="Y684" s="61"/>
      <c r="Z684" s="61"/>
      <c r="AA684" s="61"/>
      <c r="AB684" s="61"/>
    </row>
    <row r="685" spans="1:28" x14ac:dyDescent="0.25">
      <c r="A685" s="1605">
        <v>11</v>
      </c>
      <c r="B685" s="1986" t="s">
        <v>2213</v>
      </c>
      <c r="C685" s="1986"/>
      <c r="D685" s="1986"/>
      <c r="E685" s="1986"/>
      <c r="F685" s="1986"/>
      <c r="G685" s="1617" t="s">
        <v>304</v>
      </c>
      <c r="H685" s="1175">
        <v>1</v>
      </c>
      <c r="I685" s="1535">
        <v>3300</v>
      </c>
      <c r="J685" s="1617">
        <f t="shared" si="13"/>
        <v>3300</v>
      </c>
      <c r="L685" s="774"/>
      <c r="M685" s="1601"/>
      <c r="N685" s="1602"/>
      <c r="O685" s="97"/>
      <c r="P685" s="97"/>
      <c r="Q685" s="1733"/>
      <c r="R685" s="1734"/>
      <c r="S685" s="1735"/>
      <c r="T685" s="1736"/>
      <c r="U685" s="61"/>
      <c r="V685" s="61"/>
      <c r="W685" s="61"/>
      <c r="X685" s="61"/>
      <c r="Y685" s="61"/>
      <c r="Z685" s="61"/>
      <c r="AA685" s="61"/>
      <c r="AB685" s="61"/>
    </row>
    <row r="686" spans="1:28" ht="15" customHeight="1" x14ac:dyDescent="0.25">
      <c r="A686" s="1993" t="s">
        <v>39</v>
      </c>
      <c r="B686" s="1993"/>
      <c r="C686" s="1993"/>
      <c r="D686" s="1993"/>
      <c r="E686" s="1993"/>
      <c r="F686" s="1993"/>
      <c r="G686" s="1993"/>
      <c r="H686" s="1192" t="s">
        <v>5</v>
      </c>
      <c r="I686" s="1192" t="s">
        <v>5</v>
      </c>
      <c r="J686" s="1192">
        <f>SUM(J675:J685)</f>
        <v>239725</v>
      </c>
      <c r="L686" s="774"/>
      <c r="M686" s="1601"/>
      <c r="N686" s="1602"/>
      <c r="O686" s="97"/>
      <c r="P686" s="97"/>
      <c r="Q686" s="1733"/>
      <c r="R686" s="1734"/>
      <c r="S686" s="1735"/>
      <c r="T686" s="1736"/>
      <c r="U686" s="61"/>
      <c r="V686" s="61"/>
      <c r="W686" s="61"/>
      <c r="X686" s="61"/>
      <c r="Y686" s="61"/>
      <c r="Z686" s="61"/>
      <c r="AA686" s="61"/>
      <c r="AB686" s="61"/>
    </row>
    <row r="687" spans="1:28" ht="15" customHeight="1" x14ac:dyDescent="0.25">
      <c r="A687" s="63"/>
      <c r="B687" s="63"/>
      <c r="C687" s="63"/>
      <c r="D687" s="63"/>
      <c r="E687" s="63"/>
      <c r="F687" s="63"/>
      <c r="G687" s="63"/>
      <c r="H687" s="64"/>
      <c r="I687" s="64"/>
      <c r="J687" s="64"/>
      <c r="L687" s="774"/>
      <c r="M687" s="1601"/>
      <c r="N687" s="1602"/>
      <c r="O687" s="97"/>
      <c r="P687" s="97"/>
      <c r="Q687" s="1733"/>
      <c r="R687" s="1734"/>
      <c r="S687" s="1735"/>
      <c r="T687" s="1736"/>
      <c r="U687" s="61"/>
      <c r="V687" s="61"/>
      <c r="W687" s="61"/>
      <c r="X687" s="61"/>
      <c r="Y687" s="61"/>
      <c r="Z687" s="61"/>
      <c r="AA687" s="61"/>
      <c r="AB687" s="61"/>
    </row>
    <row r="688" spans="1:28" ht="15" customHeight="1" x14ac:dyDescent="0.25">
      <c r="A688" s="1644" t="s">
        <v>2215</v>
      </c>
      <c r="L688" s="774"/>
      <c r="M688" s="1601"/>
      <c r="N688" s="1602"/>
      <c r="O688" s="97"/>
      <c r="P688" s="97"/>
      <c r="Q688" s="1733"/>
      <c r="R688" s="1734"/>
      <c r="S688" s="1735"/>
      <c r="T688" s="1736"/>
      <c r="U688" s="61"/>
      <c r="V688" s="61"/>
      <c r="W688" s="61"/>
      <c r="X688" s="61"/>
      <c r="Y688" s="61"/>
      <c r="Z688" s="61"/>
      <c r="AA688" s="61"/>
      <c r="AB688" s="61"/>
    </row>
    <row r="689" spans="1:28" ht="15" customHeight="1" x14ac:dyDescent="0.25">
      <c r="A689" s="1926" t="s">
        <v>8</v>
      </c>
      <c r="B689" s="1926" t="s">
        <v>35</v>
      </c>
      <c r="C689" s="1926"/>
      <c r="D689" s="1926"/>
      <c r="E689" s="1926"/>
      <c r="F689" s="1926"/>
      <c r="G689" s="1926" t="s">
        <v>61</v>
      </c>
      <c r="H689" s="1990" t="s">
        <v>1476</v>
      </c>
      <c r="I689" s="1991"/>
      <c r="J689" s="1992"/>
      <c r="L689" s="774"/>
      <c r="M689" s="1601"/>
      <c r="N689" s="1602"/>
      <c r="O689" s="97"/>
      <c r="P689" s="97"/>
      <c r="Q689" s="1733"/>
      <c r="R689" s="1734"/>
      <c r="S689" s="1735"/>
      <c r="T689" s="1736"/>
      <c r="U689" s="61"/>
      <c r="V689" s="61"/>
      <c r="W689" s="61"/>
      <c r="X689" s="61"/>
      <c r="Y689" s="61"/>
      <c r="Z689" s="61"/>
      <c r="AA689" s="61"/>
      <c r="AB689" s="61"/>
    </row>
    <row r="690" spans="1:28" ht="32.25" customHeight="1" x14ac:dyDescent="0.25">
      <c r="A690" s="1926"/>
      <c r="B690" s="1926"/>
      <c r="C690" s="1926"/>
      <c r="D690" s="1926"/>
      <c r="E690" s="1926"/>
      <c r="F690" s="1926"/>
      <c r="G690" s="1926"/>
      <c r="H690" s="1598" t="s">
        <v>248</v>
      </c>
      <c r="I690" s="1617" t="s">
        <v>264</v>
      </c>
      <c r="J690" s="1617" t="s">
        <v>256</v>
      </c>
      <c r="L690" s="774"/>
      <c r="M690" s="1601"/>
      <c r="N690" s="1602"/>
      <c r="O690" s="97"/>
      <c r="P690" s="97"/>
      <c r="Q690" s="1733"/>
      <c r="R690" s="1734"/>
      <c r="S690" s="1735"/>
      <c r="T690" s="1736"/>
      <c r="U690" s="61"/>
      <c r="V690" s="61"/>
      <c r="W690" s="61"/>
      <c r="X690" s="61"/>
      <c r="Y690" s="61"/>
      <c r="Z690" s="61"/>
      <c r="AA690" s="61"/>
      <c r="AB690" s="61"/>
    </row>
    <row r="691" spans="1:28" ht="15" customHeight="1" x14ac:dyDescent="0.25">
      <c r="A691" s="1995" t="s">
        <v>2230</v>
      </c>
      <c r="B691" s="1996"/>
      <c r="C691" s="1996"/>
      <c r="D691" s="1996"/>
      <c r="E691" s="1996"/>
      <c r="F691" s="1996"/>
      <c r="G691" s="1996"/>
      <c r="H691" s="1996"/>
      <c r="I691" s="1997"/>
      <c r="J691" s="1738"/>
      <c r="L691" s="774"/>
      <c r="M691" s="1601"/>
      <c r="N691" s="1602"/>
      <c r="O691" s="97"/>
      <c r="P691" s="97"/>
      <c r="Q691" s="1733"/>
      <c r="R691" s="1734"/>
      <c r="S691" s="1735"/>
      <c r="T691" s="1736"/>
      <c r="U691" s="61"/>
      <c r="V691" s="61"/>
      <c r="W691" s="61"/>
      <c r="X691" s="61"/>
      <c r="Y691" s="61"/>
      <c r="Z691" s="61"/>
      <c r="AA691" s="61"/>
      <c r="AB691" s="61"/>
    </row>
    <row r="692" spans="1:28" ht="15" customHeight="1" x14ac:dyDescent="0.25">
      <c r="A692" s="1605">
        <v>1</v>
      </c>
      <c r="B692" s="1986" t="s">
        <v>2188</v>
      </c>
      <c r="C692" s="1986" t="s">
        <v>2188</v>
      </c>
      <c r="D692" s="1986" t="s">
        <v>2188</v>
      </c>
      <c r="E692" s="1986" t="s">
        <v>2188</v>
      </c>
      <c r="F692" s="1986" t="s">
        <v>2188</v>
      </c>
      <c r="G692" s="1617" t="s">
        <v>304</v>
      </c>
      <c r="H692" s="1611">
        <v>2</v>
      </c>
      <c r="I692" s="1363">
        <v>3695</v>
      </c>
      <c r="J692" s="1617">
        <f>H692*I692</f>
        <v>7390</v>
      </c>
      <c r="L692" s="774"/>
      <c r="M692" s="1601"/>
      <c r="N692" s="1602"/>
      <c r="O692" s="97"/>
      <c r="P692" s="97"/>
      <c r="Q692" s="1733"/>
      <c r="R692" s="1734"/>
      <c r="S692" s="1735"/>
      <c r="T692" s="1736"/>
      <c r="U692" s="61"/>
      <c r="V692" s="61"/>
      <c r="W692" s="61"/>
      <c r="X692" s="61"/>
      <c r="Y692" s="61"/>
      <c r="Z692" s="61"/>
      <c r="AA692" s="61"/>
      <c r="AB692" s="61"/>
    </row>
    <row r="693" spans="1:28" ht="15" customHeight="1" x14ac:dyDescent="0.25">
      <c r="A693" s="1605">
        <v>2</v>
      </c>
      <c r="B693" s="1986" t="s">
        <v>2189</v>
      </c>
      <c r="C693" s="1986" t="s">
        <v>2189</v>
      </c>
      <c r="D693" s="1986" t="s">
        <v>2189</v>
      </c>
      <c r="E693" s="1986" t="s">
        <v>2189</v>
      </c>
      <c r="F693" s="1986" t="s">
        <v>2189</v>
      </c>
      <c r="G693" s="1617" t="s">
        <v>304</v>
      </c>
      <c r="H693" s="1611">
        <v>2</v>
      </c>
      <c r="I693" s="1363">
        <v>8400</v>
      </c>
      <c r="J693" s="1617">
        <f t="shared" ref="J693:J712" si="14">H693*I693</f>
        <v>16800</v>
      </c>
      <c r="L693" s="774"/>
      <c r="M693" s="1601"/>
      <c r="N693" s="1602"/>
      <c r="O693" s="97"/>
      <c r="P693" s="97"/>
      <c r="Q693" s="1733"/>
      <c r="R693" s="1734"/>
      <c r="S693" s="1735"/>
      <c r="T693" s="1736"/>
      <c r="U693" s="61"/>
      <c r="V693" s="61"/>
      <c r="W693" s="61"/>
      <c r="X693" s="61"/>
      <c r="Y693" s="61"/>
      <c r="Z693" s="61"/>
      <c r="AA693" s="61"/>
      <c r="AB693" s="61"/>
    </row>
    <row r="694" spans="1:28" ht="30" customHeight="1" x14ac:dyDescent="0.25">
      <c r="A694" s="1605">
        <v>3</v>
      </c>
      <c r="B694" s="1986" t="s">
        <v>2190</v>
      </c>
      <c r="C694" s="1986" t="s">
        <v>2190</v>
      </c>
      <c r="D694" s="1986" t="s">
        <v>2190</v>
      </c>
      <c r="E694" s="1986" t="s">
        <v>2190</v>
      </c>
      <c r="F694" s="1986" t="s">
        <v>2190</v>
      </c>
      <c r="G694" s="1617" t="s">
        <v>304</v>
      </c>
      <c r="H694" s="1611">
        <v>1</v>
      </c>
      <c r="I694" s="1363">
        <v>3350</v>
      </c>
      <c r="J694" s="1617">
        <f t="shared" si="14"/>
        <v>3350</v>
      </c>
      <c r="L694" s="774"/>
      <c r="M694" s="1601"/>
      <c r="N694" s="1602"/>
      <c r="O694" s="97"/>
      <c r="P694" s="97"/>
      <c r="Q694" s="1733"/>
      <c r="R694" s="1734"/>
      <c r="S694" s="1735"/>
      <c r="T694" s="1736"/>
      <c r="U694" s="61"/>
      <c r="V694" s="61"/>
      <c r="W694" s="61"/>
      <c r="X694" s="61"/>
      <c r="Y694" s="61"/>
      <c r="Z694" s="61"/>
      <c r="AA694" s="61"/>
      <c r="AB694" s="61"/>
    </row>
    <row r="695" spans="1:28" ht="30.75" customHeight="1" x14ac:dyDescent="0.25">
      <c r="A695" s="1605">
        <v>4</v>
      </c>
      <c r="B695" s="1986" t="s">
        <v>2191</v>
      </c>
      <c r="C695" s="1986" t="s">
        <v>2191</v>
      </c>
      <c r="D695" s="1986" t="s">
        <v>2191</v>
      </c>
      <c r="E695" s="1986" t="s">
        <v>2191</v>
      </c>
      <c r="F695" s="1986" t="s">
        <v>2191</v>
      </c>
      <c r="G695" s="1617" t="s">
        <v>304</v>
      </c>
      <c r="H695" s="1611">
        <v>1</v>
      </c>
      <c r="I695" s="1363">
        <v>3950</v>
      </c>
      <c r="J695" s="1617">
        <f t="shared" si="14"/>
        <v>3950</v>
      </c>
      <c r="L695" s="774"/>
      <c r="M695" s="1601"/>
      <c r="N695" s="1602"/>
      <c r="O695" s="97"/>
      <c r="P695" s="97"/>
      <c r="Q695" s="1733"/>
      <c r="R695" s="1734"/>
      <c r="S695" s="1735"/>
      <c r="T695" s="1736"/>
      <c r="U695" s="61"/>
      <c r="V695" s="61"/>
      <c r="W695" s="61"/>
      <c r="X695" s="61"/>
      <c r="Y695" s="61"/>
      <c r="Z695" s="61"/>
      <c r="AA695" s="61"/>
      <c r="AB695" s="61"/>
    </row>
    <row r="696" spans="1:28" ht="15" customHeight="1" x14ac:dyDescent="0.25">
      <c r="A696" s="1605">
        <v>5</v>
      </c>
      <c r="B696" s="1986" t="s">
        <v>2234</v>
      </c>
      <c r="C696" s="1986"/>
      <c r="D696" s="1986"/>
      <c r="E696" s="1986"/>
      <c r="F696" s="1986"/>
      <c r="G696" s="1617" t="s">
        <v>304</v>
      </c>
      <c r="H696" s="1611">
        <v>1</v>
      </c>
      <c r="I696" s="1363">
        <v>95000</v>
      </c>
      <c r="J696" s="1617">
        <f t="shared" si="14"/>
        <v>95000</v>
      </c>
      <c r="L696" s="774"/>
      <c r="M696" s="1601"/>
      <c r="N696" s="1602"/>
      <c r="O696" s="97"/>
      <c r="P696" s="97"/>
      <c r="Q696" s="1733"/>
      <c r="R696" s="1734"/>
      <c r="S696" s="1735"/>
      <c r="T696" s="1736"/>
      <c r="U696" s="61"/>
      <c r="V696" s="61"/>
      <c r="W696" s="61"/>
      <c r="X696" s="61"/>
      <c r="Y696" s="61"/>
      <c r="Z696" s="61"/>
      <c r="AA696" s="61"/>
      <c r="AB696" s="61"/>
    </row>
    <row r="697" spans="1:28" ht="15" customHeight="1" x14ac:dyDescent="0.25">
      <c r="A697" s="1605">
        <v>6</v>
      </c>
      <c r="B697" s="1986" t="s">
        <v>2195</v>
      </c>
      <c r="C697" s="1986" t="s">
        <v>2195</v>
      </c>
      <c r="D697" s="1986" t="s">
        <v>2195</v>
      </c>
      <c r="E697" s="1986" t="s">
        <v>2195</v>
      </c>
      <c r="F697" s="1986" t="s">
        <v>2195</v>
      </c>
      <c r="G697" s="1617" t="s">
        <v>304</v>
      </c>
      <c r="H697" s="1611">
        <v>3</v>
      </c>
      <c r="I697" s="1363">
        <v>4100</v>
      </c>
      <c r="J697" s="1617">
        <f t="shared" si="14"/>
        <v>12300</v>
      </c>
      <c r="L697" s="774"/>
      <c r="M697" s="1601"/>
      <c r="N697" s="1602"/>
      <c r="O697" s="97"/>
      <c r="P697" s="97"/>
      <c r="Q697" s="1733"/>
      <c r="R697" s="1734"/>
      <c r="S697" s="1735"/>
      <c r="T697" s="1736"/>
      <c r="U697" s="61"/>
      <c r="V697" s="61"/>
      <c r="W697" s="61"/>
      <c r="X697" s="61"/>
      <c r="Y697" s="61"/>
      <c r="Z697" s="61"/>
      <c r="AA697" s="61"/>
      <c r="AB697" s="61"/>
    </row>
    <row r="698" spans="1:28" ht="15" customHeight="1" x14ac:dyDescent="0.25">
      <c r="A698" s="1605">
        <v>7</v>
      </c>
      <c r="B698" s="1986" t="s">
        <v>2235</v>
      </c>
      <c r="C698" s="1986" t="s">
        <v>2196</v>
      </c>
      <c r="D698" s="1986" t="s">
        <v>2196</v>
      </c>
      <c r="E698" s="1986" t="s">
        <v>2196</v>
      </c>
      <c r="F698" s="1986" t="s">
        <v>2196</v>
      </c>
      <c r="G698" s="1617" t="s">
        <v>304</v>
      </c>
      <c r="H698" s="1611">
        <v>3</v>
      </c>
      <c r="I698" s="1363">
        <v>12500</v>
      </c>
      <c r="J698" s="1617">
        <f t="shared" si="14"/>
        <v>37500</v>
      </c>
      <c r="L698" s="774"/>
      <c r="M698" s="1601"/>
      <c r="N698" s="1602"/>
      <c r="O698" s="97"/>
      <c r="P698" s="97"/>
      <c r="Q698" s="1733"/>
      <c r="R698" s="1734"/>
      <c r="S698" s="1735"/>
      <c r="T698" s="1736"/>
      <c r="U698" s="61"/>
      <c r="V698" s="61"/>
      <c r="W698" s="61"/>
      <c r="X698" s="61"/>
      <c r="Y698" s="61"/>
      <c r="Z698" s="61"/>
      <c r="AA698" s="61"/>
      <c r="AB698" s="61"/>
    </row>
    <row r="699" spans="1:28" ht="15" customHeight="1" x14ac:dyDescent="0.25">
      <c r="A699" s="1605">
        <v>8</v>
      </c>
      <c r="B699" s="1986" t="s">
        <v>2236</v>
      </c>
      <c r="C699" s="1986" t="s">
        <v>2197</v>
      </c>
      <c r="D699" s="1986" t="s">
        <v>2197</v>
      </c>
      <c r="E699" s="1986" t="s">
        <v>2197</v>
      </c>
      <c r="F699" s="1986" t="s">
        <v>2197</v>
      </c>
      <c r="G699" s="1617" t="s">
        <v>304</v>
      </c>
      <c r="H699" s="1611">
        <v>1</v>
      </c>
      <c r="I699" s="1363">
        <v>30000</v>
      </c>
      <c r="J699" s="1617">
        <f t="shared" si="14"/>
        <v>30000</v>
      </c>
      <c r="L699" s="774"/>
      <c r="M699" s="1601"/>
      <c r="N699" s="1602"/>
      <c r="O699" s="97"/>
      <c r="P699" s="97"/>
      <c r="Q699" s="1733"/>
      <c r="R699" s="1734"/>
      <c r="S699" s="1735"/>
      <c r="T699" s="1736"/>
      <c r="U699" s="61"/>
      <c r="V699" s="61"/>
      <c r="W699" s="61"/>
      <c r="X699" s="61"/>
      <c r="Y699" s="61"/>
      <c r="Z699" s="61"/>
      <c r="AA699" s="61"/>
      <c r="AB699" s="61"/>
    </row>
    <row r="700" spans="1:28" ht="30" customHeight="1" x14ac:dyDescent="0.25">
      <c r="A700" s="1605">
        <v>9</v>
      </c>
      <c r="B700" s="1986" t="s">
        <v>2198</v>
      </c>
      <c r="C700" s="1986" t="s">
        <v>2198</v>
      </c>
      <c r="D700" s="1986" t="s">
        <v>2198</v>
      </c>
      <c r="E700" s="1986" t="s">
        <v>2198</v>
      </c>
      <c r="F700" s="1986" t="s">
        <v>2198</v>
      </c>
      <c r="G700" s="1617" t="s">
        <v>304</v>
      </c>
      <c r="H700" s="1611">
        <v>1</v>
      </c>
      <c r="I700" s="1363">
        <v>150000</v>
      </c>
      <c r="J700" s="1617">
        <f t="shared" si="14"/>
        <v>150000</v>
      </c>
      <c r="L700" s="774"/>
      <c r="M700" s="1601"/>
      <c r="N700" s="1602"/>
      <c r="O700" s="97"/>
      <c r="P700" s="97"/>
      <c r="Q700" s="1733"/>
      <c r="R700" s="1734"/>
      <c r="S700" s="1735"/>
      <c r="T700" s="1736"/>
      <c r="U700" s="61"/>
      <c r="V700" s="61"/>
      <c r="W700" s="61"/>
      <c r="X700" s="61"/>
      <c r="Y700" s="61"/>
      <c r="Z700" s="61"/>
      <c r="AA700" s="61"/>
      <c r="AB700" s="61"/>
    </row>
    <row r="701" spans="1:28" ht="15" customHeight="1" x14ac:dyDescent="0.25">
      <c r="A701" s="1605">
        <v>10</v>
      </c>
      <c r="B701" s="1986" t="s">
        <v>2199</v>
      </c>
      <c r="C701" s="1986" t="s">
        <v>2199</v>
      </c>
      <c r="D701" s="1986" t="s">
        <v>2199</v>
      </c>
      <c r="E701" s="1986" t="s">
        <v>2199</v>
      </c>
      <c r="F701" s="1986" t="s">
        <v>2199</v>
      </c>
      <c r="G701" s="1617" t="s">
        <v>304</v>
      </c>
      <c r="H701" s="1611">
        <v>3</v>
      </c>
      <c r="I701" s="1363">
        <v>5100</v>
      </c>
      <c r="J701" s="1617">
        <f t="shared" si="14"/>
        <v>15300</v>
      </c>
      <c r="L701" s="774"/>
      <c r="M701" s="1601"/>
      <c r="N701" s="1602"/>
      <c r="O701" s="97"/>
      <c r="P701" s="97"/>
      <c r="Q701" s="1733"/>
      <c r="R701" s="1734"/>
      <c r="S701" s="1735"/>
      <c r="T701" s="1736"/>
      <c r="U701" s="61"/>
      <c r="V701" s="61"/>
      <c r="W701" s="61"/>
      <c r="X701" s="61"/>
      <c r="Y701" s="61"/>
      <c r="Z701" s="61"/>
      <c r="AA701" s="61"/>
      <c r="AB701" s="61"/>
    </row>
    <row r="702" spans="1:28" ht="15" hidden="1" customHeight="1" x14ac:dyDescent="0.25">
      <c r="A702" s="1605">
        <v>11</v>
      </c>
      <c r="B702" s="1986" t="s">
        <v>2231</v>
      </c>
      <c r="C702" s="1986"/>
      <c r="D702" s="1986"/>
      <c r="E702" s="1986"/>
      <c r="F702" s="1986"/>
      <c r="G702" s="1617" t="s">
        <v>304</v>
      </c>
      <c r="H702" s="1611"/>
      <c r="I702" s="1363">
        <v>4850</v>
      </c>
      <c r="J702" s="1617">
        <f t="shared" si="14"/>
        <v>0</v>
      </c>
      <c r="L702" s="774"/>
      <c r="M702" s="1601"/>
      <c r="N702" s="1602"/>
      <c r="O702" s="97"/>
      <c r="P702" s="97"/>
      <c r="Q702" s="1733"/>
      <c r="R702" s="1734"/>
      <c r="S702" s="1735"/>
      <c r="T702" s="1736"/>
      <c r="U702" s="61"/>
      <c r="V702" s="61"/>
      <c r="W702" s="61"/>
      <c r="X702" s="61"/>
      <c r="Y702" s="61"/>
      <c r="Z702" s="61"/>
      <c r="AA702" s="61"/>
      <c r="AB702" s="61"/>
    </row>
    <row r="703" spans="1:28" ht="15" customHeight="1" x14ac:dyDescent="0.25">
      <c r="A703" s="1605">
        <v>11</v>
      </c>
      <c r="B703" s="1986" t="s">
        <v>2237</v>
      </c>
      <c r="C703" s="1986"/>
      <c r="D703" s="1986"/>
      <c r="E703" s="1986"/>
      <c r="F703" s="1986"/>
      <c r="G703" s="1617" t="s">
        <v>304</v>
      </c>
      <c r="H703" s="1611">
        <v>1</v>
      </c>
      <c r="I703" s="1363">
        <f>241500+4850</f>
        <v>246350</v>
      </c>
      <c r="J703" s="1617">
        <f t="shared" si="14"/>
        <v>246350</v>
      </c>
      <c r="L703" s="774"/>
      <c r="M703" s="1601"/>
      <c r="N703" s="1602"/>
      <c r="O703" s="97"/>
      <c r="P703" s="97"/>
      <c r="Q703" s="1733"/>
      <c r="R703" s="1734"/>
      <c r="S703" s="1735"/>
      <c r="T703" s="1736"/>
      <c r="U703" s="61"/>
      <c r="V703" s="61"/>
      <c r="W703" s="61"/>
      <c r="X703" s="61"/>
      <c r="Y703" s="61"/>
      <c r="Z703" s="61"/>
      <c r="AA703" s="61"/>
      <c r="AB703" s="61"/>
    </row>
    <row r="704" spans="1:28" ht="15" customHeight="1" x14ac:dyDescent="0.25">
      <c r="A704" s="1605">
        <v>12</v>
      </c>
      <c r="B704" s="1986" t="s">
        <v>2233</v>
      </c>
      <c r="C704" s="1986"/>
      <c r="D704" s="1986"/>
      <c r="E704" s="1986"/>
      <c r="F704" s="1986"/>
      <c r="G704" s="1617" t="s">
        <v>304</v>
      </c>
      <c r="H704" s="1611">
        <v>15</v>
      </c>
      <c r="I704" s="1363">
        <v>1500</v>
      </c>
      <c r="J704" s="1617">
        <f t="shared" si="14"/>
        <v>22500</v>
      </c>
      <c r="L704" s="774"/>
      <c r="M704" s="1601"/>
      <c r="N704" s="1602"/>
      <c r="O704" s="97"/>
      <c r="P704" s="97"/>
      <c r="Q704" s="1733"/>
      <c r="R704" s="1734"/>
      <c r="S704" s="1735"/>
      <c r="T704" s="1736"/>
      <c r="U704" s="61"/>
      <c r="V704" s="61"/>
      <c r="W704" s="61"/>
      <c r="X704" s="61"/>
      <c r="Y704" s="61"/>
      <c r="Z704" s="61"/>
      <c r="AA704" s="61"/>
      <c r="AB704" s="61"/>
    </row>
    <row r="705" spans="1:28" ht="15" customHeight="1" x14ac:dyDescent="0.25">
      <c r="A705" s="1605">
        <v>13</v>
      </c>
      <c r="B705" s="1986" t="s">
        <v>2232</v>
      </c>
      <c r="C705" s="1986"/>
      <c r="D705" s="1986"/>
      <c r="E705" s="1986"/>
      <c r="F705" s="1986"/>
      <c r="G705" s="1617" t="s">
        <v>304</v>
      </c>
      <c r="H705" s="1611">
        <v>3</v>
      </c>
      <c r="I705" s="1363">
        <v>4000</v>
      </c>
      <c r="J705" s="1617">
        <f t="shared" si="14"/>
        <v>12000</v>
      </c>
      <c r="L705" s="774"/>
      <c r="M705" s="1601"/>
      <c r="N705" s="1602"/>
      <c r="O705" s="97"/>
      <c r="P705" s="97"/>
      <c r="Q705" s="1733"/>
      <c r="R705" s="1734"/>
      <c r="S705" s="1735"/>
      <c r="T705" s="1736"/>
      <c r="U705" s="61"/>
      <c r="V705" s="61"/>
      <c r="W705" s="61"/>
      <c r="X705" s="61"/>
      <c r="Y705" s="61"/>
      <c r="Z705" s="61"/>
      <c r="AA705" s="61"/>
      <c r="AB705" s="61"/>
    </row>
    <row r="706" spans="1:28" ht="15" customHeight="1" x14ac:dyDescent="0.25">
      <c r="A706" s="1605">
        <v>14</v>
      </c>
      <c r="B706" s="1986" t="s">
        <v>2200</v>
      </c>
      <c r="C706" s="1986"/>
      <c r="D706" s="1986"/>
      <c r="E706" s="1986"/>
      <c r="F706" s="1986"/>
      <c r="G706" s="1617" t="s">
        <v>304</v>
      </c>
      <c r="H706" s="1611">
        <v>5</v>
      </c>
      <c r="I706" s="1363">
        <v>45967</v>
      </c>
      <c r="J706" s="1617">
        <f t="shared" si="14"/>
        <v>229835</v>
      </c>
      <c r="L706" s="774"/>
      <c r="M706" s="1601"/>
      <c r="N706" s="1602"/>
      <c r="O706" s="97"/>
      <c r="P706" s="97"/>
      <c r="Q706" s="1733"/>
      <c r="R706" s="1734"/>
      <c r="S706" s="1735"/>
      <c r="T706" s="1736"/>
      <c r="U706" s="61"/>
      <c r="V706" s="61"/>
      <c r="W706" s="61"/>
      <c r="X706" s="61"/>
      <c r="Y706" s="61"/>
      <c r="Z706" s="61"/>
      <c r="AA706" s="61"/>
      <c r="AB706" s="61"/>
    </row>
    <row r="707" spans="1:28" ht="15" customHeight="1" x14ac:dyDescent="0.25">
      <c r="A707" s="1605">
        <v>15</v>
      </c>
      <c r="B707" s="1986" t="s">
        <v>2238</v>
      </c>
      <c r="C707" s="1986"/>
      <c r="D707" s="1986"/>
      <c r="E707" s="1986"/>
      <c r="F707" s="1986"/>
      <c r="G707" s="1617" t="s">
        <v>304</v>
      </c>
      <c r="H707" s="1611">
        <v>5</v>
      </c>
      <c r="I707" s="1363">
        <v>5850</v>
      </c>
      <c r="J707" s="1617">
        <f t="shared" si="14"/>
        <v>29250</v>
      </c>
      <c r="L707" s="774"/>
      <c r="M707" s="1601"/>
      <c r="N707" s="1602"/>
      <c r="O707" s="97"/>
      <c r="P707" s="97"/>
      <c r="Q707" s="1733"/>
      <c r="R707" s="1734"/>
      <c r="S707" s="1735"/>
      <c r="T707" s="1736"/>
      <c r="U707" s="61"/>
      <c r="V707" s="61"/>
      <c r="W707" s="61"/>
      <c r="X707" s="61"/>
      <c r="Y707" s="61"/>
      <c r="Z707" s="61"/>
      <c r="AA707" s="61"/>
      <c r="AB707" s="61"/>
    </row>
    <row r="708" spans="1:28" ht="15" customHeight="1" x14ac:dyDescent="0.25">
      <c r="A708" s="1605">
        <v>16</v>
      </c>
      <c r="B708" s="1986" t="s">
        <v>2239</v>
      </c>
      <c r="C708" s="1986"/>
      <c r="D708" s="1986"/>
      <c r="E708" s="1986"/>
      <c r="F708" s="1986"/>
      <c r="G708" s="1617" t="s">
        <v>304</v>
      </c>
      <c r="H708" s="1611">
        <v>3</v>
      </c>
      <c r="I708" s="1363">
        <v>2300</v>
      </c>
      <c r="J708" s="1617">
        <f t="shared" si="14"/>
        <v>6900</v>
      </c>
      <c r="L708" s="774"/>
      <c r="M708" s="1601"/>
      <c r="N708" s="1602"/>
      <c r="O708" s="97"/>
      <c r="P708" s="97"/>
      <c r="Q708" s="1733"/>
      <c r="R708" s="1734"/>
      <c r="S708" s="1735"/>
      <c r="T708" s="1736"/>
      <c r="U708" s="61"/>
      <c r="V708" s="61"/>
      <c r="W708" s="61"/>
      <c r="X708" s="61"/>
      <c r="Y708" s="61"/>
      <c r="Z708" s="61"/>
      <c r="AA708" s="61"/>
      <c r="AB708" s="61"/>
    </row>
    <row r="709" spans="1:28" ht="44.25" customHeight="1" x14ac:dyDescent="0.25">
      <c r="A709" s="1605">
        <v>17</v>
      </c>
      <c r="B709" s="1986" t="s">
        <v>2201</v>
      </c>
      <c r="C709" s="1986"/>
      <c r="D709" s="1986"/>
      <c r="E709" s="1986"/>
      <c r="F709" s="1986"/>
      <c r="G709" s="1617" t="s">
        <v>304</v>
      </c>
      <c r="H709" s="1611">
        <v>3</v>
      </c>
      <c r="I709" s="1363">
        <v>2100</v>
      </c>
      <c r="J709" s="1617">
        <f t="shared" si="14"/>
        <v>6300</v>
      </c>
      <c r="L709" s="774"/>
      <c r="M709" s="1601"/>
      <c r="N709" s="1602"/>
      <c r="O709" s="97"/>
      <c r="P709" s="97"/>
      <c r="Q709" s="1733"/>
      <c r="R709" s="1734"/>
      <c r="S709" s="1735"/>
      <c r="T709" s="1736"/>
      <c r="U709" s="61"/>
      <c r="V709" s="61"/>
      <c r="W709" s="61"/>
      <c r="X709" s="61"/>
      <c r="Y709" s="61"/>
      <c r="Z709" s="61"/>
      <c r="AA709" s="61"/>
      <c r="AB709" s="61"/>
    </row>
    <row r="710" spans="1:28" ht="15" customHeight="1" x14ac:dyDescent="0.25">
      <c r="A710" s="1605">
        <v>18</v>
      </c>
      <c r="B710" s="1986" t="s">
        <v>2240</v>
      </c>
      <c r="C710" s="1986"/>
      <c r="D710" s="1986"/>
      <c r="E710" s="1986"/>
      <c r="F710" s="1986"/>
      <c r="G710" s="1617" t="s">
        <v>304</v>
      </c>
      <c r="H710" s="1611">
        <v>3</v>
      </c>
      <c r="I710" s="1363">
        <v>1300</v>
      </c>
      <c r="J710" s="1617">
        <f t="shared" si="14"/>
        <v>3900</v>
      </c>
      <c r="L710" s="774"/>
      <c r="M710" s="1601"/>
      <c r="N710" s="1602"/>
      <c r="O710" s="97"/>
      <c r="P710" s="97"/>
      <c r="Q710" s="1733"/>
      <c r="R710" s="1734"/>
      <c r="S710" s="1735"/>
      <c r="T710" s="1736"/>
      <c r="U710" s="61"/>
      <c r="V710" s="61"/>
      <c r="W710" s="61"/>
      <c r="X710" s="61"/>
      <c r="Y710" s="61"/>
      <c r="Z710" s="61"/>
      <c r="AA710" s="61"/>
      <c r="AB710" s="61"/>
    </row>
    <row r="711" spans="1:28" ht="15" hidden="1" customHeight="1" x14ac:dyDescent="0.25">
      <c r="A711" s="1605">
        <v>20</v>
      </c>
      <c r="B711" s="1986" t="s">
        <v>2241</v>
      </c>
      <c r="C711" s="1986"/>
      <c r="D711" s="1986"/>
      <c r="E711" s="1986"/>
      <c r="F711" s="1986"/>
      <c r="G711" s="1617" t="s">
        <v>304</v>
      </c>
      <c r="H711" s="1611"/>
      <c r="I711" s="1363">
        <v>67600</v>
      </c>
      <c r="J711" s="1617">
        <f t="shared" si="14"/>
        <v>0</v>
      </c>
      <c r="L711" s="774"/>
      <c r="M711" s="1601"/>
      <c r="N711" s="1602"/>
      <c r="O711" s="97"/>
      <c r="P711" s="97"/>
      <c r="Q711" s="1733"/>
      <c r="R711" s="1734"/>
      <c r="S711" s="1735"/>
      <c r="T711" s="1736"/>
      <c r="U711" s="61"/>
      <c r="V711" s="61"/>
      <c r="W711" s="61"/>
      <c r="X711" s="61"/>
      <c r="Y711" s="61"/>
      <c r="Z711" s="61"/>
      <c r="AA711" s="61"/>
      <c r="AB711" s="61"/>
    </row>
    <row r="712" spans="1:28" ht="15" customHeight="1" x14ac:dyDescent="0.25">
      <c r="A712" s="1605">
        <v>19</v>
      </c>
      <c r="B712" s="1986" t="s">
        <v>2202</v>
      </c>
      <c r="C712" s="1986"/>
      <c r="D712" s="1986"/>
      <c r="E712" s="1986"/>
      <c r="F712" s="1986"/>
      <c r="G712" s="1617" t="s">
        <v>304</v>
      </c>
      <c r="H712" s="1175">
        <v>15</v>
      </c>
      <c r="I712" s="1535">
        <v>6200</v>
      </c>
      <c r="J712" s="1617">
        <f t="shared" si="14"/>
        <v>93000</v>
      </c>
      <c r="L712" s="774"/>
      <c r="M712" s="1601"/>
      <c r="N712" s="1602"/>
      <c r="O712" s="97"/>
      <c r="P712" s="97"/>
      <c r="Q712" s="1733"/>
      <c r="R712" s="1734"/>
      <c r="S712" s="1735"/>
      <c r="T712" s="1736"/>
      <c r="U712" s="61"/>
      <c r="V712" s="61"/>
      <c r="W712" s="61"/>
      <c r="X712" s="61"/>
      <c r="Y712" s="61"/>
      <c r="Z712" s="61"/>
      <c r="AA712" s="61"/>
      <c r="AB712" s="61"/>
    </row>
    <row r="713" spans="1:28" ht="15" customHeight="1" x14ac:dyDescent="0.25">
      <c r="A713" s="1993" t="s">
        <v>39</v>
      </c>
      <c r="B713" s="1993"/>
      <c r="C713" s="1993"/>
      <c r="D713" s="1993"/>
      <c r="E713" s="1993"/>
      <c r="F713" s="1993"/>
      <c r="G713" s="1993"/>
      <c r="H713" s="1192" t="s">
        <v>5</v>
      </c>
      <c r="I713" s="1192" t="s">
        <v>5</v>
      </c>
      <c r="J713" s="1192">
        <f>SUM(J692:J712)</f>
        <v>1021625</v>
      </c>
      <c r="L713" s="774"/>
      <c r="M713" s="1601"/>
      <c r="N713" s="1602"/>
      <c r="O713" s="97"/>
      <c r="P713" s="97"/>
      <c r="Q713" s="1733"/>
      <c r="R713" s="1734"/>
      <c r="S713" s="1735"/>
      <c r="T713" s="1736"/>
      <c r="U713" s="61"/>
      <c r="V713" s="61"/>
      <c r="W713" s="61"/>
      <c r="X713" s="61"/>
      <c r="Y713" s="61"/>
      <c r="Z713" s="61"/>
      <c r="AA713" s="61"/>
      <c r="AB713" s="61"/>
    </row>
    <row r="714" spans="1:28" ht="15" customHeight="1" x14ac:dyDescent="0.25">
      <c r="A714" s="63"/>
      <c r="B714" s="63"/>
      <c r="C714" s="63"/>
      <c r="D714" s="63"/>
      <c r="E714" s="63"/>
      <c r="F714" s="63"/>
      <c r="G714" s="63"/>
      <c r="H714" s="64"/>
      <c r="I714" s="64"/>
      <c r="J714" s="64"/>
      <c r="L714" s="774"/>
      <c r="M714" s="1601"/>
      <c r="N714" s="1602"/>
      <c r="O714" s="97"/>
      <c r="P714" s="97"/>
      <c r="Q714" s="1733"/>
      <c r="R714" s="1734"/>
      <c r="S714" s="1735"/>
      <c r="T714" s="1736"/>
      <c r="U714" s="61"/>
      <c r="V714" s="61"/>
      <c r="W714" s="61"/>
      <c r="X714" s="61"/>
      <c r="Y714" s="61"/>
      <c r="Z714" s="61"/>
      <c r="AA714" s="61"/>
      <c r="AB714" s="61"/>
    </row>
    <row r="715" spans="1:28" x14ac:dyDescent="0.25">
      <c r="A715" s="1644" t="s">
        <v>344</v>
      </c>
      <c r="L715" s="774"/>
      <c r="M715" s="1601"/>
      <c r="N715" s="1602"/>
      <c r="O715" s="97"/>
      <c r="P715" s="97"/>
      <c r="Q715" s="1733"/>
      <c r="R715" s="1734"/>
      <c r="S715" s="1735"/>
      <c r="T715" s="1736"/>
      <c r="U715" s="61"/>
      <c r="V715" s="61"/>
      <c r="W715" s="61"/>
      <c r="X715" s="61"/>
      <c r="Y715" s="61"/>
      <c r="Z715" s="61"/>
      <c r="AA715" s="61"/>
      <c r="AB715" s="61"/>
    </row>
    <row r="716" spans="1:28" ht="15" customHeight="1" x14ac:dyDescent="0.25">
      <c r="A716" s="1926" t="s">
        <v>8</v>
      </c>
      <c r="B716" s="1926" t="s">
        <v>35</v>
      </c>
      <c r="C716" s="1926"/>
      <c r="D716" s="1926"/>
      <c r="E716" s="1926"/>
      <c r="F716" s="1926"/>
      <c r="G716" s="1926" t="s">
        <v>61</v>
      </c>
      <c r="H716" s="1990" t="s">
        <v>1827</v>
      </c>
      <c r="I716" s="1991"/>
      <c r="J716" s="1992"/>
      <c r="L716" s="774"/>
      <c r="M716" s="1601"/>
      <c r="N716" s="1602"/>
      <c r="O716" s="97"/>
      <c r="P716" s="97"/>
      <c r="Q716" s="1733"/>
      <c r="R716" s="1734"/>
      <c r="S716" s="1735"/>
      <c r="T716" s="1736"/>
      <c r="U716" s="61"/>
      <c r="V716" s="61"/>
      <c r="W716" s="61"/>
      <c r="X716" s="61"/>
      <c r="Y716" s="61"/>
      <c r="Z716" s="61"/>
      <c r="AA716" s="61"/>
      <c r="AB716" s="61"/>
    </row>
    <row r="717" spans="1:28" ht="30" x14ac:dyDescent="0.25">
      <c r="A717" s="1926"/>
      <c r="B717" s="1926"/>
      <c r="C717" s="1926"/>
      <c r="D717" s="1926"/>
      <c r="E717" s="1926"/>
      <c r="F717" s="1926"/>
      <c r="G717" s="1926"/>
      <c r="H717" s="1598" t="s">
        <v>248</v>
      </c>
      <c r="I717" s="1617" t="s">
        <v>264</v>
      </c>
      <c r="J717" s="1617" t="s">
        <v>256</v>
      </c>
      <c r="L717" s="774"/>
      <c r="M717" s="1601"/>
      <c r="N717" s="1602"/>
      <c r="O717" s="97"/>
      <c r="P717" s="97"/>
      <c r="Q717" s="1733"/>
      <c r="R717" s="1734"/>
      <c r="S717" s="1735"/>
      <c r="T717" s="1736"/>
      <c r="U717" s="61"/>
      <c r="V717" s="61"/>
      <c r="W717" s="61"/>
      <c r="X717" s="61"/>
      <c r="Y717" s="61"/>
      <c r="Z717" s="61"/>
      <c r="AA717" s="61"/>
      <c r="AB717" s="61"/>
    </row>
    <row r="718" spans="1:28" x14ac:dyDescent="0.25">
      <c r="A718" s="1598">
        <v>1</v>
      </c>
      <c r="B718" s="1986" t="s">
        <v>2186</v>
      </c>
      <c r="C718" s="1986"/>
      <c r="D718" s="1986"/>
      <c r="E718" s="1986"/>
      <c r="F718" s="1986"/>
      <c r="G718" s="1598" t="s">
        <v>1925</v>
      </c>
      <c r="H718" s="1394">
        <v>13</v>
      </c>
      <c r="I718" s="1759">
        <v>140000</v>
      </c>
      <c r="J718" s="1617">
        <f>H718*I718</f>
        <v>1820000</v>
      </c>
      <c r="L718" s="774"/>
      <c r="M718" s="1601"/>
      <c r="N718" s="1602"/>
      <c r="O718" s="97"/>
      <c r="P718" s="97"/>
      <c r="Q718" s="1733"/>
      <c r="R718" s="1734"/>
      <c r="S718" s="1735"/>
      <c r="T718" s="1736"/>
      <c r="U718" s="61"/>
      <c r="V718" s="61"/>
      <c r="W718" s="61"/>
      <c r="X718" s="61"/>
      <c r="Y718" s="61"/>
      <c r="Z718" s="61"/>
      <c r="AA718" s="61"/>
      <c r="AB718" s="61"/>
    </row>
    <row r="719" spans="1:28" x14ac:dyDescent="0.25">
      <c r="A719" s="1598">
        <v>2</v>
      </c>
      <c r="B719" s="1986" t="s">
        <v>2187</v>
      </c>
      <c r="C719" s="1986"/>
      <c r="D719" s="1986"/>
      <c r="E719" s="1986"/>
      <c r="F719" s="1986"/>
      <c r="G719" s="1598" t="s">
        <v>1925</v>
      </c>
      <c r="H719" s="1760">
        <v>13</v>
      </c>
      <c r="I719" s="1761">
        <v>200000</v>
      </c>
      <c r="J719" s="1617">
        <f>H719*I719</f>
        <v>2600000</v>
      </c>
      <c r="L719" s="774"/>
      <c r="M719" s="1601"/>
      <c r="N719" s="1602"/>
      <c r="O719" s="97"/>
      <c r="P719" s="97"/>
      <c r="Q719" s="1733"/>
      <c r="R719" s="1734"/>
      <c r="S719" s="1735"/>
      <c r="T719" s="1736"/>
      <c r="U719" s="61"/>
      <c r="V719" s="61"/>
      <c r="W719" s="61"/>
      <c r="X719" s="61"/>
      <c r="Y719" s="61"/>
      <c r="Z719" s="61"/>
      <c r="AA719" s="61"/>
      <c r="AB719" s="61"/>
    </row>
    <row r="720" spans="1:28" ht="15.75" customHeight="1" x14ac:dyDescent="0.25">
      <c r="A720" s="1141">
        <v>3</v>
      </c>
      <c r="B720" s="1986" t="s">
        <v>1948</v>
      </c>
      <c r="C720" s="1986"/>
      <c r="D720" s="1986"/>
      <c r="E720" s="1986"/>
      <c r="F720" s="1986"/>
      <c r="G720" s="1617" t="s">
        <v>832</v>
      </c>
      <c r="H720" s="1758">
        <v>3</v>
      </c>
      <c r="I720" s="1202">
        <v>700000</v>
      </c>
      <c r="J720" s="1617">
        <f>H720*I720</f>
        <v>2100000</v>
      </c>
      <c r="K720" s="1726"/>
      <c r="L720" s="774"/>
      <c r="M720" s="1601"/>
      <c r="N720" s="1602"/>
      <c r="O720" s="97"/>
      <c r="P720" s="97"/>
      <c r="Q720" s="1733"/>
      <c r="R720" s="1734"/>
      <c r="S720" s="1735"/>
      <c r="T720" s="1736"/>
      <c r="U720" s="61"/>
      <c r="V720" s="61"/>
      <c r="W720" s="61"/>
      <c r="X720" s="61"/>
      <c r="Y720" s="61"/>
      <c r="Z720" s="61"/>
      <c r="AA720" s="61"/>
      <c r="AB720" s="61"/>
    </row>
    <row r="721" spans="1:28" ht="15.75" customHeight="1" x14ac:dyDescent="0.25">
      <c r="A721" s="1141">
        <v>4</v>
      </c>
      <c r="B721" s="1986" t="s">
        <v>1949</v>
      </c>
      <c r="C721" s="1986"/>
      <c r="D721" s="1986"/>
      <c r="E721" s="1986"/>
      <c r="F721" s="1986"/>
      <c r="G721" s="1617" t="s">
        <v>832</v>
      </c>
      <c r="H721" s="1758">
        <v>25</v>
      </c>
      <c r="I721" s="1202">
        <v>93209.919999999998</v>
      </c>
      <c r="J721" s="1617">
        <f>H721*I721</f>
        <v>2330248</v>
      </c>
      <c r="K721" s="70"/>
      <c r="L721" s="1762"/>
      <c r="M721" s="1601"/>
      <c r="N721" s="1602"/>
      <c r="O721" s="97"/>
      <c r="P721" s="97"/>
      <c r="Q721" s="1733"/>
      <c r="R721" s="1734"/>
      <c r="S721" s="1735"/>
      <c r="T721" s="1736"/>
      <c r="U721" s="61"/>
      <c r="V721" s="61"/>
      <c r="W721" s="61"/>
      <c r="X721" s="61"/>
      <c r="Y721" s="61"/>
      <c r="Z721" s="61"/>
      <c r="AA721" s="61"/>
      <c r="AB721" s="61"/>
    </row>
    <row r="722" spans="1:28" x14ac:dyDescent="0.25">
      <c r="A722" s="1993" t="s">
        <v>39</v>
      </c>
      <c r="B722" s="1993"/>
      <c r="C722" s="1993"/>
      <c r="D722" s="1993"/>
      <c r="E722" s="1993"/>
      <c r="F722" s="1993"/>
      <c r="G722" s="1993"/>
      <c r="H722" s="1192" t="s">
        <v>5</v>
      </c>
      <c r="I722" s="1192" t="s">
        <v>5</v>
      </c>
      <c r="J722" s="1192">
        <f>SUM(J718:J721)</f>
        <v>8850248</v>
      </c>
      <c r="K722" s="70"/>
      <c r="L722" s="1593"/>
      <c r="M722" s="392"/>
      <c r="N722" s="1763"/>
      <c r="O722" s="97"/>
      <c r="P722" s="97"/>
      <c r="Q722" s="1733"/>
      <c r="R722" s="1734"/>
      <c r="S722" s="1735"/>
      <c r="T722" s="1736"/>
      <c r="U722" s="61"/>
      <c r="V722" s="61"/>
      <c r="W722" s="61"/>
      <c r="X722" s="61"/>
      <c r="Y722" s="61"/>
      <c r="Z722" s="61"/>
      <c r="AA722" s="61"/>
      <c r="AB722" s="61"/>
    </row>
    <row r="723" spans="1:28" x14ac:dyDescent="0.25">
      <c r="A723" s="63"/>
      <c r="B723" s="63"/>
      <c r="C723" s="63"/>
      <c r="D723" s="63"/>
      <c r="E723" s="63"/>
      <c r="F723" s="63"/>
      <c r="G723" s="63"/>
      <c r="H723" s="64"/>
      <c r="I723" s="64"/>
      <c r="J723" s="64"/>
      <c r="L723" s="774"/>
      <c r="M723" s="1601"/>
      <c r="N723" s="1602"/>
      <c r="O723" s="97"/>
      <c r="P723" s="97"/>
      <c r="Q723" s="1733"/>
      <c r="R723" s="1734"/>
      <c r="S723" s="1735"/>
      <c r="T723" s="1736"/>
      <c r="U723" s="61"/>
      <c r="V723" s="61"/>
      <c r="W723" s="61"/>
      <c r="X723" s="61"/>
      <c r="Y723" s="61"/>
      <c r="Z723" s="61"/>
      <c r="AA723" s="61"/>
      <c r="AB723" s="61"/>
    </row>
    <row r="724" spans="1:28" ht="15" hidden="1" customHeight="1" x14ac:dyDescent="0.25">
      <c r="A724" s="1644" t="s">
        <v>2244</v>
      </c>
      <c r="L724" s="774"/>
      <c r="M724" s="1601"/>
      <c r="N724" s="1602"/>
      <c r="O724" s="97"/>
      <c r="P724" s="97"/>
      <c r="Q724" s="1733"/>
      <c r="R724" s="1734"/>
      <c r="S724" s="1735"/>
      <c r="T724" s="1736"/>
      <c r="U724" s="61"/>
      <c r="V724" s="61"/>
      <c r="W724" s="61"/>
      <c r="X724" s="61"/>
      <c r="Y724" s="61"/>
      <c r="Z724" s="61"/>
      <c r="AA724" s="61"/>
      <c r="AB724" s="61"/>
    </row>
    <row r="725" spans="1:28" ht="15" hidden="1" customHeight="1" x14ac:dyDescent="0.25">
      <c r="A725" s="1926" t="s">
        <v>8</v>
      </c>
      <c r="B725" s="1926" t="s">
        <v>35</v>
      </c>
      <c r="C725" s="1926"/>
      <c r="D725" s="1926"/>
      <c r="E725" s="1926"/>
      <c r="F725" s="1926"/>
      <c r="G725" s="1926" t="s">
        <v>61</v>
      </c>
      <c r="H725" s="1990" t="s">
        <v>1476</v>
      </c>
      <c r="I725" s="1991"/>
      <c r="J725" s="1992"/>
      <c r="L725" s="774"/>
      <c r="M725" s="1601"/>
      <c r="N725" s="1602"/>
      <c r="O725" s="97"/>
      <c r="P725" s="97"/>
      <c r="Q725" s="1733"/>
      <c r="R725" s="1734"/>
      <c r="S725" s="1735"/>
      <c r="T725" s="1736"/>
      <c r="U725" s="61"/>
      <c r="V725" s="61"/>
      <c r="W725" s="61"/>
      <c r="X725" s="61"/>
      <c r="Y725" s="61"/>
      <c r="Z725" s="61"/>
      <c r="AA725" s="61"/>
      <c r="AB725" s="61"/>
    </row>
    <row r="726" spans="1:28" ht="30" hidden="1" customHeight="1" x14ac:dyDescent="0.25">
      <c r="A726" s="1926"/>
      <c r="B726" s="1926"/>
      <c r="C726" s="1926"/>
      <c r="D726" s="1926"/>
      <c r="E726" s="1926"/>
      <c r="F726" s="1926"/>
      <c r="G726" s="1926"/>
      <c r="H726" s="1598" t="s">
        <v>248</v>
      </c>
      <c r="I726" s="1617" t="s">
        <v>264</v>
      </c>
      <c r="J726" s="1617" t="s">
        <v>256</v>
      </c>
      <c r="L726" s="774"/>
      <c r="M726" s="1601"/>
      <c r="N726" s="1602"/>
      <c r="O726" s="97"/>
      <c r="P726" s="97"/>
      <c r="Q726" s="1733"/>
      <c r="R726" s="1734"/>
      <c r="S726" s="1735"/>
      <c r="T726" s="1736"/>
      <c r="U726" s="61"/>
      <c r="V726" s="61"/>
      <c r="W726" s="61"/>
      <c r="X726" s="61"/>
      <c r="Y726" s="61"/>
      <c r="Z726" s="61"/>
      <c r="AA726" s="61"/>
      <c r="AB726" s="61"/>
    </row>
    <row r="727" spans="1:28" ht="15" hidden="1" customHeight="1" x14ac:dyDescent="0.25">
      <c r="A727" s="1995" t="s">
        <v>2246</v>
      </c>
      <c r="B727" s="1996"/>
      <c r="C727" s="1996"/>
      <c r="D727" s="1996"/>
      <c r="E727" s="1996"/>
      <c r="F727" s="1996"/>
      <c r="G727" s="1996"/>
      <c r="H727" s="1996"/>
      <c r="I727" s="1997"/>
      <c r="J727" s="1738"/>
      <c r="L727" s="774"/>
      <c r="M727" s="1601"/>
      <c r="N727" s="1602"/>
      <c r="O727" s="97"/>
      <c r="P727" s="97"/>
      <c r="Q727" s="1733"/>
      <c r="R727" s="1734"/>
      <c r="S727" s="1735"/>
      <c r="T727" s="1736"/>
      <c r="U727" s="61"/>
      <c r="V727" s="61"/>
      <c r="W727" s="61"/>
      <c r="X727" s="61"/>
      <c r="Y727" s="61"/>
      <c r="Z727" s="61"/>
      <c r="AA727" s="61"/>
      <c r="AB727" s="61"/>
    </row>
    <row r="728" spans="1:28" ht="45" hidden="1" customHeight="1" x14ac:dyDescent="0.25">
      <c r="A728" s="1141">
        <v>1</v>
      </c>
      <c r="B728" s="1986" t="s">
        <v>2245</v>
      </c>
      <c r="C728" s="1986"/>
      <c r="D728" s="1986"/>
      <c r="E728" s="1986"/>
      <c r="F728" s="1986"/>
      <c r="G728" s="1617" t="s">
        <v>304</v>
      </c>
      <c r="H728" s="1764"/>
      <c r="I728" s="1202">
        <v>120000</v>
      </c>
      <c r="J728" s="1617">
        <f>H728*I728</f>
        <v>0</v>
      </c>
      <c r="L728" s="774"/>
      <c r="M728" s="1601"/>
      <c r="N728" s="774"/>
      <c r="O728" s="1593"/>
      <c r="P728" s="1593"/>
      <c r="Q728" s="1733"/>
      <c r="R728" s="1734"/>
      <c r="S728" s="1735"/>
      <c r="T728" s="1736"/>
      <c r="U728" s="61"/>
      <c r="V728" s="61"/>
      <c r="W728" s="61"/>
      <c r="X728" s="61"/>
      <c r="Y728" s="61"/>
      <c r="Z728" s="61"/>
      <c r="AA728" s="61"/>
      <c r="AB728" s="61"/>
    </row>
    <row r="729" spans="1:28" ht="15" hidden="1" customHeight="1" x14ac:dyDescent="0.25">
      <c r="A729" s="1993" t="s">
        <v>39</v>
      </c>
      <c r="B729" s="1993"/>
      <c r="C729" s="1993"/>
      <c r="D729" s="1993"/>
      <c r="E729" s="1993"/>
      <c r="F729" s="1993"/>
      <c r="G729" s="1993"/>
      <c r="H729" s="1192" t="s">
        <v>5</v>
      </c>
      <c r="I729" s="1192" t="s">
        <v>5</v>
      </c>
      <c r="J729" s="1192">
        <f>SUM(J728:J728)</f>
        <v>0</v>
      </c>
      <c r="L729" s="774"/>
      <c r="M729" s="75"/>
      <c r="N729" s="75"/>
      <c r="O729" s="75"/>
      <c r="P729" s="1593"/>
      <c r="Q729" s="1733"/>
      <c r="R729" s="1734"/>
      <c r="S729" s="1735"/>
      <c r="T729" s="1736"/>
      <c r="U729" s="61"/>
      <c r="V729" s="61"/>
      <c r="W729" s="61"/>
      <c r="X729" s="61"/>
      <c r="Y729" s="61"/>
      <c r="Z729" s="61"/>
      <c r="AA729" s="61"/>
      <c r="AB729" s="61"/>
    </row>
    <row r="730" spans="1:28" ht="15" hidden="1" customHeight="1" x14ac:dyDescent="0.25">
      <c r="A730" s="63"/>
      <c r="B730" s="63"/>
      <c r="C730" s="63"/>
      <c r="D730" s="63"/>
      <c r="E730" s="63"/>
      <c r="F730" s="63"/>
      <c r="G730" s="63"/>
      <c r="H730" s="64"/>
      <c r="I730" s="64"/>
      <c r="J730" s="64"/>
      <c r="L730" s="774"/>
      <c r="M730" s="75"/>
      <c r="N730" s="75"/>
      <c r="O730" s="75"/>
      <c r="P730" s="1593"/>
      <c r="Q730" s="1733"/>
      <c r="R730" s="1734"/>
      <c r="S730" s="1735"/>
      <c r="T730" s="1736"/>
      <c r="U730" s="61"/>
      <c r="V730" s="61"/>
      <c r="W730" s="61"/>
      <c r="X730" s="61"/>
      <c r="Y730" s="61"/>
      <c r="Z730" s="61"/>
      <c r="AA730" s="61"/>
      <c r="AB730" s="61"/>
    </row>
    <row r="731" spans="1:28" x14ac:dyDescent="0.25">
      <c r="A731" s="1644" t="s">
        <v>1737</v>
      </c>
      <c r="L731" s="774"/>
      <c r="M731" s="75"/>
      <c r="N731" s="75"/>
      <c r="O731" s="75"/>
      <c r="P731" s="1593"/>
      <c r="Q731" s="1733"/>
      <c r="R731" s="1734"/>
      <c r="S731" s="1735"/>
      <c r="T731" s="1736"/>
      <c r="U731" s="61"/>
      <c r="V731" s="61"/>
      <c r="W731" s="61"/>
      <c r="X731" s="61"/>
      <c r="Y731" s="61"/>
      <c r="Z731" s="61"/>
      <c r="AA731" s="61"/>
      <c r="AB731" s="61"/>
    </row>
    <row r="732" spans="1:28" ht="15" customHeight="1" x14ac:dyDescent="0.25">
      <c r="A732" s="1926" t="s">
        <v>8</v>
      </c>
      <c r="B732" s="1926" t="s">
        <v>35</v>
      </c>
      <c r="C732" s="1926"/>
      <c r="D732" s="1926"/>
      <c r="E732" s="1926"/>
      <c r="F732" s="1926"/>
      <c r="G732" s="1926" t="s">
        <v>61</v>
      </c>
      <c r="H732" s="1990" t="s">
        <v>1827</v>
      </c>
      <c r="I732" s="1991"/>
      <c r="J732" s="1992"/>
      <c r="L732" s="774"/>
      <c r="M732" s="75"/>
      <c r="N732" s="75"/>
      <c r="O732" s="75"/>
      <c r="P732" s="1593"/>
      <c r="Q732" s="1733"/>
      <c r="R732" s="1734"/>
      <c r="S732" s="1735"/>
      <c r="T732" s="1736"/>
      <c r="U732" s="61"/>
      <c r="V732" s="61"/>
      <c r="W732" s="61"/>
      <c r="X732" s="61"/>
      <c r="Y732" s="61"/>
      <c r="Z732" s="61"/>
      <c r="AA732" s="61"/>
      <c r="AB732" s="61"/>
    </row>
    <row r="733" spans="1:28" ht="30" x14ac:dyDescent="0.25">
      <c r="A733" s="1926"/>
      <c r="B733" s="1926"/>
      <c r="C733" s="1926"/>
      <c r="D733" s="1926"/>
      <c r="E733" s="1926"/>
      <c r="F733" s="1926"/>
      <c r="G733" s="1926"/>
      <c r="H733" s="1598" t="s">
        <v>248</v>
      </c>
      <c r="I733" s="1617" t="s">
        <v>264</v>
      </c>
      <c r="J733" s="1617" t="s">
        <v>256</v>
      </c>
      <c r="L733" s="774"/>
      <c r="M733" s="75"/>
      <c r="N733" s="75"/>
      <c r="O733" s="75"/>
      <c r="P733" s="1593"/>
      <c r="Q733" s="1254"/>
      <c r="R733" s="1734"/>
      <c r="S733" s="1735"/>
      <c r="T733" s="1736"/>
      <c r="U733" s="61"/>
      <c r="V733" s="61"/>
      <c r="W733" s="61"/>
      <c r="X733" s="61"/>
      <c r="Y733" s="61"/>
      <c r="Z733" s="61"/>
      <c r="AA733" s="61"/>
      <c r="AB733" s="61"/>
    </row>
    <row r="734" spans="1:28" ht="15.75" x14ac:dyDescent="0.25">
      <c r="A734" s="1141">
        <v>1</v>
      </c>
      <c r="B734" s="1986" t="s">
        <v>1954</v>
      </c>
      <c r="C734" s="1986"/>
      <c r="D734" s="1986"/>
      <c r="E734" s="1986"/>
      <c r="F734" s="1986"/>
      <c r="G734" s="1617" t="s">
        <v>304</v>
      </c>
      <c r="H734" s="1758">
        <v>4</v>
      </c>
      <c r="I734" s="1202">
        <v>16000</v>
      </c>
      <c r="J734" s="1617">
        <f t="shared" ref="J734:J735" si="15">H734*I734</f>
        <v>64000</v>
      </c>
      <c r="L734" s="774"/>
      <c r="M734" s="75"/>
      <c r="N734" s="75"/>
      <c r="O734" s="75"/>
      <c r="P734" s="1593"/>
      <c r="Q734" s="1254"/>
      <c r="R734" s="1734"/>
      <c r="S734" s="1735"/>
      <c r="T734" s="1736"/>
      <c r="U734" s="61"/>
      <c r="V734" s="61"/>
      <c r="W734" s="61"/>
      <c r="X734" s="61"/>
      <c r="Y734" s="61"/>
      <c r="Z734" s="61"/>
      <c r="AA734" s="61"/>
      <c r="AB734" s="61"/>
    </row>
    <row r="735" spans="1:28" ht="15.75" x14ac:dyDescent="0.25">
      <c r="A735" s="1141">
        <v>2</v>
      </c>
      <c r="B735" s="1986" t="s">
        <v>1955</v>
      </c>
      <c r="C735" s="1986"/>
      <c r="D735" s="1986"/>
      <c r="E735" s="1986"/>
      <c r="F735" s="1986"/>
      <c r="G735" s="1617" t="s">
        <v>304</v>
      </c>
      <c r="H735" s="1758">
        <v>10</v>
      </c>
      <c r="I735" s="1202">
        <v>125000</v>
      </c>
      <c r="J735" s="1617">
        <f t="shared" si="15"/>
        <v>1250000</v>
      </c>
      <c r="L735" s="774"/>
      <c r="M735" s="75"/>
      <c r="N735" s="75"/>
      <c r="O735" s="75"/>
      <c r="P735" s="1593"/>
      <c r="Q735" s="1254"/>
      <c r="R735" s="1734"/>
      <c r="S735" s="1735"/>
      <c r="T735" s="1736"/>
      <c r="U735" s="61"/>
      <c r="V735" s="61"/>
      <c r="W735" s="61"/>
      <c r="X735" s="61"/>
      <c r="Y735" s="61"/>
      <c r="Z735" s="61"/>
      <c r="AA735" s="61"/>
      <c r="AB735" s="61"/>
    </row>
    <row r="736" spans="1:28" x14ac:dyDescent="0.25">
      <c r="A736" s="1993" t="s">
        <v>39</v>
      </c>
      <c r="B736" s="1993"/>
      <c r="C736" s="1993"/>
      <c r="D736" s="1993"/>
      <c r="E736" s="1993"/>
      <c r="F736" s="1993"/>
      <c r="G736" s="1993"/>
      <c r="H736" s="1192" t="s">
        <v>5</v>
      </c>
      <c r="I736" s="1192" t="s">
        <v>5</v>
      </c>
      <c r="J736" s="1192">
        <f>SUM(J734:J735)</f>
        <v>1314000</v>
      </c>
      <c r="L736" s="774"/>
      <c r="M736" s="75"/>
      <c r="N736" s="75"/>
      <c r="O736" s="75"/>
      <c r="P736" s="1593"/>
      <c r="Q736" s="1733"/>
      <c r="R736" s="1734"/>
      <c r="S736" s="1735"/>
      <c r="T736" s="1736"/>
      <c r="U736" s="61"/>
      <c r="V736" s="61"/>
      <c r="W736" s="61"/>
      <c r="X736" s="61"/>
      <c r="Y736" s="61"/>
      <c r="Z736" s="61"/>
      <c r="AA736" s="61"/>
      <c r="AB736" s="61"/>
    </row>
    <row r="737" spans="1:28" x14ac:dyDescent="0.25">
      <c r="A737" s="63"/>
      <c r="B737" s="63"/>
      <c r="C737" s="63"/>
      <c r="D737" s="63"/>
      <c r="E737" s="63"/>
      <c r="F737" s="63"/>
      <c r="G737" s="63"/>
      <c r="H737" s="64"/>
      <c r="I737" s="64"/>
      <c r="J737" s="64"/>
      <c r="L737" s="774"/>
      <c r="M737" s="75"/>
      <c r="N737" s="75"/>
      <c r="O737" s="75"/>
      <c r="P737" s="1593"/>
      <c r="Q737" s="1733"/>
      <c r="R737" s="1734"/>
      <c r="S737" s="1735"/>
      <c r="T737" s="1736"/>
      <c r="U737" s="61"/>
      <c r="V737" s="61"/>
      <c r="W737" s="61"/>
      <c r="X737" s="61"/>
      <c r="Y737" s="61"/>
      <c r="Z737" s="61"/>
      <c r="AA737" s="61"/>
      <c r="AB737" s="61"/>
    </row>
    <row r="738" spans="1:28" x14ac:dyDescent="0.25">
      <c r="A738" s="1644" t="s">
        <v>346</v>
      </c>
      <c r="K738" s="61"/>
      <c r="L738" s="79"/>
      <c r="M738" s="75"/>
      <c r="N738" s="79"/>
      <c r="O738" s="79"/>
      <c r="P738" s="75"/>
      <c r="Q738" s="1733"/>
      <c r="R738" s="1734"/>
      <c r="S738" s="1735"/>
      <c r="T738" s="1736"/>
      <c r="U738" s="61"/>
      <c r="V738" s="61"/>
      <c r="W738" s="61"/>
      <c r="X738" s="61"/>
      <c r="Y738" s="61"/>
      <c r="Z738" s="61"/>
      <c r="AA738" s="61"/>
      <c r="AB738" s="61"/>
    </row>
    <row r="739" spans="1:28" ht="15" customHeight="1" x14ac:dyDescent="0.25">
      <c r="A739" s="1926" t="s">
        <v>8</v>
      </c>
      <c r="B739" s="1926" t="s">
        <v>35</v>
      </c>
      <c r="C739" s="1926"/>
      <c r="D739" s="1926"/>
      <c r="E739" s="1926"/>
      <c r="F739" s="1926"/>
      <c r="G739" s="1926" t="s">
        <v>61</v>
      </c>
      <c r="H739" s="1990" t="s">
        <v>1827</v>
      </c>
      <c r="I739" s="1991"/>
      <c r="J739" s="1992"/>
      <c r="K739" s="61"/>
      <c r="M739" s="61"/>
      <c r="P739" s="61"/>
      <c r="Q739" s="1733"/>
      <c r="R739" s="1734"/>
      <c r="S739" s="1735"/>
      <c r="T739" s="1736"/>
      <c r="U739" s="61"/>
      <c r="V739" s="61"/>
      <c r="W739" s="61"/>
      <c r="X739" s="61"/>
      <c r="Y739" s="61"/>
      <c r="Z739" s="61"/>
      <c r="AA739" s="61"/>
      <c r="AB739" s="61"/>
    </row>
    <row r="740" spans="1:28" ht="30" x14ac:dyDescent="0.25">
      <c r="A740" s="1926"/>
      <c r="B740" s="1926"/>
      <c r="C740" s="1926"/>
      <c r="D740" s="1926"/>
      <c r="E740" s="1926"/>
      <c r="F740" s="1926"/>
      <c r="G740" s="1926"/>
      <c r="H740" s="1598" t="s">
        <v>248</v>
      </c>
      <c r="I740" s="1617" t="s">
        <v>264</v>
      </c>
      <c r="J740" s="1617" t="s">
        <v>256</v>
      </c>
      <c r="K740" s="61"/>
      <c r="M740" s="61"/>
      <c r="P740" s="61"/>
      <c r="Q740" s="1733"/>
      <c r="R740" s="1734"/>
      <c r="S740" s="1735"/>
      <c r="T740" s="1736"/>
      <c r="U740" s="61"/>
      <c r="V740" s="61"/>
      <c r="W740" s="61"/>
      <c r="X740" s="61"/>
      <c r="Y740" s="61"/>
      <c r="Z740" s="61"/>
      <c r="AA740" s="61"/>
      <c r="AB740" s="61"/>
    </row>
    <row r="741" spans="1:28" ht="15.75" customHeight="1" x14ac:dyDescent="0.25">
      <c r="A741" s="1141">
        <v>1</v>
      </c>
      <c r="B741" s="1986" t="s">
        <v>1951</v>
      </c>
      <c r="C741" s="1986"/>
      <c r="D741" s="1986"/>
      <c r="E741" s="1986"/>
      <c r="F741" s="1986"/>
      <c r="G741" s="1617" t="s">
        <v>304</v>
      </c>
      <c r="H741" s="1737">
        <v>3</v>
      </c>
      <c r="I741" s="1202">
        <v>600000</v>
      </c>
      <c r="J741" s="1617">
        <f>H741*I741</f>
        <v>1800000</v>
      </c>
      <c r="K741" s="1726"/>
      <c r="M741" s="61"/>
      <c r="P741" s="61"/>
      <c r="Q741" s="1733"/>
      <c r="R741" s="1734"/>
      <c r="S741" s="1735"/>
      <c r="T741" s="1736"/>
      <c r="U741" s="61"/>
      <c r="V741" s="61"/>
      <c r="W741" s="61"/>
      <c r="X741" s="61"/>
      <c r="Y741" s="61"/>
      <c r="Z741" s="61"/>
      <c r="AA741" s="61"/>
      <c r="AB741" s="61"/>
    </row>
    <row r="742" spans="1:28" ht="15.75" customHeight="1" x14ac:dyDescent="0.25">
      <c r="A742" s="1141">
        <v>2</v>
      </c>
      <c r="B742" s="1986" t="s">
        <v>1952</v>
      </c>
      <c r="C742" s="1986"/>
      <c r="D742" s="1986"/>
      <c r="E742" s="1986"/>
      <c r="F742" s="1986"/>
      <c r="G742" s="1617" t="s">
        <v>304</v>
      </c>
      <c r="H742" s="1737">
        <v>2</v>
      </c>
      <c r="I742" s="1202">
        <f>600000-2304.35</f>
        <v>597695.65</v>
      </c>
      <c r="J742" s="1617">
        <f>H742*I742</f>
        <v>1195391.3</v>
      </c>
      <c r="K742" s="1726"/>
      <c r="M742" s="61"/>
      <c r="P742" s="61"/>
      <c r="Q742" s="1733"/>
      <c r="R742" s="1734"/>
      <c r="S742" s="1735"/>
      <c r="T742" s="1736"/>
      <c r="U742" s="61"/>
      <c r="V742" s="61"/>
      <c r="W742" s="61"/>
      <c r="X742" s="61"/>
      <c r="Y742" s="61"/>
      <c r="Z742" s="61"/>
      <c r="AA742" s="61"/>
      <c r="AB742" s="61"/>
    </row>
    <row r="743" spans="1:28" ht="15.75" x14ac:dyDescent="0.25">
      <c r="A743" s="1141">
        <v>3</v>
      </c>
      <c r="B743" s="1986" t="s">
        <v>1953</v>
      </c>
      <c r="C743" s="1986"/>
      <c r="D743" s="1986"/>
      <c r="E743" s="1986"/>
      <c r="F743" s="1986"/>
      <c r="G743" s="1617" t="s">
        <v>832</v>
      </c>
      <c r="H743" s="1737">
        <v>1</v>
      </c>
      <c r="I743" s="1202">
        <v>3000000</v>
      </c>
      <c r="J743" s="1617">
        <f>H743*I743</f>
        <v>3000000</v>
      </c>
      <c r="K743" s="70"/>
      <c r="L743" s="340"/>
      <c r="M743" s="61"/>
      <c r="P743" s="61"/>
      <c r="Q743" s="1733"/>
      <c r="R743" s="1734"/>
      <c r="S743" s="1735"/>
      <c r="T743" s="1736"/>
      <c r="U743" s="61"/>
      <c r="V743" s="61"/>
      <c r="W743" s="61"/>
      <c r="X743" s="61"/>
      <c r="Y743" s="61"/>
      <c r="Z743" s="61"/>
      <c r="AA743" s="61"/>
      <c r="AB743" s="61"/>
    </row>
    <row r="744" spans="1:28" x14ac:dyDescent="0.25">
      <c r="A744" s="1993" t="s">
        <v>39</v>
      </c>
      <c r="B744" s="1993"/>
      <c r="C744" s="1993"/>
      <c r="D744" s="1993"/>
      <c r="E744" s="1993"/>
      <c r="F744" s="1993"/>
      <c r="G744" s="1993"/>
      <c r="H744" s="1192"/>
      <c r="I744" s="1192" t="s">
        <v>5</v>
      </c>
      <c r="J744" s="1192">
        <f>SUM(J741:J743)</f>
        <v>5995391.2999999998</v>
      </c>
      <c r="L744" s="81"/>
      <c r="M744" s="61"/>
      <c r="N744" s="61"/>
      <c r="O744" s="61"/>
      <c r="P744" s="61"/>
      <c r="Q744" s="1733"/>
      <c r="R744" s="1734"/>
      <c r="S744" s="1735"/>
      <c r="T744" s="1736"/>
      <c r="U744" s="61"/>
      <c r="V744" s="61"/>
      <c r="W744" s="61"/>
      <c r="X744" s="61"/>
      <c r="Y744" s="61"/>
      <c r="Z744" s="61"/>
      <c r="AA744" s="61"/>
      <c r="AB744" s="61"/>
    </row>
    <row r="745" spans="1:28" x14ac:dyDescent="0.25">
      <c r="A745" s="63"/>
      <c r="B745" s="63"/>
      <c r="C745" s="63"/>
      <c r="D745" s="63"/>
      <c r="E745" s="63"/>
      <c r="F745" s="63"/>
      <c r="G745" s="63"/>
      <c r="H745" s="64"/>
      <c r="I745" s="64"/>
      <c r="J745" s="64"/>
      <c r="K745" s="61"/>
      <c r="M745" s="61"/>
      <c r="P745" s="61"/>
      <c r="Q745" s="1733"/>
      <c r="R745" s="1734"/>
      <c r="S745" s="1735"/>
      <c r="T745" s="1736"/>
      <c r="U745" s="61"/>
      <c r="V745" s="61"/>
      <c r="W745" s="61"/>
      <c r="X745" s="61"/>
      <c r="Y745" s="61"/>
      <c r="Z745" s="61"/>
      <c r="AA745" s="61"/>
      <c r="AB745" s="61"/>
    </row>
    <row r="746" spans="1:28" ht="15" hidden="1" customHeight="1" x14ac:dyDescent="0.25">
      <c r="A746" s="1644" t="s">
        <v>1091</v>
      </c>
      <c r="K746" s="70"/>
      <c r="L746" s="61"/>
      <c r="M746" s="61"/>
      <c r="N746" s="61"/>
      <c r="O746" s="61"/>
      <c r="P746" s="61"/>
      <c r="Q746" s="75"/>
      <c r="R746" s="75"/>
      <c r="S746" s="75"/>
      <c r="T746" s="75"/>
      <c r="U746" s="61"/>
      <c r="V746" s="61"/>
      <c r="W746" s="61"/>
      <c r="X746" s="61"/>
      <c r="Y746" s="61"/>
      <c r="Z746" s="61"/>
      <c r="AA746" s="61"/>
      <c r="AB746" s="61"/>
    </row>
    <row r="747" spans="1:28" ht="15" hidden="1" customHeight="1" x14ac:dyDescent="0.25">
      <c r="A747" s="1926" t="s">
        <v>8</v>
      </c>
      <c r="B747" s="1926" t="s">
        <v>35</v>
      </c>
      <c r="C747" s="1926"/>
      <c r="D747" s="1926"/>
      <c r="E747" s="1926"/>
      <c r="F747" s="1926"/>
      <c r="G747" s="1926" t="s">
        <v>61</v>
      </c>
      <c r="H747" s="1990" t="s">
        <v>735</v>
      </c>
      <c r="I747" s="1991"/>
      <c r="J747" s="1992"/>
      <c r="K747" s="61"/>
      <c r="L747" s="61"/>
      <c r="N747" s="61"/>
      <c r="O747" s="61"/>
      <c r="P747" s="61"/>
      <c r="Q747" s="75"/>
      <c r="R747" s="75"/>
      <c r="S747" s="75"/>
      <c r="T747" s="75"/>
      <c r="U747" s="61"/>
      <c r="V747" s="61"/>
      <c r="W747" s="61"/>
      <c r="X747" s="61"/>
      <c r="Y747" s="61"/>
      <c r="Z747" s="61"/>
      <c r="AA747" s="61"/>
      <c r="AB747" s="61"/>
    </row>
    <row r="748" spans="1:28" ht="31.5" hidden="1" customHeight="1" x14ac:dyDescent="0.25">
      <c r="A748" s="1926"/>
      <c r="B748" s="1926"/>
      <c r="C748" s="1926"/>
      <c r="D748" s="1926"/>
      <c r="E748" s="1926"/>
      <c r="F748" s="1926"/>
      <c r="G748" s="1926"/>
      <c r="H748" s="1598" t="s">
        <v>248</v>
      </c>
      <c r="I748" s="1617" t="s">
        <v>264</v>
      </c>
      <c r="J748" s="1617" t="s">
        <v>256</v>
      </c>
      <c r="K748" s="61"/>
      <c r="L748" s="61"/>
      <c r="M748" s="61"/>
      <c r="N748" s="61"/>
      <c r="O748" s="61"/>
      <c r="P748" s="61"/>
      <c r="Q748" s="75"/>
      <c r="R748" s="75"/>
      <c r="S748" s="75"/>
      <c r="T748" s="75"/>
      <c r="U748" s="61"/>
      <c r="V748" s="61"/>
      <c r="W748" s="61"/>
      <c r="X748" s="61"/>
      <c r="Y748" s="61"/>
      <c r="Z748" s="61"/>
      <c r="AA748" s="61"/>
      <c r="AB748" s="61"/>
    </row>
    <row r="749" spans="1:28" ht="17.25" hidden="1" customHeight="1" x14ac:dyDescent="0.25">
      <c r="A749" s="1141">
        <v>1</v>
      </c>
      <c r="B749" s="1986" t="s">
        <v>1302</v>
      </c>
      <c r="C749" s="1986"/>
      <c r="D749" s="1986"/>
      <c r="E749" s="1986"/>
      <c r="F749" s="1986"/>
      <c r="G749" s="1617" t="s">
        <v>304</v>
      </c>
      <c r="H749" s="1765"/>
      <c r="I749" s="1766">
        <v>53000</v>
      </c>
      <c r="J749" s="1766">
        <f>H749*I749</f>
        <v>0</v>
      </c>
      <c r="K749" s="344"/>
      <c r="L749" s="61"/>
      <c r="N749" s="61"/>
      <c r="O749" s="61"/>
      <c r="P749" s="61"/>
      <c r="Q749" s="75"/>
      <c r="R749" s="75"/>
      <c r="S749" s="75"/>
      <c r="T749" s="75"/>
      <c r="U749" s="61"/>
      <c r="V749" s="61"/>
      <c r="W749" s="61"/>
      <c r="X749" s="61"/>
      <c r="Y749" s="61"/>
      <c r="Z749" s="61"/>
      <c r="AA749" s="61"/>
      <c r="AB749" s="61"/>
    </row>
    <row r="750" spans="1:28" ht="17.25" hidden="1" customHeight="1" x14ac:dyDescent="0.25">
      <c r="A750" s="1141">
        <v>2</v>
      </c>
      <c r="B750" s="1986" t="s">
        <v>1303</v>
      </c>
      <c r="C750" s="1986"/>
      <c r="D750" s="1986"/>
      <c r="E750" s="1986"/>
      <c r="F750" s="1986"/>
      <c r="G750" s="1617" t="s">
        <v>304</v>
      </c>
      <c r="H750" s="1765"/>
      <c r="I750" s="1766">
        <v>40000</v>
      </c>
      <c r="J750" s="1766">
        <f>H750*I750</f>
        <v>0</v>
      </c>
      <c r="L750" s="61"/>
      <c r="N750" s="61"/>
      <c r="O750" s="61"/>
      <c r="P750" s="61"/>
      <c r="Q750" s="75"/>
      <c r="R750" s="75"/>
      <c r="S750" s="75"/>
      <c r="T750" s="75"/>
      <c r="U750" s="61"/>
      <c r="V750" s="61"/>
      <c r="W750" s="61"/>
      <c r="X750" s="61"/>
      <c r="Y750" s="61"/>
      <c r="Z750" s="61"/>
      <c r="AA750" s="61"/>
      <c r="AB750" s="61"/>
    </row>
    <row r="751" spans="1:28" ht="17.25" hidden="1" customHeight="1" x14ac:dyDescent="0.25">
      <c r="A751" s="1141">
        <v>3</v>
      </c>
      <c r="B751" s="1986" t="s">
        <v>1333</v>
      </c>
      <c r="C751" s="1986"/>
      <c r="D751" s="1986"/>
      <c r="E751" s="1986"/>
      <c r="F751" s="1986"/>
      <c r="G751" s="1617" t="s">
        <v>304</v>
      </c>
      <c r="H751" s="1765"/>
      <c r="I751" s="1766">
        <v>180000</v>
      </c>
      <c r="J751" s="1766">
        <f>H751*I751</f>
        <v>0</v>
      </c>
      <c r="L751" s="61"/>
      <c r="N751" s="61"/>
      <c r="O751" s="61"/>
      <c r="P751" s="61"/>
      <c r="Q751" s="75"/>
      <c r="R751" s="75"/>
      <c r="S751" s="75"/>
      <c r="T751" s="75"/>
      <c r="U751" s="61"/>
      <c r="V751" s="61"/>
      <c r="W751" s="61"/>
      <c r="X751" s="61"/>
      <c r="Y751" s="61"/>
      <c r="Z751" s="61"/>
      <c r="AA751" s="61"/>
      <c r="AB751" s="61"/>
    </row>
    <row r="752" spans="1:28" ht="17.25" hidden="1" customHeight="1" x14ac:dyDescent="0.25">
      <c r="A752" s="1141">
        <v>4</v>
      </c>
      <c r="B752" s="1986" t="s">
        <v>1332</v>
      </c>
      <c r="C752" s="1986"/>
      <c r="D752" s="1986"/>
      <c r="E752" s="1986"/>
      <c r="F752" s="1986"/>
      <c r="G752" s="1617" t="s">
        <v>304</v>
      </c>
      <c r="H752" s="1765"/>
      <c r="I752" s="1766">
        <v>180000</v>
      </c>
      <c r="J752" s="1766">
        <f>H752*I752</f>
        <v>0</v>
      </c>
      <c r="L752" s="61"/>
      <c r="N752" s="61"/>
      <c r="O752" s="61"/>
      <c r="P752" s="61"/>
      <c r="Q752" s="75"/>
      <c r="R752" s="75"/>
      <c r="S752" s="75"/>
      <c r="T752" s="75"/>
      <c r="U752" s="61"/>
      <c r="V752" s="61"/>
      <c r="W752" s="61"/>
      <c r="X752" s="61"/>
      <c r="Y752" s="61"/>
      <c r="Z752" s="61"/>
      <c r="AA752" s="61"/>
      <c r="AB752" s="61"/>
    </row>
    <row r="753" spans="1:28" ht="15" hidden="1" customHeight="1" x14ac:dyDescent="0.25">
      <c r="A753" s="1993" t="s">
        <v>39</v>
      </c>
      <c r="B753" s="1993"/>
      <c r="C753" s="1993"/>
      <c r="D753" s="1993"/>
      <c r="E753" s="1993"/>
      <c r="F753" s="1993"/>
      <c r="G753" s="1993"/>
      <c r="H753" s="1192" t="s">
        <v>5</v>
      </c>
      <c r="I753" s="1192" t="s">
        <v>5</v>
      </c>
      <c r="J753" s="1192">
        <f>SUM(J749:J752)</f>
        <v>0</v>
      </c>
      <c r="M753" s="61"/>
      <c r="N753" s="61"/>
      <c r="O753" s="61"/>
      <c r="P753" s="61"/>
      <c r="Q753" s="75"/>
      <c r="R753" s="75"/>
      <c r="S753" s="75"/>
      <c r="T753" s="75"/>
      <c r="U753" s="61"/>
      <c r="V753" s="61"/>
      <c r="W753" s="61"/>
      <c r="X753" s="61"/>
      <c r="Y753" s="61"/>
      <c r="Z753" s="61"/>
      <c r="AA753" s="61"/>
      <c r="AB753" s="61"/>
    </row>
    <row r="754" spans="1:28" ht="15" hidden="1" customHeight="1" x14ac:dyDescent="0.25">
      <c r="A754" s="63"/>
      <c r="B754" s="63"/>
      <c r="C754" s="63"/>
      <c r="D754" s="63"/>
      <c r="E754" s="63"/>
      <c r="F754" s="63"/>
      <c r="G754" s="63"/>
      <c r="H754" s="64"/>
      <c r="I754" s="64"/>
      <c r="J754" s="64"/>
      <c r="L754" s="61"/>
      <c r="M754" s="61"/>
      <c r="N754" s="61"/>
      <c r="O754" s="61"/>
      <c r="P754" s="61"/>
      <c r="Q754" s="75"/>
      <c r="R754" s="75"/>
      <c r="S754" s="75"/>
      <c r="T754" s="75"/>
      <c r="U754" s="61"/>
      <c r="V754" s="61"/>
      <c r="W754" s="61"/>
      <c r="X754" s="61"/>
      <c r="Y754" s="61"/>
      <c r="Z754" s="61"/>
      <c r="AA754" s="61"/>
      <c r="AB754" s="61"/>
    </row>
    <row r="755" spans="1:28" x14ac:dyDescent="0.25">
      <c r="A755" s="1644" t="s">
        <v>1689</v>
      </c>
      <c r="L755" s="61"/>
      <c r="M755" s="61"/>
      <c r="N755" s="61"/>
      <c r="O755" s="61"/>
      <c r="P755" s="61"/>
      <c r="Q755" s="75"/>
      <c r="R755" s="75"/>
      <c r="S755" s="75"/>
      <c r="T755" s="75"/>
      <c r="U755" s="61"/>
      <c r="V755" s="61"/>
      <c r="W755" s="61"/>
      <c r="X755" s="61"/>
      <c r="Y755" s="61"/>
      <c r="Z755" s="61"/>
      <c r="AA755" s="61"/>
      <c r="AB755" s="61"/>
    </row>
    <row r="756" spans="1:28" ht="15" customHeight="1" x14ac:dyDescent="0.25">
      <c r="A756" s="1926" t="s">
        <v>8</v>
      </c>
      <c r="B756" s="1926" t="s">
        <v>35</v>
      </c>
      <c r="C756" s="1926"/>
      <c r="D756" s="1926"/>
      <c r="E756" s="1926"/>
      <c r="F756" s="1926"/>
      <c r="G756" s="1926" t="s">
        <v>61</v>
      </c>
      <c r="H756" s="1990" t="s">
        <v>1827</v>
      </c>
      <c r="I756" s="1991"/>
      <c r="J756" s="1992"/>
      <c r="L756" s="61"/>
      <c r="M756" s="61"/>
      <c r="N756" s="61"/>
      <c r="O756" s="61"/>
      <c r="P756" s="61"/>
      <c r="Q756" s="75"/>
      <c r="R756" s="75"/>
      <c r="S756" s="75"/>
      <c r="T756" s="75"/>
      <c r="U756" s="61"/>
      <c r="V756" s="61"/>
      <c r="W756" s="61"/>
      <c r="X756" s="61"/>
      <c r="Y756" s="61"/>
      <c r="Z756" s="61"/>
      <c r="AA756" s="61"/>
      <c r="AB756" s="61"/>
    </row>
    <row r="757" spans="1:28" ht="31.5" customHeight="1" x14ac:dyDescent="0.25">
      <c r="A757" s="1926"/>
      <c r="B757" s="1926"/>
      <c r="C757" s="1926"/>
      <c r="D757" s="1926"/>
      <c r="E757" s="1926"/>
      <c r="F757" s="1926"/>
      <c r="G757" s="1926"/>
      <c r="H757" s="1598" t="s">
        <v>248</v>
      </c>
      <c r="I757" s="1617" t="s">
        <v>264</v>
      </c>
      <c r="J757" s="1617" t="s">
        <v>256</v>
      </c>
      <c r="L757" s="61"/>
      <c r="M757" s="61"/>
      <c r="N757" s="61"/>
      <c r="O757" s="61"/>
      <c r="P757" s="61"/>
      <c r="Q757" s="75"/>
      <c r="R757" s="75"/>
      <c r="S757" s="75"/>
      <c r="T757" s="75"/>
      <c r="U757" s="61"/>
      <c r="V757" s="61"/>
      <c r="W757" s="61"/>
      <c r="X757" s="61"/>
      <c r="Y757" s="61"/>
      <c r="Z757" s="61"/>
      <c r="AA757" s="61"/>
      <c r="AB757" s="61"/>
    </row>
    <row r="758" spans="1:28" ht="15" customHeight="1" x14ac:dyDescent="0.25">
      <c r="A758" s="1141">
        <v>1</v>
      </c>
      <c r="B758" s="2003" t="s">
        <v>1666</v>
      </c>
      <c r="C758" s="2004"/>
      <c r="D758" s="2004"/>
      <c r="E758" s="2004"/>
      <c r="F758" s="2005"/>
      <c r="G758" s="1617" t="s">
        <v>304</v>
      </c>
      <c r="H758" s="1230">
        <v>136</v>
      </c>
      <c r="I758" s="1617">
        <v>8000</v>
      </c>
      <c r="J758" s="1617">
        <f t="shared" ref="J758:J763" si="16">H758*I758</f>
        <v>1088000</v>
      </c>
      <c r="K758" s="1726"/>
      <c r="L758" s="61"/>
      <c r="M758" s="61"/>
      <c r="N758" s="61"/>
      <c r="O758" s="61"/>
      <c r="P758" s="61"/>
      <c r="Q758" s="75"/>
      <c r="R758" s="75"/>
      <c r="S758" s="75"/>
      <c r="T758" s="75"/>
      <c r="U758" s="61"/>
      <c r="V758" s="61"/>
      <c r="W758" s="61"/>
      <c r="X758" s="61"/>
      <c r="Y758" s="61"/>
      <c r="Z758" s="61"/>
      <c r="AA758" s="61"/>
      <c r="AB758" s="61"/>
    </row>
    <row r="759" spans="1:28" ht="15" customHeight="1" x14ac:dyDescent="0.25">
      <c r="A759" s="1141">
        <v>2</v>
      </c>
      <c r="B759" s="2003" t="s">
        <v>1667</v>
      </c>
      <c r="C759" s="2004"/>
      <c r="D759" s="2004"/>
      <c r="E759" s="2004"/>
      <c r="F759" s="2005"/>
      <c r="G759" s="1617" t="s">
        <v>304</v>
      </c>
      <c r="H759" s="1230">
        <f>68+20</f>
        <v>88</v>
      </c>
      <c r="I759" s="1617">
        <v>12000</v>
      </c>
      <c r="J759" s="1617">
        <f t="shared" si="16"/>
        <v>1056000</v>
      </c>
      <c r="K759" s="1726"/>
      <c r="L759" s="61"/>
      <c r="M759" s="61"/>
      <c r="N759" s="61"/>
      <c r="O759" s="61"/>
      <c r="P759" s="61"/>
      <c r="Q759" s="75"/>
      <c r="R759" s="75"/>
      <c r="S759" s="75"/>
      <c r="T759" s="75"/>
      <c r="U759" s="61"/>
      <c r="V759" s="61"/>
      <c r="W759" s="61"/>
      <c r="X759" s="61"/>
      <c r="Y759" s="61"/>
      <c r="Z759" s="61"/>
      <c r="AA759" s="61"/>
      <c r="AB759" s="61"/>
    </row>
    <row r="760" spans="1:28" ht="15" customHeight="1" x14ac:dyDescent="0.25">
      <c r="A760" s="1141">
        <v>3</v>
      </c>
      <c r="B760" s="2003" t="s">
        <v>1944</v>
      </c>
      <c r="C760" s="2004"/>
      <c r="D760" s="2004"/>
      <c r="E760" s="2004"/>
      <c r="F760" s="2005"/>
      <c r="G760" s="1617" t="s">
        <v>832</v>
      </c>
      <c r="H760" s="1230">
        <v>3</v>
      </c>
      <c r="I760" s="1617">
        <v>600000</v>
      </c>
      <c r="J760" s="1617">
        <f t="shared" si="16"/>
        <v>1800000</v>
      </c>
      <c r="L760" s="61"/>
      <c r="M760" s="61"/>
      <c r="N760" s="61"/>
      <c r="O760" s="61"/>
      <c r="P760" s="61"/>
      <c r="Q760" s="75"/>
      <c r="R760" s="75"/>
      <c r="S760" s="75"/>
      <c r="T760" s="75"/>
      <c r="U760" s="61"/>
      <c r="V760" s="61"/>
      <c r="W760" s="61"/>
      <c r="X760" s="61"/>
      <c r="Y760" s="61"/>
      <c r="Z760" s="61"/>
      <c r="AA760" s="61"/>
      <c r="AB760" s="61"/>
    </row>
    <row r="761" spans="1:28" ht="15" hidden="1" customHeight="1" x14ac:dyDescent="0.25">
      <c r="A761" s="1141">
        <v>4</v>
      </c>
      <c r="B761" s="2003" t="s">
        <v>1601</v>
      </c>
      <c r="C761" s="2004"/>
      <c r="D761" s="2004"/>
      <c r="E761" s="2004"/>
      <c r="F761" s="2005"/>
      <c r="G761" s="1617" t="s">
        <v>832</v>
      </c>
      <c r="H761" s="1230"/>
      <c r="I761" s="1617">
        <v>24810.16</v>
      </c>
      <c r="J761" s="1617">
        <f t="shared" si="16"/>
        <v>0</v>
      </c>
      <c r="L761" s="968"/>
      <c r="M761" s="61"/>
      <c r="N761" s="61"/>
      <c r="O761" s="61"/>
      <c r="P761" s="61"/>
      <c r="Q761" s="75"/>
      <c r="R761" s="75"/>
      <c r="S761" s="75"/>
      <c r="T761" s="75"/>
      <c r="U761" s="61"/>
      <c r="V761" s="61"/>
      <c r="W761" s="61"/>
      <c r="X761" s="61"/>
      <c r="Y761" s="61"/>
      <c r="Z761" s="61"/>
      <c r="AA761" s="61"/>
      <c r="AB761" s="61"/>
    </row>
    <row r="762" spans="1:28" ht="15" hidden="1" customHeight="1" x14ac:dyDescent="0.25">
      <c r="A762" s="1141">
        <v>5</v>
      </c>
      <c r="B762" s="2003" t="s">
        <v>1602</v>
      </c>
      <c r="C762" s="2004"/>
      <c r="D762" s="2004"/>
      <c r="E762" s="2004"/>
      <c r="F762" s="2005"/>
      <c r="G762" s="1617" t="s">
        <v>304</v>
      </c>
      <c r="H762" s="1230"/>
      <c r="I762" s="1617">
        <v>23015.4</v>
      </c>
      <c r="J762" s="1617">
        <f t="shared" si="16"/>
        <v>0</v>
      </c>
      <c r="L762" s="343"/>
      <c r="M762" s="61"/>
      <c r="N762" s="61"/>
      <c r="O762" s="61"/>
      <c r="P762" s="61"/>
      <c r="Q762" s="75"/>
      <c r="R762" s="75"/>
      <c r="S762" s="75"/>
      <c r="T762" s="75"/>
      <c r="U762" s="61"/>
      <c r="V762" s="61"/>
      <c r="W762" s="61"/>
      <c r="X762" s="61"/>
      <c r="Y762" s="61"/>
      <c r="Z762" s="61"/>
      <c r="AA762" s="61"/>
      <c r="AB762" s="61"/>
    </row>
    <row r="763" spans="1:28" ht="15" customHeight="1" x14ac:dyDescent="0.25">
      <c r="A763" s="1141">
        <v>4</v>
      </c>
      <c r="B763" s="2003" t="s">
        <v>1950</v>
      </c>
      <c r="C763" s="2004"/>
      <c r="D763" s="2004"/>
      <c r="E763" s="2004"/>
      <c r="F763" s="2005"/>
      <c r="G763" s="1617" t="s">
        <v>304</v>
      </c>
      <c r="H763" s="1230">
        <v>35</v>
      </c>
      <c r="I763" s="1617">
        <v>18000</v>
      </c>
      <c r="J763" s="1617">
        <f t="shared" si="16"/>
        <v>630000</v>
      </c>
      <c r="K763" s="1726"/>
      <c r="L763" s="61"/>
      <c r="M763" s="61"/>
      <c r="N763" s="61"/>
      <c r="O763" s="61"/>
      <c r="P763" s="61"/>
      <c r="Q763" s="75"/>
      <c r="R763" s="75"/>
      <c r="S763" s="75"/>
      <c r="T763" s="75"/>
      <c r="U763" s="61"/>
      <c r="V763" s="61"/>
      <c r="W763" s="61"/>
      <c r="X763" s="61"/>
      <c r="Y763" s="61"/>
      <c r="Z763" s="61"/>
      <c r="AA763" s="61"/>
      <c r="AB763" s="61"/>
    </row>
    <row r="764" spans="1:28" ht="16.5" customHeight="1" x14ac:dyDescent="0.25">
      <c r="A764" s="1993" t="s">
        <v>39</v>
      </c>
      <c r="B764" s="1993"/>
      <c r="C764" s="1993"/>
      <c r="D764" s="1993"/>
      <c r="E764" s="1993"/>
      <c r="F764" s="1993"/>
      <c r="G764" s="1993"/>
      <c r="H764" s="1192" t="s">
        <v>5</v>
      </c>
      <c r="I764" s="1192" t="s">
        <v>5</v>
      </c>
      <c r="J764" s="1192">
        <f>SUM(J758:J763)</f>
        <v>4574000</v>
      </c>
      <c r="M764" s="61"/>
      <c r="N764" s="61"/>
      <c r="O764" s="61"/>
      <c r="P764" s="61"/>
      <c r="Q764" s="75"/>
      <c r="R764" s="75"/>
      <c r="S764" s="75"/>
      <c r="T764" s="75"/>
      <c r="U764" s="61"/>
      <c r="V764" s="61"/>
      <c r="W764" s="61"/>
      <c r="X764" s="61"/>
      <c r="Y764" s="61"/>
      <c r="Z764" s="61"/>
      <c r="AA764" s="61"/>
      <c r="AB764" s="61"/>
    </row>
    <row r="765" spans="1:28" x14ac:dyDescent="0.25">
      <c r="A765" s="63"/>
      <c r="B765" s="63"/>
      <c r="C765" s="63"/>
      <c r="D765" s="63"/>
      <c r="E765" s="63"/>
      <c r="F765" s="63"/>
      <c r="G765" s="63"/>
      <c r="H765" s="64"/>
      <c r="I765" s="64"/>
      <c r="J765" s="64"/>
      <c r="K765" s="81">
        <f>N6</f>
        <v>0</v>
      </c>
      <c r="M765" s="61"/>
      <c r="N765" s="61"/>
      <c r="O765" s="61"/>
      <c r="P765" s="61"/>
      <c r="Q765" s="75"/>
      <c r="R765" s="75"/>
      <c r="S765" s="75"/>
      <c r="T765" s="75"/>
      <c r="U765" s="61"/>
      <c r="V765" s="61"/>
      <c r="W765" s="61"/>
      <c r="X765" s="61"/>
      <c r="Y765" s="61"/>
      <c r="Z765" s="61"/>
      <c r="AA765" s="61"/>
      <c r="AB765" s="61"/>
    </row>
    <row r="766" spans="1:28" hidden="1" x14ac:dyDescent="0.25">
      <c r="A766" s="1645" t="s">
        <v>63</v>
      </c>
      <c r="B766" s="72"/>
      <c r="C766" s="72"/>
      <c r="D766" s="75"/>
      <c r="E766" s="94" t="s">
        <v>1505</v>
      </c>
      <c r="J766" s="85">
        <f>J767</f>
        <v>0</v>
      </c>
      <c r="K766" s="174"/>
      <c r="L766" s="344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</row>
    <row r="767" spans="1:28" hidden="1" x14ac:dyDescent="0.25">
      <c r="A767" s="1645" t="s">
        <v>26</v>
      </c>
      <c r="B767" s="72"/>
      <c r="C767" s="72"/>
      <c r="D767" s="72"/>
      <c r="E767" s="71" t="s">
        <v>626</v>
      </c>
      <c r="J767" s="85">
        <f>J768</f>
        <v>0</v>
      </c>
      <c r="K767" s="341"/>
      <c r="L767" s="2"/>
      <c r="M767" s="83"/>
      <c r="N767" s="79"/>
      <c r="O767" s="354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</row>
    <row r="768" spans="1:28" hidden="1" x14ac:dyDescent="0.25">
      <c r="A768" s="1645" t="s">
        <v>27</v>
      </c>
      <c r="B768" s="72"/>
      <c r="C768" s="72"/>
      <c r="D768" s="72"/>
      <c r="E768" s="71" t="s">
        <v>67</v>
      </c>
      <c r="J768" s="69">
        <f>J774</f>
        <v>0</v>
      </c>
      <c r="K768" s="341"/>
      <c r="L768" s="2"/>
      <c r="M768" s="341"/>
      <c r="N768" s="341"/>
      <c r="O768" s="765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</row>
    <row r="769" spans="1:28" hidden="1" x14ac:dyDescent="0.25">
      <c r="A769" s="1644" t="s">
        <v>1761</v>
      </c>
      <c r="K769" s="174"/>
      <c r="L769" s="344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</row>
    <row r="770" spans="1:28" hidden="1" x14ac:dyDescent="0.25">
      <c r="A770" s="1926" t="s">
        <v>8</v>
      </c>
      <c r="B770" s="1926" t="s">
        <v>35</v>
      </c>
      <c r="C770" s="1926"/>
      <c r="D770" s="1926"/>
      <c r="E770" s="1926"/>
      <c r="F770" s="1926"/>
      <c r="G770" s="1926" t="s">
        <v>61</v>
      </c>
      <c r="H770" s="1990" t="s">
        <v>1605</v>
      </c>
      <c r="I770" s="1991"/>
      <c r="J770" s="1992"/>
      <c r="K770" s="174"/>
      <c r="L770" s="344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</row>
    <row r="771" spans="1:28" ht="30" hidden="1" x14ac:dyDescent="0.25">
      <c r="A771" s="1926"/>
      <c r="B771" s="1926"/>
      <c r="C771" s="1926"/>
      <c r="D771" s="1926"/>
      <c r="E771" s="1926"/>
      <c r="F771" s="1926"/>
      <c r="G771" s="1926"/>
      <c r="H771" s="1598" t="s">
        <v>248</v>
      </c>
      <c r="I771" s="1617" t="s">
        <v>264</v>
      </c>
      <c r="J771" s="1617" t="s">
        <v>256</v>
      </c>
      <c r="K771" s="174"/>
      <c r="L771" s="344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</row>
    <row r="772" spans="1:28" ht="15.75" hidden="1" x14ac:dyDescent="0.25">
      <c r="A772" s="1141">
        <v>1</v>
      </c>
      <c r="B772" s="1986" t="s">
        <v>1738</v>
      </c>
      <c r="C772" s="1986"/>
      <c r="D772" s="1986"/>
      <c r="E772" s="1986"/>
      <c r="F772" s="1986"/>
      <c r="G772" s="1617" t="s">
        <v>304</v>
      </c>
      <c r="H772" s="1758"/>
      <c r="I772" s="1202">
        <v>2900</v>
      </c>
      <c r="J772" s="1617">
        <f>H772*I772</f>
        <v>0</v>
      </c>
      <c r="L772" s="1661"/>
      <c r="M772" s="2072"/>
      <c r="N772" s="2072"/>
      <c r="O772" s="1254"/>
      <c r="P772" s="1254"/>
      <c r="Q772" s="1254"/>
      <c r="R772" s="1734"/>
      <c r="S772" s="1735"/>
      <c r="T772" s="1736"/>
      <c r="U772" s="61"/>
      <c r="V772" s="61"/>
      <c r="W772" s="61"/>
      <c r="X772" s="61"/>
      <c r="Y772" s="61"/>
      <c r="Z772" s="61"/>
      <c r="AA772" s="61"/>
      <c r="AB772" s="61"/>
    </row>
    <row r="773" spans="1:28" ht="15.75" hidden="1" x14ac:dyDescent="0.25">
      <c r="A773" s="1141">
        <v>2</v>
      </c>
      <c r="B773" s="1986" t="s">
        <v>1742</v>
      </c>
      <c r="C773" s="1986"/>
      <c r="D773" s="1986"/>
      <c r="E773" s="1986"/>
      <c r="F773" s="1986"/>
      <c r="G773" s="1617" t="s">
        <v>304</v>
      </c>
      <c r="H773" s="1758"/>
      <c r="I773" s="1202">
        <v>8900</v>
      </c>
      <c r="J773" s="1617">
        <f t="shared" ref="J773" si="17">H773*I773</f>
        <v>0</v>
      </c>
      <c r="L773" s="1661"/>
      <c r="M773" s="61"/>
      <c r="N773" s="61"/>
      <c r="O773" s="1254"/>
      <c r="P773" s="1254"/>
      <c r="Q773" s="1254"/>
      <c r="R773" s="1734"/>
      <c r="S773" s="1735"/>
      <c r="T773" s="1736"/>
      <c r="U773" s="61"/>
      <c r="V773" s="61"/>
      <c r="W773" s="61"/>
      <c r="X773" s="61"/>
      <c r="Y773" s="61"/>
      <c r="Z773" s="61"/>
      <c r="AA773" s="61"/>
      <c r="AB773" s="61"/>
    </row>
    <row r="774" spans="1:28" hidden="1" x14ac:dyDescent="0.25">
      <c r="A774" s="1993" t="s">
        <v>39</v>
      </c>
      <c r="B774" s="1993"/>
      <c r="C774" s="1993"/>
      <c r="D774" s="1993"/>
      <c r="E774" s="1993"/>
      <c r="F774" s="1993"/>
      <c r="G774" s="1993"/>
      <c r="H774" s="1192" t="s">
        <v>5</v>
      </c>
      <c r="I774" s="1192" t="s">
        <v>5</v>
      </c>
      <c r="J774" s="1192">
        <f>SUM(J772:J773)</f>
        <v>0</v>
      </c>
      <c r="K774" s="174"/>
      <c r="L774" s="344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</row>
    <row r="775" spans="1:28" hidden="1" x14ac:dyDescent="0.25">
      <c r="A775" s="63"/>
      <c r="B775" s="63"/>
      <c r="C775" s="63"/>
      <c r="D775" s="63"/>
      <c r="E775" s="63"/>
      <c r="F775" s="63"/>
      <c r="G775" s="63"/>
      <c r="H775" s="64"/>
      <c r="I775" s="64"/>
      <c r="J775" s="64"/>
      <c r="K775" s="174"/>
      <c r="L775" s="344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</row>
    <row r="776" spans="1:28" hidden="1" x14ac:dyDescent="0.25">
      <c r="A776" s="1645" t="s">
        <v>63</v>
      </c>
      <c r="B776" s="72"/>
      <c r="C776" s="72"/>
      <c r="D776" s="75"/>
      <c r="E776" s="94" t="s">
        <v>99</v>
      </c>
      <c r="J776" s="85">
        <f>J777</f>
        <v>0</v>
      </c>
      <c r="L776" s="61"/>
      <c r="M776" s="8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</row>
    <row r="777" spans="1:28" hidden="1" x14ac:dyDescent="0.25">
      <c r="A777" s="1645" t="s">
        <v>26</v>
      </c>
      <c r="B777" s="72"/>
      <c r="C777" s="72"/>
      <c r="D777" s="75"/>
      <c r="E777" s="71" t="s">
        <v>624</v>
      </c>
      <c r="J777" s="85">
        <f>J786</f>
        <v>0</v>
      </c>
      <c r="L777" s="8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</row>
    <row r="778" spans="1:28" hidden="1" x14ac:dyDescent="0.25">
      <c r="A778" s="1645" t="s">
        <v>27</v>
      </c>
      <c r="B778" s="72"/>
      <c r="C778" s="72"/>
      <c r="D778" s="75"/>
      <c r="E778" s="71" t="s">
        <v>1477</v>
      </c>
      <c r="J778" s="85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</row>
    <row r="779" spans="1:28" hidden="1" x14ac:dyDescent="0.25">
      <c r="A779" s="1644" t="s">
        <v>327</v>
      </c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</row>
    <row r="780" spans="1:28" hidden="1" x14ac:dyDescent="0.25">
      <c r="A780" s="1898" t="s">
        <v>8</v>
      </c>
      <c r="B780" s="1898" t="s">
        <v>35</v>
      </c>
      <c r="C780" s="1898"/>
      <c r="D780" s="1898"/>
      <c r="E780" s="1898"/>
      <c r="F780" s="1898"/>
      <c r="G780" s="1898" t="s">
        <v>61</v>
      </c>
      <c r="H780" s="1899" t="s">
        <v>1476</v>
      </c>
      <c r="I780" s="1998"/>
      <c r="J780" s="1999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</row>
    <row r="781" spans="1:28" ht="32.25" hidden="1" customHeight="1" x14ac:dyDescent="0.25">
      <c r="A781" s="1898"/>
      <c r="B781" s="1898"/>
      <c r="C781" s="1898"/>
      <c r="D781" s="1898"/>
      <c r="E781" s="1898"/>
      <c r="F781" s="1898"/>
      <c r="G781" s="1898"/>
      <c r="H781" s="1581" t="s">
        <v>248</v>
      </c>
      <c r="I781" s="1588" t="s">
        <v>264</v>
      </c>
      <c r="J781" s="1588" t="s">
        <v>256</v>
      </c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</row>
    <row r="782" spans="1:28" hidden="1" x14ac:dyDescent="0.25">
      <c r="A782" s="1630">
        <v>1</v>
      </c>
      <c r="B782" s="1909" t="s">
        <v>730</v>
      </c>
      <c r="C782" s="1909"/>
      <c r="D782" s="1909"/>
      <c r="E782" s="1909"/>
      <c r="F782" s="1909"/>
      <c r="G782" s="1588" t="s">
        <v>303</v>
      </c>
      <c r="H782" s="1588">
        <f>1750-450</f>
        <v>1300</v>
      </c>
      <c r="I782" s="1588">
        <v>57</v>
      </c>
      <c r="J782" s="1588">
        <f>H782*I782</f>
        <v>74100</v>
      </c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</row>
    <row r="783" spans="1:28" hidden="1" x14ac:dyDescent="0.25">
      <c r="A783" s="1895" t="s">
        <v>39</v>
      </c>
      <c r="B783" s="1895"/>
      <c r="C783" s="1895"/>
      <c r="D783" s="1895"/>
      <c r="E783" s="1895"/>
      <c r="F783" s="1895"/>
      <c r="G783" s="1895"/>
      <c r="H783" s="1589" t="s">
        <v>5</v>
      </c>
      <c r="I783" s="1589" t="s">
        <v>5</v>
      </c>
      <c r="J783" s="1589">
        <f>SUM(J782:J782)</f>
        <v>74100</v>
      </c>
      <c r="K783" s="344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</row>
    <row r="784" spans="1:28" ht="15" hidden="1" customHeight="1" x14ac:dyDescent="0.25">
      <c r="A784" s="1924" t="s">
        <v>514</v>
      </c>
      <c r="B784" s="1925"/>
      <c r="C784" s="1925"/>
      <c r="D784" s="1925"/>
      <c r="E784" s="1925"/>
      <c r="F784" s="1925"/>
      <c r="G784" s="1925"/>
      <c r="H784" s="1925"/>
      <c r="I784" s="1925"/>
      <c r="J784" s="1925"/>
      <c r="K784" s="344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</row>
    <row r="785" spans="1:28" hidden="1" x14ac:dyDescent="0.25">
      <c r="A785" s="1913" t="s">
        <v>1134</v>
      </c>
      <c r="B785" s="1913"/>
      <c r="C785" s="1913"/>
      <c r="D785" s="1913"/>
      <c r="E785" s="1913"/>
      <c r="F785" s="1913"/>
      <c r="G785" s="1913"/>
      <c r="H785" s="1913"/>
      <c r="I785" s="1913"/>
      <c r="J785" s="1594">
        <v>0</v>
      </c>
      <c r="K785" s="344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</row>
    <row r="786" spans="1:28" hidden="1" x14ac:dyDescent="0.25">
      <c r="A786" s="1913" t="s">
        <v>153</v>
      </c>
      <c r="B786" s="1913"/>
      <c r="C786" s="1913"/>
      <c r="D786" s="1913"/>
      <c r="E786" s="1913"/>
      <c r="F786" s="1913"/>
      <c r="G786" s="1913"/>
      <c r="H786" s="1913"/>
      <c r="I786" s="1913"/>
      <c r="J786" s="1594"/>
      <c r="K786" s="344">
        <v>0</v>
      </c>
      <c r="L786" s="174">
        <f>J786-K786</f>
        <v>0</v>
      </c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</row>
    <row r="787" spans="1:28" hidden="1" x14ac:dyDescent="0.25">
      <c r="A787" s="1891" t="s">
        <v>619</v>
      </c>
      <c r="B787" s="1891"/>
      <c r="C787" s="1891"/>
      <c r="D787" s="1891"/>
      <c r="E787" s="1891"/>
      <c r="F787" s="1891"/>
      <c r="G787" s="1891"/>
      <c r="H787" s="1891"/>
      <c r="I787" s="1891"/>
      <c r="J787" s="1588"/>
      <c r="K787" s="344">
        <v>0</v>
      </c>
      <c r="L787" s="174">
        <f>J787-K787</f>
        <v>0</v>
      </c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</row>
    <row r="788" spans="1:28" hidden="1" x14ac:dyDescent="0.25">
      <c r="A788" s="1891" t="s">
        <v>1147</v>
      </c>
      <c r="B788" s="1891"/>
      <c r="C788" s="1891"/>
      <c r="D788" s="1891"/>
      <c r="E788" s="1891"/>
      <c r="F788" s="1891"/>
      <c r="G788" s="1891"/>
      <c r="H788" s="1891"/>
      <c r="I788" s="1891"/>
      <c r="J788" s="360"/>
      <c r="K788" s="344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</row>
    <row r="789" spans="1:28" hidden="1" x14ac:dyDescent="0.25">
      <c r="A789" s="1601"/>
      <c r="B789" s="1601"/>
      <c r="C789" s="1601"/>
      <c r="D789" s="1601"/>
      <c r="E789" s="1601"/>
      <c r="F789" s="1601"/>
      <c r="G789" s="1601"/>
      <c r="H789" s="1601"/>
      <c r="I789" s="1601"/>
      <c r="J789" s="97"/>
      <c r="K789" s="344">
        <f>K786</f>
        <v>0</v>
      </c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</row>
    <row r="790" spans="1:28" x14ac:dyDescent="0.25">
      <c r="A790" s="1645" t="s">
        <v>63</v>
      </c>
      <c r="B790" s="72"/>
      <c r="C790" s="72"/>
      <c r="D790" s="75"/>
      <c r="E790" s="94" t="s">
        <v>127</v>
      </c>
      <c r="F790" s="63"/>
      <c r="G790" s="63"/>
      <c r="H790" s="64"/>
      <c r="I790" s="64"/>
      <c r="J790" s="64">
        <f>J791+J804</f>
        <v>150560</v>
      </c>
      <c r="K790" s="174"/>
      <c r="M790" s="61"/>
      <c r="N790" s="968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</row>
    <row r="791" spans="1:28" x14ac:dyDescent="0.25">
      <c r="A791" s="1645" t="s">
        <v>26</v>
      </c>
      <c r="B791" s="72"/>
      <c r="C791" s="75"/>
      <c r="D791" s="75"/>
      <c r="E791" s="71" t="s">
        <v>624</v>
      </c>
      <c r="J791" s="85">
        <f>J802</f>
        <v>150560</v>
      </c>
      <c r="K791" s="174"/>
      <c r="M791" s="61"/>
      <c r="N791" s="968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</row>
    <row r="792" spans="1:28" x14ac:dyDescent="0.25">
      <c r="A792" s="1645" t="s">
        <v>27</v>
      </c>
      <c r="B792" s="72"/>
      <c r="C792" s="75"/>
      <c r="D792" s="75"/>
      <c r="E792" s="71" t="s">
        <v>1830</v>
      </c>
      <c r="J792" s="85">
        <f>J802</f>
        <v>150560</v>
      </c>
      <c r="K792" s="174"/>
      <c r="M792" s="61"/>
      <c r="N792" s="968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</row>
    <row r="793" spans="1:28" x14ac:dyDescent="0.25">
      <c r="A793" s="1644" t="s">
        <v>1933</v>
      </c>
      <c r="B793" s="72"/>
      <c r="C793" s="75"/>
      <c r="D793" s="75"/>
      <c r="E793" s="71"/>
      <c r="J793" s="85"/>
      <c r="K793" s="174"/>
      <c r="M793" s="61"/>
      <c r="N793" s="968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</row>
    <row r="794" spans="1:28" x14ac:dyDescent="0.25">
      <c r="A794" s="1926" t="s">
        <v>8</v>
      </c>
      <c r="B794" s="1926" t="s">
        <v>35</v>
      </c>
      <c r="C794" s="1926"/>
      <c r="D794" s="1926"/>
      <c r="E794" s="1926"/>
      <c r="F794" s="1926"/>
      <c r="G794" s="1926" t="s">
        <v>61</v>
      </c>
      <c r="H794" s="1990" t="s">
        <v>1827</v>
      </c>
      <c r="I794" s="1991"/>
      <c r="J794" s="1992"/>
      <c r="K794" s="174"/>
      <c r="M794" s="61"/>
      <c r="N794" s="968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</row>
    <row r="795" spans="1:28" ht="30" x14ac:dyDescent="0.25">
      <c r="A795" s="1926"/>
      <c r="B795" s="1926"/>
      <c r="C795" s="1926"/>
      <c r="D795" s="1926"/>
      <c r="E795" s="1926"/>
      <c r="F795" s="1926"/>
      <c r="G795" s="1926"/>
      <c r="H795" s="1598" t="s">
        <v>248</v>
      </c>
      <c r="I795" s="1617" t="s">
        <v>264</v>
      </c>
      <c r="J795" s="1617" t="s">
        <v>256</v>
      </c>
      <c r="K795" s="174"/>
      <c r="M795" s="61"/>
      <c r="N795" s="968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</row>
    <row r="796" spans="1:28" x14ac:dyDescent="0.25">
      <c r="A796" s="1141">
        <v>1</v>
      </c>
      <c r="B796" s="1986" t="s">
        <v>1934</v>
      </c>
      <c r="C796" s="1986"/>
      <c r="D796" s="1986"/>
      <c r="E796" s="1986"/>
      <c r="F796" s="1986"/>
      <c r="G796" s="1617" t="s">
        <v>1935</v>
      </c>
      <c r="H796" s="1364">
        <v>2</v>
      </c>
      <c r="I796" s="1617">
        <v>1550</v>
      </c>
      <c r="J796" s="1617">
        <f t="shared" ref="J796:J801" si="18">H796*I796</f>
        <v>3100</v>
      </c>
      <c r="K796" s="174"/>
      <c r="M796" s="61"/>
      <c r="N796" s="968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</row>
    <row r="797" spans="1:28" x14ac:dyDescent="0.25">
      <c r="A797" s="1141">
        <v>2</v>
      </c>
      <c r="B797" s="1986" t="s">
        <v>1936</v>
      </c>
      <c r="C797" s="1986"/>
      <c r="D797" s="1986"/>
      <c r="E797" s="1986"/>
      <c r="F797" s="1986"/>
      <c r="G797" s="1617" t="s">
        <v>304</v>
      </c>
      <c r="H797" s="1364">
        <v>65</v>
      </c>
      <c r="I797" s="1617">
        <v>2100</v>
      </c>
      <c r="J797" s="1617">
        <f t="shared" si="18"/>
        <v>136500</v>
      </c>
      <c r="K797" s="174"/>
      <c r="M797" s="61"/>
      <c r="N797" s="968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</row>
    <row r="798" spans="1:28" x14ac:dyDescent="0.25">
      <c r="A798" s="1141">
        <v>3</v>
      </c>
      <c r="B798" s="1986" t="s">
        <v>1940</v>
      </c>
      <c r="C798" s="1986"/>
      <c r="D798" s="1986"/>
      <c r="E798" s="1986"/>
      <c r="F798" s="1986"/>
      <c r="G798" s="1617" t="s">
        <v>304</v>
      </c>
      <c r="H798" s="1364">
        <v>2</v>
      </c>
      <c r="I798" s="1617">
        <v>2150</v>
      </c>
      <c r="J798" s="1617">
        <f t="shared" si="18"/>
        <v>4300</v>
      </c>
      <c r="K798" s="174"/>
      <c r="M798" s="61"/>
      <c r="N798" s="968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</row>
    <row r="799" spans="1:28" x14ac:dyDescent="0.25">
      <c r="A799" s="1141">
        <v>4</v>
      </c>
      <c r="B799" s="1986" t="s">
        <v>1937</v>
      </c>
      <c r="C799" s="1986"/>
      <c r="D799" s="1986"/>
      <c r="E799" s="1986"/>
      <c r="F799" s="1986"/>
      <c r="G799" s="1617" t="s">
        <v>1931</v>
      </c>
      <c r="H799" s="1364">
        <v>18</v>
      </c>
      <c r="I799" s="1617">
        <v>120</v>
      </c>
      <c r="J799" s="1617">
        <f t="shared" si="18"/>
        <v>2160</v>
      </c>
      <c r="K799" s="174"/>
      <c r="M799" s="61"/>
      <c r="N799" s="968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</row>
    <row r="800" spans="1:28" x14ac:dyDescent="0.25">
      <c r="A800" s="1141">
        <v>5</v>
      </c>
      <c r="B800" s="1986" t="s">
        <v>1938</v>
      </c>
      <c r="C800" s="1986"/>
      <c r="D800" s="1986"/>
      <c r="E800" s="1986"/>
      <c r="F800" s="1986"/>
      <c r="G800" s="1617" t="s">
        <v>1935</v>
      </c>
      <c r="H800" s="1364">
        <v>2</v>
      </c>
      <c r="I800" s="1617">
        <v>1250</v>
      </c>
      <c r="J800" s="1617">
        <f t="shared" si="18"/>
        <v>2500</v>
      </c>
      <c r="K800" s="174"/>
      <c r="M800" s="61"/>
      <c r="N800" s="968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</row>
    <row r="801" spans="1:28" x14ac:dyDescent="0.25">
      <c r="A801" s="1141">
        <v>6</v>
      </c>
      <c r="B801" s="1986" t="s">
        <v>1939</v>
      </c>
      <c r="C801" s="1986"/>
      <c r="D801" s="1986"/>
      <c r="E801" s="1986"/>
      <c r="F801" s="1986"/>
      <c r="G801" s="1617" t="s">
        <v>304</v>
      </c>
      <c r="H801" s="1364">
        <v>2</v>
      </c>
      <c r="I801" s="1617">
        <v>1000</v>
      </c>
      <c r="J801" s="1617">
        <f t="shared" si="18"/>
        <v>2000</v>
      </c>
      <c r="K801" s="174"/>
      <c r="M801" s="61"/>
      <c r="N801" s="968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</row>
    <row r="802" spans="1:28" x14ac:dyDescent="0.25">
      <c r="A802" s="1993" t="s">
        <v>39</v>
      </c>
      <c r="B802" s="1993"/>
      <c r="C802" s="1993"/>
      <c r="D802" s="1993"/>
      <c r="E802" s="1993"/>
      <c r="F802" s="1993"/>
      <c r="G802" s="1993"/>
      <c r="H802" s="1192" t="s">
        <v>5</v>
      </c>
      <c r="I802" s="1192" t="s">
        <v>5</v>
      </c>
      <c r="J802" s="1192">
        <f>SUM(J796:J801)</f>
        <v>150560</v>
      </c>
      <c r="K802" s="174"/>
      <c r="M802" s="61"/>
      <c r="N802" s="968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</row>
    <row r="803" spans="1:28" x14ac:dyDescent="0.25">
      <c r="A803" s="1645"/>
      <c r="B803" s="72"/>
      <c r="C803" s="72"/>
      <c r="D803" s="75"/>
      <c r="E803" s="94"/>
      <c r="F803" s="63"/>
      <c r="G803" s="63"/>
      <c r="H803" s="64"/>
      <c r="I803" s="64"/>
      <c r="J803" s="64"/>
      <c r="K803" s="174"/>
      <c r="M803" s="61"/>
      <c r="N803" s="968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</row>
    <row r="804" spans="1:28" hidden="1" x14ac:dyDescent="0.25">
      <c r="A804" s="1645" t="s">
        <v>26</v>
      </c>
      <c r="B804" s="72"/>
      <c r="C804" s="72"/>
      <c r="D804" s="72"/>
      <c r="E804" s="71" t="s">
        <v>626</v>
      </c>
      <c r="G804" s="63"/>
      <c r="H804" s="64"/>
      <c r="I804" s="64"/>
      <c r="J804" s="64">
        <f>J813</f>
        <v>0</v>
      </c>
      <c r="K804" s="174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</row>
    <row r="805" spans="1:28" hidden="1" x14ac:dyDescent="0.25">
      <c r="A805" s="1645" t="s">
        <v>27</v>
      </c>
      <c r="B805" s="72"/>
      <c r="C805" s="72"/>
      <c r="D805" s="72"/>
      <c r="E805" s="71" t="s">
        <v>67</v>
      </c>
      <c r="G805" s="63"/>
      <c r="H805" s="64"/>
      <c r="I805" s="64"/>
      <c r="J805" s="64"/>
      <c r="K805" s="174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</row>
    <row r="806" spans="1:28" ht="16.5" hidden="1" customHeight="1" x14ac:dyDescent="0.25">
      <c r="A806" s="1644" t="s">
        <v>1082</v>
      </c>
      <c r="K806" s="174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</row>
    <row r="807" spans="1:28" hidden="1" x14ac:dyDescent="0.25">
      <c r="A807" s="1898" t="s">
        <v>8</v>
      </c>
      <c r="B807" s="1898" t="s">
        <v>35</v>
      </c>
      <c r="C807" s="1898"/>
      <c r="D807" s="1898"/>
      <c r="E807" s="1898"/>
      <c r="F807" s="1898"/>
      <c r="G807" s="1898" t="s">
        <v>61</v>
      </c>
      <c r="H807" s="1899" t="s">
        <v>735</v>
      </c>
      <c r="I807" s="1998"/>
      <c r="J807" s="1999"/>
      <c r="K807" s="174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</row>
    <row r="808" spans="1:28" ht="31.5" hidden="1" customHeight="1" x14ac:dyDescent="0.25">
      <c r="A808" s="1898"/>
      <c r="B808" s="1898"/>
      <c r="C808" s="1898"/>
      <c r="D808" s="1898"/>
      <c r="E808" s="1898"/>
      <c r="F808" s="1898"/>
      <c r="G808" s="1898"/>
      <c r="H808" s="1581" t="s">
        <v>248</v>
      </c>
      <c r="I808" s="1588" t="s">
        <v>264</v>
      </c>
      <c r="J808" s="1588" t="s">
        <v>256</v>
      </c>
      <c r="K808" s="174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</row>
    <row r="809" spans="1:28" hidden="1" x14ac:dyDescent="0.25">
      <c r="A809" s="1630">
        <v>1</v>
      </c>
      <c r="B809" s="1932" t="s">
        <v>1175</v>
      </c>
      <c r="C809" s="2138"/>
      <c r="D809" s="2138"/>
      <c r="E809" s="2138"/>
      <c r="F809" s="2139"/>
      <c r="G809" s="1588" t="s">
        <v>245</v>
      </c>
      <c r="H809" s="67"/>
      <c r="I809" s="68">
        <v>5333</v>
      </c>
      <c r="J809" s="361">
        <f>H809*I809</f>
        <v>0</v>
      </c>
      <c r="K809" s="174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</row>
    <row r="810" spans="1:28" hidden="1" x14ac:dyDescent="0.25">
      <c r="A810" s="1630">
        <v>5</v>
      </c>
      <c r="B810" s="1932" t="s">
        <v>1175</v>
      </c>
      <c r="C810" s="2138"/>
      <c r="D810" s="2138"/>
      <c r="E810" s="2138"/>
      <c r="F810" s="2139"/>
      <c r="G810" s="1588" t="s">
        <v>245</v>
      </c>
      <c r="H810" s="67"/>
      <c r="I810" s="68"/>
      <c r="J810" s="361">
        <f>H810*I810</f>
        <v>0</v>
      </c>
      <c r="K810" s="174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</row>
    <row r="811" spans="1:28" hidden="1" x14ac:dyDescent="0.25">
      <c r="A811" s="1630">
        <v>6</v>
      </c>
      <c r="B811" s="1932" t="s">
        <v>1176</v>
      </c>
      <c r="C811" s="2138"/>
      <c r="D811" s="2138"/>
      <c r="E811" s="2138"/>
      <c r="F811" s="2139"/>
      <c r="G811" s="1588" t="s">
        <v>245</v>
      </c>
      <c r="H811" s="67"/>
      <c r="I811" s="68"/>
      <c r="J811" s="361">
        <f>H811*I811</f>
        <v>0</v>
      </c>
      <c r="K811" s="174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</row>
    <row r="812" spans="1:28" hidden="1" x14ac:dyDescent="0.25">
      <c r="A812" s="1630">
        <v>7</v>
      </c>
      <c r="B812" s="1932" t="s">
        <v>1177</v>
      </c>
      <c r="C812" s="2138"/>
      <c r="D812" s="2138"/>
      <c r="E812" s="2138"/>
      <c r="F812" s="2139"/>
      <c r="G812" s="1588" t="s">
        <v>245</v>
      </c>
      <c r="H812" s="67"/>
      <c r="I812" s="68"/>
      <c r="J812" s="361">
        <f>H812*I812</f>
        <v>0</v>
      </c>
      <c r="K812" s="174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</row>
    <row r="813" spans="1:28" hidden="1" x14ac:dyDescent="0.25">
      <c r="A813" s="1895" t="s">
        <v>39</v>
      </c>
      <c r="B813" s="1895"/>
      <c r="C813" s="1895"/>
      <c r="D813" s="1895"/>
      <c r="E813" s="1895"/>
      <c r="F813" s="1895"/>
      <c r="G813" s="1895"/>
      <c r="H813" s="1589" t="s">
        <v>5</v>
      </c>
      <c r="I813" s="1589" t="s">
        <v>5</v>
      </c>
      <c r="J813" s="1589">
        <f>SUM(J809:J812)</f>
        <v>0</v>
      </c>
      <c r="K813" s="174"/>
      <c r="L813" s="88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</row>
    <row r="814" spans="1:28" hidden="1" x14ac:dyDescent="0.25">
      <c r="A814" s="63"/>
      <c r="B814" s="63"/>
      <c r="C814" s="63"/>
      <c r="D814" s="63"/>
      <c r="E814" s="63"/>
      <c r="F814" s="63"/>
      <c r="G814" s="63"/>
      <c r="H814" s="64"/>
      <c r="I814" s="64"/>
      <c r="J814" s="64"/>
      <c r="K814" s="174"/>
      <c r="L814" s="88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</row>
    <row r="815" spans="1:28" x14ac:dyDescent="0.25">
      <c r="A815" s="1645" t="s">
        <v>63</v>
      </c>
      <c r="B815" s="72"/>
      <c r="C815" s="72"/>
      <c r="D815" s="75"/>
      <c r="E815" s="71" t="s">
        <v>81</v>
      </c>
      <c r="J815" s="85">
        <f>J816+J899</f>
        <v>8716834.4000000004</v>
      </c>
      <c r="L815" s="61"/>
      <c r="M815" s="8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</row>
    <row r="816" spans="1:28" ht="15" customHeight="1" x14ac:dyDescent="0.25">
      <c r="A816" s="1645" t="s">
        <v>26</v>
      </c>
      <c r="B816" s="72"/>
      <c r="C816" s="72"/>
      <c r="D816" s="61"/>
      <c r="E816" s="71" t="s">
        <v>624</v>
      </c>
      <c r="J816" s="85">
        <f>J817+J880</f>
        <v>635979.4</v>
      </c>
      <c r="K816" s="341"/>
      <c r="L816" s="2"/>
      <c r="M816" s="81"/>
      <c r="N816" s="34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</row>
    <row r="817" spans="1:28" x14ac:dyDescent="0.25">
      <c r="A817" s="1645" t="s">
        <v>27</v>
      </c>
      <c r="B817" s="72"/>
      <c r="C817" s="72"/>
      <c r="D817" s="61"/>
      <c r="E817" s="71" t="s">
        <v>1830</v>
      </c>
      <c r="J817" s="85">
        <f>J835+J865+J878</f>
        <v>595979.4</v>
      </c>
      <c r="K817" s="341"/>
      <c r="L817" s="829"/>
      <c r="M817" s="83"/>
      <c r="N817" s="829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</row>
    <row r="818" spans="1:28" s="87" customFormat="1" x14ac:dyDescent="0.25">
      <c r="A818" s="1644" t="s">
        <v>1254</v>
      </c>
      <c r="B818" s="72"/>
      <c r="C818" s="75"/>
      <c r="D818" s="75"/>
      <c r="E818" s="71"/>
      <c r="F818" s="1644"/>
      <c r="G818" s="1644"/>
      <c r="H818" s="60"/>
      <c r="I818" s="69"/>
      <c r="J818" s="85"/>
    </row>
    <row r="819" spans="1:28" s="87" customFormat="1" x14ac:dyDescent="0.25">
      <c r="A819" s="1926" t="s">
        <v>8</v>
      </c>
      <c r="B819" s="1926" t="s">
        <v>35</v>
      </c>
      <c r="C819" s="2046"/>
      <c r="D819" s="2046"/>
      <c r="E819" s="2046"/>
      <c r="F819" s="2046"/>
      <c r="G819" s="1898" t="s">
        <v>61</v>
      </c>
      <c r="H819" s="1899" t="s">
        <v>1827</v>
      </c>
      <c r="I819" s="1998"/>
      <c r="J819" s="1999"/>
    </row>
    <row r="820" spans="1:28" s="87" customFormat="1" ht="31.5" customHeight="1" x14ac:dyDescent="0.25">
      <c r="A820" s="2046"/>
      <c r="B820" s="2046"/>
      <c r="C820" s="2046"/>
      <c r="D820" s="2046"/>
      <c r="E820" s="2046"/>
      <c r="F820" s="2046"/>
      <c r="G820" s="1898"/>
      <c r="H820" s="1581" t="s">
        <v>248</v>
      </c>
      <c r="I820" s="1588" t="s">
        <v>264</v>
      </c>
      <c r="J820" s="1588" t="s">
        <v>256</v>
      </c>
    </row>
    <row r="821" spans="1:28" s="87" customFormat="1" ht="15" customHeight="1" x14ac:dyDescent="0.25">
      <c r="A821" s="2143" t="s">
        <v>1253</v>
      </c>
      <c r="B821" s="2007"/>
      <c r="C821" s="2007"/>
      <c r="D821" s="2007"/>
      <c r="E821" s="2007"/>
      <c r="F821" s="2007"/>
      <c r="G821" s="2007"/>
      <c r="H821" s="2007"/>
      <c r="I821" s="2008"/>
      <c r="J821" s="1188">
        <f>SUM(J822:J834)</f>
        <v>156324.6</v>
      </c>
    </row>
    <row r="822" spans="1:28" s="87" customFormat="1" x14ac:dyDescent="0.25">
      <c r="A822" s="1598">
        <v>1</v>
      </c>
      <c r="B822" s="1986" t="s">
        <v>1814</v>
      </c>
      <c r="C822" s="1986"/>
      <c r="D822" s="1986"/>
      <c r="E822" s="1986"/>
      <c r="F822" s="1986"/>
      <c r="G822" s="1175" t="s">
        <v>303</v>
      </c>
      <c r="H822" s="1175">
        <v>16</v>
      </c>
      <c r="I822" s="1535">
        <v>224</v>
      </c>
      <c r="J822" s="1617">
        <f>H822*I822</f>
        <v>3584</v>
      </c>
    </row>
    <row r="823" spans="1:28" s="87" customFormat="1" ht="15" customHeight="1" x14ac:dyDescent="0.25">
      <c r="A823" s="1598">
        <v>2</v>
      </c>
      <c r="B823" s="1986" t="s">
        <v>1815</v>
      </c>
      <c r="C823" s="1986"/>
      <c r="D823" s="1986"/>
      <c r="E823" s="1986"/>
      <c r="F823" s="1986"/>
      <c r="G823" s="1175" t="s">
        <v>303</v>
      </c>
      <c r="H823" s="1175">
        <v>40</v>
      </c>
      <c r="I823" s="1535">
        <v>363</v>
      </c>
      <c r="J823" s="1617">
        <f t="shared" ref="J823:J834" si="19">H823*I823</f>
        <v>14520</v>
      </c>
    </row>
    <row r="824" spans="1:28" s="87" customFormat="1" ht="15" customHeight="1" x14ac:dyDescent="0.25">
      <c r="A824" s="1598">
        <v>3</v>
      </c>
      <c r="B824" s="1986" t="s">
        <v>1816</v>
      </c>
      <c r="C824" s="1986"/>
      <c r="D824" s="1986"/>
      <c r="E824" s="1986"/>
      <c r="F824" s="1986"/>
      <c r="G824" s="1175" t="s">
        <v>934</v>
      </c>
      <c r="H824" s="1175">
        <v>96</v>
      </c>
      <c r="I824" s="1535">
        <v>418</v>
      </c>
      <c r="J824" s="1617">
        <f t="shared" si="19"/>
        <v>40128</v>
      </c>
    </row>
    <row r="825" spans="1:28" s="87" customFormat="1" ht="15" customHeight="1" x14ac:dyDescent="0.25">
      <c r="A825" s="1598">
        <v>4</v>
      </c>
      <c r="B825" s="1986" t="s">
        <v>1817</v>
      </c>
      <c r="C825" s="1986"/>
      <c r="D825" s="1986"/>
      <c r="E825" s="1986"/>
      <c r="F825" s="1986"/>
      <c r="G825" s="1175" t="s">
        <v>303</v>
      </c>
      <c r="H825" s="1175">
        <v>16</v>
      </c>
      <c r="I825" s="1535">
        <v>1694</v>
      </c>
      <c r="J825" s="1617">
        <f t="shared" si="19"/>
        <v>27104</v>
      </c>
    </row>
    <row r="826" spans="1:28" s="87" customFormat="1" ht="15" customHeight="1" x14ac:dyDescent="0.25">
      <c r="A826" s="1598">
        <v>5</v>
      </c>
      <c r="B826" s="1986" t="s">
        <v>1818</v>
      </c>
      <c r="C826" s="1986"/>
      <c r="D826" s="1986"/>
      <c r="E826" s="1986"/>
      <c r="F826" s="1986"/>
      <c r="G826" s="1175" t="s">
        <v>303</v>
      </c>
      <c r="H826" s="1175">
        <v>16</v>
      </c>
      <c r="I826" s="1535">
        <v>1848</v>
      </c>
      <c r="J826" s="1617">
        <f t="shared" si="19"/>
        <v>29568</v>
      </c>
    </row>
    <row r="827" spans="1:28" s="87" customFormat="1" x14ac:dyDescent="0.25">
      <c r="A827" s="1598">
        <v>6</v>
      </c>
      <c r="B827" s="1986" t="s">
        <v>1819</v>
      </c>
      <c r="C827" s="1986"/>
      <c r="D827" s="1986"/>
      <c r="E827" s="1986"/>
      <c r="F827" s="1986"/>
      <c r="G827" s="1175" t="s">
        <v>303</v>
      </c>
      <c r="H827" s="1175">
        <v>16</v>
      </c>
      <c r="I827" s="1535">
        <v>1914</v>
      </c>
      <c r="J827" s="1617">
        <f t="shared" si="19"/>
        <v>30624</v>
      </c>
    </row>
    <row r="828" spans="1:28" s="87" customFormat="1" ht="15" customHeight="1" x14ac:dyDescent="0.25">
      <c r="A828" s="1598">
        <v>7</v>
      </c>
      <c r="B828" s="1986" t="s">
        <v>1820</v>
      </c>
      <c r="C828" s="1986"/>
      <c r="D828" s="1986"/>
      <c r="E828" s="1986"/>
      <c r="F828" s="1986"/>
      <c r="G828" s="1175" t="s">
        <v>934</v>
      </c>
      <c r="H828" s="1175">
        <v>2.5</v>
      </c>
      <c r="I828" s="1535">
        <v>67</v>
      </c>
      <c r="J828" s="1617">
        <f t="shared" si="19"/>
        <v>167.5</v>
      </c>
    </row>
    <row r="829" spans="1:28" s="87" customFormat="1" x14ac:dyDescent="0.25">
      <c r="A829" s="1598">
        <v>8</v>
      </c>
      <c r="B829" s="1986" t="s">
        <v>1821</v>
      </c>
      <c r="C829" s="1986"/>
      <c r="D829" s="1986"/>
      <c r="E829" s="1986"/>
      <c r="F829" s="1986"/>
      <c r="G829" s="1175" t="s">
        <v>934</v>
      </c>
      <c r="H829" s="1175">
        <v>0.2</v>
      </c>
      <c r="I829" s="1535">
        <v>803</v>
      </c>
      <c r="J829" s="1617">
        <f t="shared" si="19"/>
        <v>160.6</v>
      </c>
    </row>
    <row r="830" spans="1:28" s="87" customFormat="1" x14ac:dyDescent="0.25">
      <c r="A830" s="1598">
        <v>9</v>
      </c>
      <c r="B830" s="1986" t="s">
        <v>1822</v>
      </c>
      <c r="C830" s="1986"/>
      <c r="D830" s="1986"/>
      <c r="E830" s="1986"/>
      <c r="F830" s="1986"/>
      <c r="G830" s="1175" t="s">
        <v>303</v>
      </c>
      <c r="H830" s="1175">
        <v>1.5</v>
      </c>
      <c r="I830" s="1535">
        <v>715</v>
      </c>
      <c r="J830" s="1617">
        <f t="shared" si="19"/>
        <v>1072.5</v>
      </c>
    </row>
    <row r="831" spans="1:28" s="87" customFormat="1" x14ac:dyDescent="0.25">
      <c r="A831" s="1598">
        <v>10</v>
      </c>
      <c r="B831" s="1986" t="s">
        <v>1823</v>
      </c>
      <c r="C831" s="1986"/>
      <c r="D831" s="1986"/>
      <c r="E831" s="1986"/>
      <c r="F831" s="1986"/>
      <c r="G831" s="1175" t="s">
        <v>934</v>
      </c>
      <c r="H831" s="1175">
        <v>16</v>
      </c>
      <c r="I831" s="1535">
        <v>165</v>
      </c>
      <c r="J831" s="1617">
        <f t="shared" si="19"/>
        <v>2640</v>
      </c>
    </row>
    <row r="832" spans="1:28" s="87" customFormat="1" x14ac:dyDescent="0.25">
      <c r="A832" s="1598">
        <v>11</v>
      </c>
      <c r="B832" s="1986" t="s">
        <v>1824</v>
      </c>
      <c r="C832" s="1986"/>
      <c r="D832" s="1986"/>
      <c r="E832" s="1986"/>
      <c r="F832" s="1986"/>
      <c r="G832" s="1175" t="s">
        <v>304</v>
      </c>
      <c r="H832" s="1175">
        <v>72</v>
      </c>
      <c r="I832" s="1535">
        <v>8</v>
      </c>
      <c r="J832" s="1617">
        <f t="shared" si="19"/>
        <v>576</v>
      </c>
    </row>
    <row r="833" spans="1:10" s="87" customFormat="1" x14ac:dyDescent="0.25">
      <c r="A833" s="1598">
        <v>12</v>
      </c>
      <c r="B833" s="1986" t="s">
        <v>1825</v>
      </c>
      <c r="C833" s="1986"/>
      <c r="D833" s="1986"/>
      <c r="E833" s="1986"/>
      <c r="F833" s="1986"/>
      <c r="G833" s="1175" t="s">
        <v>304</v>
      </c>
      <c r="H833" s="1175">
        <v>72</v>
      </c>
      <c r="I833" s="1535">
        <v>24</v>
      </c>
      <c r="J833" s="1617">
        <f t="shared" si="19"/>
        <v>1728</v>
      </c>
    </row>
    <row r="834" spans="1:10" s="87" customFormat="1" x14ac:dyDescent="0.25">
      <c r="A834" s="1598">
        <v>13</v>
      </c>
      <c r="B834" s="1986" t="s">
        <v>1826</v>
      </c>
      <c r="C834" s="1986"/>
      <c r="D834" s="1986"/>
      <c r="E834" s="1986"/>
      <c r="F834" s="1986"/>
      <c r="G834" s="1175" t="s">
        <v>934</v>
      </c>
      <c r="H834" s="1175">
        <v>5.6</v>
      </c>
      <c r="I834" s="1535">
        <v>795</v>
      </c>
      <c r="J834" s="1617">
        <f t="shared" si="19"/>
        <v>4452</v>
      </c>
    </row>
    <row r="835" spans="1:10" s="87" customFormat="1" ht="14.25" x14ac:dyDescent="0.25">
      <c r="A835" s="1987" t="s">
        <v>39</v>
      </c>
      <c r="B835" s="1988"/>
      <c r="C835" s="1988"/>
      <c r="D835" s="1988"/>
      <c r="E835" s="1988"/>
      <c r="F835" s="1988"/>
      <c r="G835" s="1988"/>
      <c r="H835" s="1988"/>
      <c r="I835" s="1989"/>
      <c r="J835" s="1589">
        <f>J821</f>
        <v>156324.6</v>
      </c>
    </row>
    <row r="836" spans="1:10" s="87" customFormat="1" ht="14.25" x14ac:dyDescent="0.25">
      <c r="A836" s="1303"/>
      <c r="B836" s="1303"/>
      <c r="C836" s="1303"/>
      <c r="D836" s="1303"/>
      <c r="E836" s="1303"/>
      <c r="F836" s="1303"/>
      <c r="G836" s="1303"/>
      <c r="H836" s="1303"/>
      <c r="I836" s="1303"/>
      <c r="J836" s="64"/>
    </row>
    <row r="837" spans="1:10" s="87" customFormat="1" x14ac:dyDescent="0.25">
      <c r="A837" s="2038" t="s">
        <v>1576</v>
      </c>
      <c r="B837" s="2038"/>
      <c r="C837" s="2038"/>
      <c r="D837" s="2038"/>
      <c r="E837" s="2038"/>
      <c r="F837" s="2038"/>
      <c r="G837" s="2038"/>
      <c r="H837" s="2038"/>
      <c r="I837" s="2038"/>
      <c r="J837" s="2038"/>
    </row>
    <row r="838" spans="1:10" s="87" customFormat="1" x14ac:dyDescent="0.25">
      <c r="A838" s="1926" t="s">
        <v>8</v>
      </c>
      <c r="B838" s="1956" t="s">
        <v>35</v>
      </c>
      <c r="C838" s="1916"/>
      <c r="D838" s="1916"/>
      <c r="E838" s="1916"/>
      <c r="F838" s="1957"/>
      <c r="G838" s="1926" t="s">
        <v>1827</v>
      </c>
      <c r="H838" s="1927"/>
      <c r="I838" s="1927"/>
      <c r="J838" s="1927"/>
    </row>
    <row r="839" spans="1:10" s="87" customFormat="1" ht="30" x14ac:dyDescent="0.25">
      <c r="A839" s="1926"/>
      <c r="B839" s="2009"/>
      <c r="C839" s="1961"/>
      <c r="D839" s="1961"/>
      <c r="E839" s="1961"/>
      <c r="F839" s="1962"/>
      <c r="G839" s="1604" t="s">
        <v>61</v>
      </c>
      <c r="H839" s="1598" t="s">
        <v>248</v>
      </c>
      <c r="I839" s="1617" t="s">
        <v>264</v>
      </c>
      <c r="J839" s="1385" t="s">
        <v>256</v>
      </c>
    </row>
    <row r="840" spans="1:10" s="87" customFormat="1" x14ac:dyDescent="0.25">
      <c r="A840" s="1079">
        <v>1</v>
      </c>
      <c r="B840" s="1986" t="s">
        <v>1899</v>
      </c>
      <c r="C840" s="1930"/>
      <c r="D840" s="1930"/>
      <c r="E840" s="1930"/>
      <c r="F840" s="1930"/>
      <c r="G840" s="1230" t="s">
        <v>304</v>
      </c>
      <c r="H840" s="1230">
        <v>50</v>
      </c>
      <c r="I840" s="1617">
        <v>228</v>
      </c>
      <c r="J840" s="1617">
        <f t="shared" ref="J840:J864" si="20">H840*I840</f>
        <v>11400</v>
      </c>
    </row>
    <row r="841" spans="1:10" s="87" customFormat="1" x14ac:dyDescent="0.25">
      <c r="A841" s="1079">
        <v>3</v>
      </c>
      <c r="B841" s="1986" t="s">
        <v>1900</v>
      </c>
      <c r="C841" s="1930"/>
      <c r="D841" s="1930"/>
      <c r="E841" s="1930"/>
      <c r="F841" s="1930"/>
      <c r="G841" s="1230" t="s">
        <v>304</v>
      </c>
      <c r="H841" s="1230">
        <v>80</v>
      </c>
      <c r="I841" s="1617">
        <v>17.3</v>
      </c>
      <c r="J841" s="1617">
        <f t="shared" si="20"/>
        <v>1384</v>
      </c>
    </row>
    <row r="842" spans="1:10" s="87" customFormat="1" x14ac:dyDescent="0.25">
      <c r="A842" s="1079">
        <v>4</v>
      </c>
      <c r="B842" s="1986" t="s">
        <v>1901</v>
      </c>
      <c r="C842" s="1930"/>
      <c r="D842" s="1930"/>
      <c r="E842" s="1930"/>
      <c r="F842" s="1930"/>
      <c r="G842" s="1230" t="s">
        <v>304</v>
      </c>
      <c r="H842" s="1230">
        <v>120</v>
      </c>
      <c r="I842" s="1617">
        <v>34</v>
      </c>
      <c r="J842" s="1617">
        <f t="shared" si="20"/>
        <v>4080</v>
      </c>
    </row>
    <row r="843" spans="1:10" s="87" customFormat="1" x14ac:dyDescent="0.25">
      <c r="A843" s="1079">
        <v>5</v>
      </c>
      <c r="B843" s="1986" t="s">
        <v>1902</v>
      </c>
      <c r="C843" s="1930"/>
      <c r="D843" s="1930"/>
      <c r="E843" s="1930"/>
      <c r="F843" s="1930"/>
      <c r="G843" s="1230" t="s">
        <v>304</v>
      </c>
      <c r="H843" s="1230">
        <v>50</v>
      </c>
      <c r="I843" s="1617">
        <v>79</v>
      </c>
      <c r="J843" s="1617">
        <f t="shared" si="20"/>
        <v>3950</v>
      </c>
    </row>
    <row r="844" spans="1:10" s="87" customFormat="1" x14ac:dyDescent="0.25">
      <c r="A844" s="1079">
        <v>6</v>
      </c>
      <c r="B844" s="1986" t="s">
        <v>1903</v>
      </c>
      <c r="C844" s="1930"/>
      <c r="D844" s="1930"/>
      <c r="E844" s="1930"/>
      <c r="F844" s="1930"/>
      <c r="G844" s="1230" t="s">
        <v>304</v>
      </c>
      <c r="H844" s="1230">
        <v>40</v>
      </c>
      <c r="I844" s="1617">
        <v>150</v>
      </c>
      <c r="J844" s="1617">
        <f t="shared" si="20"/>
        <v>6000</v>
      </c>
    </row>
    <row r="845" spans="1:10" s="87" customFormat="1" x14ac:dyDescent="0.25">
      <c r="A845" s="1079">
        <v>7</v>
      </c>
      <c r="B845" s="1986" t="s">
        <v>1904</v>
      </c>
      <c r="C845" s="1930"/>
      <c r="D845" s="1930"/>
      <c r="E845" s="1930"/>
      <c r="F845" s="1930"/>
      <c r="G845" s="1230" t="s">
        <v>304</v>
      </c>
      <c r="H845" s="1230">
        <v>80</v>
      </c>
      <c r="I845" s="1617">
        <v>30</v>
      </c>
      <c r="J845" s="1617">
        <f t="shared" si="20"/>
        <v>2400</v>
      </c>
    </row>
    <row r="846" spans="1:10" s="87" customFormat="1" x14ac:dyDescent="0.25">
      <c r="A846" s="1079">
        <v>8</v>
      </c>
      <c r="B846" s="1986" t="s">
        <v>1905</v>
      </c>
      <c r="C846" s="1930"/>
      <c r="D846" s="1930"/>
      <c r="E846" s="1930"/>
      <c r="F846" s="1930"/>
      <c r="G846" s="1230" t="s">
        <v>304</v>
      </c>
      <c r="H846" s="1230">
        <v>50</v>
      </c>
      <c r="I846" s="1617">
        <v>273</v>
      </c>
      <c r="J846" s="1617">
        <f t="shared" si="20"/>
        <v>13650</v>
      </c>
    </row>
    <row r="847" spans="1:10" s="87" customFormat="1" x14ac:dyDescent="0.25">
      <c r="A847" s="1079">
        <v>9</v>
      </c>
      <c r="B847" s="1986" t="s">
        <v>1906</v>
      </c>
      <c r="C847" s="1930"/>
      <c r="D847" s="1930"/>
      <c r="E847" s="1930"/>
      <c r="F847" s="1930"/>
      <c r="G847" s="1230" t="s">
        <v>304</v>
      </c>
      <c r="H847" s="1230">
        <v>70</v>
      </c>
      <c r="I847" s="1617">
        <v>40</v>
      </c>
      <c r="J847" s="1617">
        <f t="shared" si="20"/>
        <v>2800</v>
      </c>
    </row>
    <row r="848" spans="1:10" s="87" customFormat="1" x14ac:dyDescent="0.25">
      <c r="A848" s="1079">
        <v>10</v>
      </c>
      <c r="B848" s="1986" t="s">
        <v>1907</v>
      </c>
      <c r="C848" s="1930"/>
      <c r="D848" s="1930"/>
      <c r="E848" s="1930"/>
      <c r="F848" s="1930"/>
      <c r="G848" s="1230" t="s">
        <v>304</v>
      </c>
      <c r="H848" s="1230">
        <v>20</v>
      </c>
      <c r="I848" s="1617">
        <v>155</v>
      </c>
      <c r="J848" s="1617">
        <f t="shared" si="20"/>
        <v>3100</v>
      </c>
    </row>
    <row r="849" spans="1:10" s="87" customFormat="1" x14ac:dyDescent="0.25">
      <c r="A849" s="1079">
        <v>11</v>
      </c>
      <c r="B849" s="1986" t="s">
        <v>1908</v>
      </c>
      <c r="C849" s="1930"/>
      <c r="D849" s="1930"/>
      <c r="E849" s="1930"/>
      <c r="F849" s="1930"/>
      <c r="G849" s="1230" t="s">
        <v>304</v>
      </c>
      <c r="H849" s="1230">
        <v>25</v>
      </c>
      <c r="I849" s="1617">
        <v>45</v>
      </c>
      <c r="J849" s="1617">
        <f t="shared" si="20"/>
        <v>1125</v>
      </c>
    </row>
    <row r="850" spans="1:10" s="87" customFormat="1" x14ac:dyDescent="0.25">
      <c r="A850" s="1079">
        <v>12</v>
      </c>
      <c r="B850" s="1986" t="s">
        <v>1909</v>
      </c>
      <c r="C850" s="1930"/>
      <c r="D850" s="1930"/>
      <c r="E850" s="1930"/>
      <c r="F850" s="1930"/>
      <c r="G850" s="1230" t="s">
        <v>304</v>
      </c>
      <c r="H850" s="1230">
        <v>25</v>
      </c>
      <c r="I850" s="1617">
        <v>135</v>
      </c>
      <c r="J850" s="1617">
        <f t="shared" si="20"/>
        <v>3375</v>
      </c>
    </row>
    <row r="851" spans="1:10" s="87" customFormat="1" x14ac:dyDescent="0.25">
      <c r="A851" s="1079">
        <v>13</v>
      </c>
      <c r="B851" s="1986" t="s">
        <v>1910</v>
      </c>
      <c r="C851" s="1930"/>
      <c r="D851" s="1930"/>
      <c r="E851" s="1930"/>
      <c r="F851" s="1930"/>
      <c r="G851" s="1230" t="s">
        <v>832</v>
      </c>
      <c r="H851" s="1230">
        <v>25</v>
      </c>
      <c r="I851" s="1617">
        <v>225</v>
      </c>
      <c r="J851" s="1617">
        <f t="shared" si="20"/>
        <v>5625</v>
      </c>
    </row>
    <row r="852" spans="1:10" s="87" customFormat="1" x14ac:dyDescent="0.25">
      <c r="A852" s="1079">
        <v>14</v>
      </c>
      <c r="B852" s="1986" t="s">
        <v>1911</v>
      </c>
      <c r="C852" s="1930"/>
      <c r="D852" s="1930"/>
      <c r="E852" s="1930"/>
      <c r="F852" s="1930"/>
      <c r="G852" s="1230" t="s">
        <v>304</v>
      </c>
      <c r="H852" s="1230">
        <v>100</v>
      </c>
      <c r="I852" s="1617">
        <v>190</v>
      </c>
      <c r="J852" s="1617">
        <f t="shared" si="20"/>
        <v>19000</v>
      </c>
    </row>
    <row r="853" spans="1:10" s="87" customFormat="1" x14ac:dyDescent="0.25">
      <c r="A853" s="1079">
        <v>15</v>
      </c>
      <c r="B853" s="1986" t="s">
        <v>1912</v>
      </c>
      <c r="C853" s="1930"/>
      <c r="D853" s="1930"/>
      <c r="E853" s="1930"/>
      <c r="F853" s="1930"/>
      <c r="G853" s="1230" t="s">
        <v>304</v>
      </c>
      <c r="H853" s="1230">
        <v>10</v>
      </c>
      <c r="I853" s="1617">
        <v>1200</v>
      </c>
      <c r="J853" s="1617">
        <f t="shared" si="20"/>
        <v>12000</v>
      </c>
    </row>
    <row r="854" spans="1:10" s="87" customFormat="1" x14ac:dyDescent="0.25">
      <c r="A854" s="1079">
        <v>17</v>
      </c>
      <c r="B854" s="1986" t="s">
        <v>1913</v>
      </c>
      <c r="C854" s="1930"/>
      <c r="D854" s="1930"/>
      <c r="E854" s="1930"/>
      <c r="F854" s="1930"/>
      <c r="G854" s="1230" t="s">
        <v>304</v>
      </c>
      <c r="H854" s="1230">
        <v>100</v>
      </c>
      <c r="I854" s="1617">
        <v>25</v>
      </c>
      <c r="J854" s="1617">
        <f t="shared" si="20"/>
        <v>2500</v>
      </c>
    </row>
    <row r="855" spans="1:10" s="87" customFormat="1" x14ac:dyDescent="0.25">
      <c r="A855" s="1079">
        <v>18</v>
      </c>
      <c r="B855" s="1986" t="s">
        <v>1914</v>
      </c>
      <c r="C855" s="1930"/>
      <c r="D855" s="1930"/>
      <c r="E855" s="1930"/>
      <c r="F855" s="1930"/>
      <c r="G855" s="1230" t="s">
        <v>304</v>
      </c>
      <c r="H855" s="1230">
        <v>100</v>
      </c>
      <c r="I855" s="1617">
        <v>43</v>
      </c>
      <c r="J855" s="1617">
        <f t="shared" si="20"/>
        <v>4300</v>
      </c>
    </row>
    <row r="856" spans="1:10" s="87" customFormat="1" x14ac:dyDescent="0.25">
      <c r="A856" s="1079">
        <v>19</v>
      </c>
      <c r="B856" s="1986" t="s">
        <v>1915</v>
      </c>
      <c r="C856" s="1930"/>
      <c r="D856" s="1930"/>
      <c r="E856" s="1930"/>
      <c r="F856" s="1930"/>
      <c r="G856" s="1230" t="s">
        <v>304</v>
      </c>
      <c r="H856" s="1230">
        <v>10</v>
      </c>
      <c r="I856" s="1617">
        <v>340</v>
      </c>
      <c r="J856" s="1617">
        <f t="shared" si="20"/>
        <v>3400</v>
      </c>
    </row>
    <row r="857" spans="1:10" s="87" customFormat="1" x14ac:dyDescent="0.25">
      <c r="A857" s="1079">
        <v>20</v>
      </c>
      <c r="B857" s="1986" t="s">
        <v>1916</v>
      </c>
      <c r="C857" s="1930"/>
      <c r="D857" s="1930"/>
      <c r="E857" s="1930"/>
      <c r="F857" s="1930"/>
      <c r="G857" s="1230" t="s">
        <v>832</v>
      </c>
      <c r="H857" s="1230">
        <v>15</v>
      </c>
      <c r="I857" s="1617">
        <v>220</v>
      </c>
      <c r="J857" s="1617">
        <f t="shared" si="20"/>
        <v>3300</v>
      </c>
    </row>
    <row r="858" spans="1:10" s="87" customFormat="1" x14ac:dyDescent="0.25">
      <c r="A858" s="1079">
        <v>21</v>
      </c>
      <c r="B858" s="1986" t="s">
        <v>1917</v>
      </c>
      <c r="C858" s="1930"/>
      <c r="D858" s="1930"/>
      <c r="E858" s="1930"/>
      <c r="F858" s="1930"/>
      <c r="G858" s="1230" t="s">
        <v>832</v>
      </c>
      <c r="H858" s="1230">
        <v>10</v>
      </c>
      <c r="I858" s="1617">
        <v>720</v>
      </c>
      <c r="J858" s="1617">
        <f t="shared" si="20"/>
        <v>7200</v>
      </c>
    </row>
    <row r="859" spans="1:10" s="87" customFormat="1" x14ac:dyDescent="0.25">
      <c r="A859" s="1079">
        <v>22</v>
      </c>
      <c r="B859" s="1986" t="s">
        <v>1918</v>
      </c>
      <c r="C859" s="1930"/>
      <c r="D859" s="1930"/>
      <c r="E859" s="1930"/>
      <c r="F859" s="1930"/>
      <c r="G859" s="1230" t="s">
        <v>304</v>
      </c>
      <c r="H859" s="1230">
        <v>30</v>
      </c>
      <c r="I859" s="1617">
        <v>60</v>
      </c>
      <c r="J859" s="1617">
        <f t="shared" si="20"/>
        <v>1800</v>
      </c>
    </row>
    <row r="860" spans="1:10" s="87" customFormat="1" x14ac:dyDescent="0.25">
      <c r="A860" s="1079">
        <v>23</v>
      </c>
      <c r="B860" s="1986" t="s">
        <v>1919</v>
      </c>
      <c r="C860" s="1930"/>
      <c r="D860" s="1930"/>
      <c r="E860" s="1930"/>
      <c r="F860" s="1930"/>
      <c r="G860" s="1230" t="s">
        <v>304</v>
      </c>
      <c r="H860" s="1230">
        <v>120</v>
      </c>
      <c r="I860" s="1617">
        <v>25</v>
      </c>
      <c r="J860" s="1617">
        <f t="shared" si="20"/>
        <v>3000</v>
      </c>
    </row>
    <row r="861" spans="1:10" s="87" customFormat="1" x14ac:dyDescent="0.25">
      <c r="A861" s="1079">
        <v>24</v>
      </c>
      <c r="B861" s="1986" t="s">
        <v>722</v>
      </c>
      <c r="C861" s="1930"/>
      <c r="D861" s="1930"/>
      <c r="E861" s="1930"/>
      <c r="F861" s="1930"/>
      <c r="G861" s="1230" t="s">
        <v>304</v>
      </c>
      <c r="H861" s="1230">
        <v>100</v>
      </c>
      <c r="I861" s="1617">
        <v>84</v>
      </c>
      <c r="J861" s="1617">
        <f t="shared" si="20"/>
        <v>8400</v>
      </c>
    </row>
    <row r="862" spans="1:10" s="87" customFormat="1" x14ac:dyDescent="0.25">
      <c r="A862" s="1079">
        <v>25</v>
      </c>
      <c r="B862" s="1986" t="s">
        <v>1920</v>
      </c>
      <c r="C862" s="1930"/>
      <c r="D862" s="1930"/>
      <c r="E862" s="1930"/>
      <c r="F862" s="1930"/>
      <c r="G862" s="1230" t="s">
        <v>304</v>
      </c>
      <c r="H862" s="1230">
        <v>50</v>
      </c>
      <c r="I862" s="1617">
        <v>145</v>
      </c>
      <c r="J862" s="1617">
        <f t="shared" si="20"/>
        <v>7250</v>
      </c>
    </row>
    <row r="863" spans="1:10" s="87" customFormat="1" x14ac:dyDescent="0.25">
      <c r="A863" s="1079">
        <v>26</v>
      </c>
      <c r="B863" s="1986" t="s">
        <v>1921</v>
      </c>
      <c r="C863" s="1930"/>
      <c r="D863" s="1930"/>
      <c r="E863" s="1930"/>
      <c r="F863" s="1930"/>
      <c r="G863" s="1230" t="s">
        <v>304</v>
      </c>
      <c r="H863" s="1230">
        <v>10</v>
      </c>
      <c r="I863" s="1617">
        <v>155</v>
      </c>
      <c r="J863" s="1617">
        <f t="shared" si="20"/>
        <v>1550</v>
      </c>
    </row>
    <row r="864" spans="1:10" s="87" customFormat="1" x14ac:dyDescent="0.25">
      <c r="A864" s="1079">
        <v>27</v>
      </c>
      <c r="B864" s="1986" t="s">
        <v>722</v>
      </c>
      <c r="C864" s="1930"/>
      <c r="D864" s="1930"/>
      <c r="E864" s="1930"/>
      <c r="F864" s="1930"/>
      <c r="G864" s="1230" t="s">
        <v>750</v>
      </c>
      <c r="H864" s="1230">
        <v>5</v>
      </c>
      <c r="I864" s="1617">
        <f>84-0.96</f>
        <v>83.04</v>
      </c>
      <c r="J864" s="1617">
        <f t="shared" si="20"/>
        <v>415.2</v>
      </c>
    </row>
    <row r="865" spans="1:28" s="87" customFormat="1" x14ac:dyDescent="0.25">
      <c r="A865" s="2036" t="s">
        <v>39</v>
      </c>
      <c r="B865" s="2037"/>
      <c r="C865" s="2037"/>
      <c r="D865" s="2037"/>
      <c r="E865" s="2037"/>
      <c r="F865" s="2037"/>
      <c r="G865" s="2037"/>
      <c r="H865" s="2026"/>
      <c r="I865" s="2027"/>
      <c r="J865" s="1192">
        <f>SUM(J840:J864)</f>
        <v>133004.20000000001</v>
      </c>
    </row>
    <row r="866" spans="1:28" s="87" customFormat="1" ht="14.25" x14ac:dyDescent="0.25">
      <c r="A866" s="1303"/>
      <c r="B866" s="1303"/>
      <c r="C866" s="1303"/>
      <c r="D866" s="1303"/>
      <c r="E866" s="1303"/>
      <c r="F866" s="1303"/>
      <c r="G866" s="1303"/>
      <c r="H866" s="1303"/>
      <c r="I866" s="1303"/>
      <c r="J866" s="64"/>
    </row>
    <row r="867" spans="1:28" s="87" customFormat="1" x14ac:dyDescent="0.25">
      <c r="A867" s="2038" t="s">
        <v>1922</v>
      </c>
      <c r="B867" s="2038"/>
      <c r="C867" s="2038"/>
      <c r="D867" s="2038"/>
      <c r="E867" s="2038"/>
      <c r="F867" s="2038"/>
      <c r="G867" s="2038"/>
      <c r="H867" s="2038"/>
      <c r="I867" s="2038"/>
      <c r="J867" s="2038"/>
    </row>
    <row r="868" spans="1:28" s="87" customFormat="1" x14ac:dyDescent="0.25">
      <c r="A868" s="1926" t="s">
        <v>8</v>
      </c>
      <c r="B868" s="1956" t="s">
        <v>35</v>
      </c>
      <c r="C868" s="1916"/>
      <c r="D868" s="1916"/>
      <c r="E868" s="1916"/>
      <c r="F868" s="1957"/>
      <c r="G868" s="1926" t="s">
        <v>1827</v>
      </c>
      <c r="H868" s="1927"/>
      <c r="I868" s="1927"/>
      <c r="J868" s="1927"/>
    </row>
    <row r="869" spans="1:28" s="87" customFormat="1" ht="30" x14ac:dyDescent="0.25">
      <c r="A869" s="1926"/>
      <c r="B869" s="2009"/>
      <c r="C869" s="1961"/>
      <c r="D869" s="1961"/>
      <c r="E869" s="1961"/>
      <c r="F869" s="1962"/>
      <c r="G869" s="1604" t="s">
        <v>61</v>
      </c>
      <c r="H869" s="1598" t="s">
        <v>248</v>
      </c>
      <c r="I869" s="1617" t="s">
        <v>264</v>
      </c>
      <c r="J869" s="1141" t="s">
        <v>256</v>
      </c>
    </row>
    <row r="870" spans="1:28" s="87" customFormat="1" x14ac:dyDescent="0.25">
      <c r="A870" s="1079">
        <v>1</v>
      </c>
      <c r="B870" s="1986" t="s">
        <v>1923</v>
      </c>
      <c r="C870" s="1930"/>
      <c r="D870" s="1930"/>
      <c r="E870" s="1930"/>
      <c r="F870" s="1930"/>
      <c r="G870" s="1230" t="s">
        <v>304</v>
      </c>
      <c r="H870" s="1230" t="s">
        <v>1665</v>
      </c>
      <c r="I870" s="1617">
        <v>380.02</v>
      </c>
      <c r="J870" s="1617">
        <f>H870*I870</f>
        <v>11400.6</v>
      </c>
    </row>
    <row r="871" spans="1:28" s="87" customFormat="1" x14ac:dyDescent="0.25">
      <c r="A871" s="1079">
        <v>2</v>
      </c>
      <c r="B871" s="1986" t="s">
        <v>1924</v>
      </c>
      <c r="C871" s="1930"/>
      <c r="D871" s="1930"/>
      <c r="E871" s="1930"/>
      <c r="F871" s="1930"/>
      <c r="G871" s="1230" t="s">
        <v>1925</v>
      </c>
      <c r="H871" s="1230">
        <v>20</v>
      </c>
      <c r="I871" s="1617">
        <v>3600</v>
      </c>
      <c r="J871" s="1617">
        <f t="shared" ref="J871:J877" si="21">H871*I871</f>
        <v>72000</v>
      </c>
    </row>
    <row r="872" spans="1:28" s="87" customFormat="1" x14ac:dyDescent="0.25">
      <c r="A872" s="1079">
        <v>3</v>
      </c>
      <c r="B872" s="1986" t="s">
        <v>1926</v>
      </c>
      <c r="C872" s="1930"/>
      <c r="D872" s="1930"/>
      <c r="E872" s="1930"/>
      <c r="F872" s="1930"/>
      <c r="G872" s="1230" t="s">
        <v>304</v>
      </c>
      <c r="H872" s="1230">
        <v>140</v>
      </c>
      <c r="I872" s="1617">
        <v>60</v>
      </c>
      <c r="J872" s="1617">
        <f t="shared" si="21"/>
        <v>8400</v>
      </c>
    </row>
    <row r="873" spans="1:28" s="87" customFormat="1" x14ac:dyDescent="0.25">
      <c r="A873" s="1079">
        <v>4</v>
      </c>
      <c r="B873" s="1986" t="s">
        <v>1927</v>
      </c>
      <c r="C873" s="1930"/>
      <c r="D873" s="1930"/>
      <c r="E873" s="1930"/>
      <c r="F873" s="1930"/>
      <c r="G873" s="1230" t="s">
        <v>304</v>
      </c>
      <c r="H873" s="1230" t="s">
        <v>598</v>
      </c>
      <c r="I873" s="1617">
        <v>330</v>
      </c>
      <c r="J873" s="1617">
        <f t="shared" si="21"/>
        <v>33000</v>
      </c>
    </row>
    <row r="874" spans="1:28" s="87" customFormat="1" x14ac:dyDescent="0.25">
      <c r="A874" s="1079">
        <v>5</v>
      </c>
      <c r="B874" s="1986" t="s">
        <v>1928</v>
      </c>
      <c r="C874" s="1930"/>
      <c r="D874" s="1930"/>
      <c r="E874" s="1930"/>
      <c r="F874" s="1930"/>
      <c r="G874" s="1230" t="s">
        <v>304</v>
      </c>
      <c r="H874" s="1230" t="s">
        <v>1010</v>
      </c>
      <c r="I874" s="1617">
        <v>149</v>
      </c>
      <c r="J874" s="1617">
        <f t="shared" si="21"/>
        <v>59600</v>
      </c>
    </row>
    <row r="875" spans="1:28" s="87" customFormat="1" x14ac:dyDescent="0.25">
      <c r="A875" s="1079">
        <v>6</v>
      </c>
      <c r="B875" s="1986" t="s">
        <v>1929</v>
      </c>
      <c r="C875" s="1930"/>
      <c r="D875" s="1930"/>
      <c r="E875" s="1930"/>
      <c r="F875" s="1930"/>
      <c r="G875" s="1230" t="s">
        <v>304</v>
      </c>
      <c r="H875" s="1230" t="s">
        <v>542</v>
      </c>
      <c r="I875" s="1617">
        <v>615</v>
      </c>
      <c r="J875" s="1617">
        <f t="shared" si="21"/>
        <v>92250</v>
      </c>
    </row>
    <row r="876" spans="1:28" s="87" customFormat="1" x14ac:dyDescent="0.25">
      <c r="A876" s="1079">
        <v>10</v>
      </c>
      <c r="B876" s="1986" t="s">
        <v>1930</v>
      </c>
      <c r="C876" s="1930"/>
      <c r="D876" s="1930"/>
      <c r="E876" s="1930"/>
      <c r="F876" s="1930"/>
      <c r="G876" s="1230" t="s">
        <v>1931</v>
      </c>
      <c r="H876" s="1230">
        <v>100</v>
      </c>
      <c r="I876" s="1617">
        <v>60</v>
      </c>
      <c r="J876" s="1617">
        <f t="shared" si="21"/>
        <v>6000</v>
      </c>
    </row>
    <row r="877" spans="1:28" s="87" customFormat="1" x14ac:dyDescent="0.25">
      <c r="A877" s="1079">
        <v>13</v>
      </c>
      <c r="B877" s="1986" t="s">
        <v>1932</v>
      </c>
      <c r="C877" s="1930"/>
      <c r="D877" s="1930"/>
      <c r="E877" s="1930"/>
      <c r="F877" s="1930"/>
      <c r="G877" s="1230" t="s">
        <v>304</v>
      </c>
      <c r="H877" s="1230">
        <v>20</v>
      </c>
      <c r="I877" s="1617">
        <v>1200</v>
      </c>
      <c r="J877" s="1617">
        <f t="shared" si="21"/>
        <v>24000</v>
      </c>
    </row>
    <row r="878" spans="1:28" s="87" customFormat="1" x14ac:dyDescent="0.25">
      <c r="A878" s="2036" t="s">
        <v>39</v>
      </c>
      <c r="B878" s="2037"/>
      <c r="C878" s="2037"/>
      <c r="D878" s="2037"/>
      <c r="E878" s="2037"/>
      <c r="F878" s="2037"/>
      <c r="G878" s="2037"/>
      <c r="H878" s="2026"/>
      <c r="I878" s="2027"/>
      <c r="J878" s="1192">
        <f>SUM(J870:J877)</f>
        <v>306650.59999999998</v>
      </c>
    </row>
    <row r="879" spans="1:28" s="87" customFormat="1" ht="14.25" x14ac:dyDescent="0.25">
      <c r="A879" s="1303"/>
      <c r="B879" s="1303"/>
      <c r="C879" s="1303"/>
      <c r="D879" s="1303"/>
      <c r="E879" s="1303"/>
      <c r="F879" s="1303"/>
      <c r="G879" s="1303"/>
      <c r="H879" s="1303"/>
      <c r="I879" s="1303"/>
      <c r="J879" s="64"/>
    </row>
    <row r="880" spans="1:28" x14ac:dyDescent="0.25">
      <c r="A880" s="1645" t="s">
        <v>27</v>
      </c>
      <c r="B880" s="72"/>
      <c r="C880" s="72"/>
      <c r="D880" s="75"/>
      <c r="E880" s="71" t="s">
        <v>1896</v>
      </c>
      <c r="J880" s="85">
        <f>J895</f>
        <v>40000</v>
      </c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</row>
    <row r="881" spans="1:28" x14ac:dyDescent="0.25">
      <c r="A881" s="1644" t="s">
        <v>328</v>
      </c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</row>
    <row r="882" spans="1:28" ht="15" customHeight="1" x14ac:dyDescent="0.25">
      <c r="A882" s="2024" t="s">
        <v>8</v>
      </c>
      <c r="B882" s="1956" t="s">
        <v>35</v>
      </c>
      <c r="C882" s="1916"/>
      <c r="D882" s="1916"/>
      <c r="E882" s="1916"/>
      <c r="F882" s="1957"/>
      <c r="G882" s="2024" t="s">
        <v>61</v>
      </c>
      <c r="H882" s="1990" t="s">
        <v>1827</v>
      </c>
      <c r="I882" s="1991"/>
      <c r="J882" s="1992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</row>
    <row r="883" spans="1:28" ht="30" x14ac:dyDescent="0.25">
      <c r="A883" s="2053"/>
      <c r="B883" s="1918"/>
      <c r="C883" s="1919"/>
      <c r="D883" s="1919"/>
      <c r="E883" s="1919"/>
      <c r="F883" s="1920"/>
      <c r="G883" s="2053"/>
      <c r="H883" s="1581" t="s">
        <v>248</v>
      </c>
      <c r="I883" s="1588" t="s">
        <v>264</v>
      </c>
      <c r="J883" s="1588" t="s">
        <v>256</v>
      </c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</row>
    <row r="884" spans="1:28" ht="15" customHeight="1" x14ac:dyDescent="0.25">
      <c r="A884" s="2140" t="s">
        <v>1492</v>
      </c>
      <c r="B884" s="2141"/>
      <c r="C884" s="2141"/>
      <c r="D884" s="2141"/>
      <c r="E884" s="2141"/>
      <c r="F884" s="2141"/>
      <c r="G884" s="2141"/>
      <c r="H884" s="2141"/>
      <c r="I884" s="2141"/>
      <c r="J884" s="2142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</row>
    <row r="885" spans="1:28" ht="15" customHeight="1" x14ac:dyDescent="0.25">
      <c r="A885" s="1630">
        <v>1</v>
      </c>
      <c r="B885" s="1626" t="s">
        <v>722</v>
      </c>
      <c r="C885" s="1105"/>
      <c r="D885" s="1105"/>
      <c r="E885" s="1105"/>
      <c r="F885" s="1105"/>
      <c r="G885" s="1175" t="s">
        <v>304</v>
      </c>
      <c r="H885" s="59">
        <v>20</v>
      </c>
      <c r="I885" s="1588">
        <v>69</v>
      </c>
      <c r="J885" s="1588">
        <f t="shared" ref="J885:J894" si="22">H885*I885</f>
        <v>1380</v>
      </c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</row>
    <row r="886" spans="1:28" ht="15" customHeight="1" x14ac:dyDescent="0.25">
      <c r="A886" s="1630">
        <v>2</v>
      </c>
      <c r="B886" s="1626" t="s">
        <v>1615</v>
      </c>
      <c r="C886" s="1105"/>
      <c r="D886" s="1105"/>
      <c r="E886" s="1105"/>
      <c r="F886" s="1105"/>
      <c r="G886" s="1175" t="s">
        <v>1567</v>
      </c>
      <c r="H886" s="59">
        <v>10</v>
      </c>
      <c r="I886" s="1588">
        <v>265</v>
      </c>
      <c r="J886" s="1588">
        <f t="shared" si="22"/>
        <v>2650</v>
      </c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</row>
    <row r="887" spans="1:28" ht="15" customHeight="1" x14ac:dyDescent="0.25">
      <c r="A887" s="1630">
        <v>3</v>
      </c>
      <c r="B887" s="1626" t="s">
        <v>1616</v>
      </c>
      <c r="C887" s="1105"/>
      <c r="D887" s="1105"/>
      <c r="E887" s="1105"/>
      <c r="F887" s="1105"/>
      <c r="G887" s="1175" t="s">
        <v>716</v>
      </c>
      <c r="H887" s="59">
        <v>30</v>
      </c>
      <c r="I887" s="1588">
        <v>59</v>
      </c>
      <c r="J887" s="1588">
        <f t="shared" si="22"/>
        <v>1770</v>
      </c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</row>
    <row r="888" spans="1:28" ht="15" customHeight="1" x14ac:dyDescent="0.25">
      <c r="A888" s="1630">
        <v>4</v>
      </c>
      <c r="B888" s="1626" t="s">
        <v>1617</v>
      </c>
      <c r="C888" s="1105"/>
      <c r="D888" s="1105"/>
      <c r="E888" s="1105"/>
      <c r="F888" s="1105"/>
      <c r="G888" s="1175" t="s">
        <v>716</v>
      </c>
      <c r="H888" s="59">
        <v>20</v>
      </c>
      <c r="I888" s="1588">
        <v>52</v>
      </c>
      <c r="J888" s="1588">
        <f t="shared" si="22"/>
        <v>1040</v>
      </c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</row>
    <row r="889" spans="1:28" ht="15" customHeight="1" x14ac:dyDescent="0.25">
      <c r="A889" s="1630">
        <v>5</v>
      </c>
      <c r="B889" s="1626" t="s">
        <v>720</v>
      </c>
      <c r="C889" s="1105"/>
      <c r="D889" s="1105"/>
      <c r="E889" s="1105"/>
      <c r="F889" s="1105"/>
      <c r="G889" s="1175" t="s">
        <v>304</v>
      </c>
      <c r="H889" s="59">
        <v>30</v>
      </c>
      <c r="I889" s="1588">
        <v>110</v>
      </c>
      <c r="J889" s="1588">
        <f t="shared" si="22"/>
        <v>3300</v>
      </c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</row>
    <row r="890" spans="1:28" ht="15" customHeight="1" x14ac:dyDescent="0.25">
      <c r="A890" s="1630">
        <v>6</v>
      </c>
      <c r="B890" s="1626" t="s">
        <v>721</v>
      </c>
      <c r="C890" s="1105"/>
      <c r="D890" s="1105"/>
      <c r="E890" s="1105"/>
      <c r="F890" s="1105"/>
      <c r="G890" s="1175" t="s">
        <v>1567</v>
      </c>
      <c r="H890" s="59">
        <v>30</v>
      </c>
      <c r="I890" s="1588">
        <v>265</v>
      </c>
      <c r="J890" s="1588">
        <f t="shared" si="22"/>
        <v>7950</v>
      </c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</row>
    <row r="891" spans="1:28" ht="15" customHeight="1" x14ac:dyDescent="0.25">
      <c r="A891" s="1630">
        <v>7</v>
      </c>
      <c r="B891" s="1626" t="s">
        <v>1573</v>
      </c>
      <c r="C891" s="1105"/>
      <c r="D891" s="1105"/>
      <c r="E891" s="1105"/>
      <c r="F891" s="1105"/>
      <c r="G891" s="1175" t="s">
        <v>304</v>
      </c>
      <c r="H891" s="59">
        <v>20</v>
      </c>
      <c r="I891" s="1588">
        <v>42</v>
      </c>
      <c r="J891" s="1588">
        <f t="shared" si="22"/>
        <v>840</v>
      </c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</row>
    <row r="892" spans="1:28" ht="15" customHeight="1" x14ac:dyDescent="0.25">
      <c r="A892" s="1630">
        <v>8</v>
      </c>
      <c r="B892" s="1626" t="s">
        <v>719</v>
      </c>
      <c r="C892" s="1105"/>
      <c r="D892" s="1105"/>
      <c r="E892" s="1105"/>
      <c r="F892" s="1105"/>
      <c r="G892" s="1175" t="s">
        <v>1567</v>
      </c>
      <c r="H892" s="59">
        <v>1</v>
      </c>
      <c r="I892" s="1588">
        <v>2970</v>
      </c>
      <c r="J892" s="1588">
        <f t="shared" si="22"/>
        <v>2970</v>
      </c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</row>
    <row r="893" spans="1:28" ht="15" customHeight="1" x14ac:dyDescent="0.25">
      <c r="A893" s="1630">
        <v>9</v>
      </c>
      <c r="B893" s="1626" t="s">
        <v>1618</v>
      </c>
      <c r="C893" s="1105"/>
      <c r="D893" s="1105"/>
      <c r="E893" s="1105"/>
      <c r="F893" s="1105"/>
      <c r="G893" s="1175" t="s">
        <v>1567</v>
      </c>
      <c r="H893" s="59">
        <v>100</v>
      </c>
      <c r="I893" s="1588">
        <v>150</v>
      </c>
      <c r="J893" s="1588">
        <f t="shared" si="22"/>
        <v>15000</v>
      </c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</row>
    <row r="894" spans="1:28" ht="15" customHeight="1" x14ac:dyDescent="0.25">
      <c r="A894" s="1630">
        <v>10</v>
      </c>
      <c r="B894" s="1626" t="s">
        <v>1619</v>
      </c>
      <c r="C894" s="1105"/>
      <c r="D894" s="1105"/>
      <c r="E894" s="1105"/>
      <c r="F894" s="1105"/>
      <c r="G894" s="1175" t="s">
        <v>304</v>
      </c>
      <c r="H894" s="59">
        <v>10</v>
      </c>
      <c r="I894" s="1588">
        <v>310</v>
      </c>
      <c r="J894" s="1588">
        <f t="shared" si="22"/>
        <v>3100</v>
      </c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</row>
    <row r="895" spans="1:28" x14ac:dyDescent="0.25">
      <c r="A895" s="1895" t="s">
        <v>39</v>
      </c>
      <c r="B895" s="1895"/>
      <c r="C895" s="1895"/>
      <c r="D895" s="1895"/>
      <c r="E895" s="1895"/>
      <c r="F895" s="1895"/>
      <c r="G895" s="1895"/>
      <c r="H895" s="1589" t="s">
        <v>5</v>
      </c>
      <c r="I895" s="1589" t="s">
        <v>5</v>
      </c>
      <c r="J895" s="1589">
        <f>SUM(J885:J894)</f>
        <v>40000</v>
      </c>
      <c r="K895" s="88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</row>
    <row r="896" spans="1:28" hidden="1" x14ac:dyDescent="0.25">
      <c r="A896" s="1969" t="s">
        <v>153</v>
      </c>
      <c r="B896" s="2073"/>
      <c r="C896" s="2073"/>
      <c r="D896" s="2073"/>
      <c r="E896" s="2073"/>
      <c r="F896" s="2073"/>
      <c r="G896" s="2073"/>
      <c r="H896" s="2073"/>
      <c r="I896" s="2074"/>
      <c r="J896" s="386">
        <v>40000</v>
      </c>
      <c r="K896" s="88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</row>
    <row r="897" spans="1:28" hidden="1" x14ac:dyDescent="0.25">
      <c r="A897" s="1969" t="s">
        <v>619</v>
      </c>
      <c r="B897" s="2073"/>
      <c r="C897" s="2073"/>
      <c r="D897" s="2073"/>
      <c r="E897" s="2073"/>
      <c r="F897" s="2073"/>
      <c r="G897" s="2073"/>
      <c r="H897" s="2073"/>
      <c r="I897" s="2074"/>
      <c r="J897" s="711">
        <f>J895-J896</f>
        <v>0</v>
      </c>
      <c r="K897" s="88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</row>
    <row r="898" spans="1:28" x14ac:dyDescent="0.25"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</row>
    <row r="899" spans="1:28" x14ac:dyDescent="0.25">
      <c r="A899" s="1645" t="s">
        <v>26</v>
      </c>
      <c r="B899" s="72"/>
      <c r="C899" s="72"/>
      <c r="D899" s="72"/>
      <c r="E899" s="71" t="s">
        <v>626</v>
      </c>
      <c r="J899" s="85">
        <f>J900</f>
        <v>8080855</v>
      </c>
      <c r="K899" s="341">
        <v>8080855</v>
      </c>
      <c r="L899" s="2" t="s">
        <v>1284</v>
      </c>
      <c r="M899" s="83"/>
      <c r="N899" s="79"/>
      <c r="O899" s="354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</row>
    <row r="900" spans="1:28" x14ac:dyDescent="0.25">
      <c r="A900" s="1645" t="s">
        <v>27</v>
      </c>
      <c r="B900" s="72"/>
      <c r="C900" s="72"/>
      <c r="D900" s="72"/>
      <c r="E900" s="71" t="s">
        <v>1837</v>
      </c>
      <c r="J900" s="69">
        <f>J908+J1007+J1040+J1066+J1074+J1019+J1030</f>
        <v>8080855</v>
      </c>
      <c r="K900" s="341"/>
      <c r="L900" s="2" t="s">
        <v>1285</v>
      </c>
      <c r="M900" s="341"/>
      <c r="N900" s="341"/>
      <c r="O900" s="765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</row>
    <row r="901" spans="1:28" x14ac:dyDescent="0.25">
      <c r="A901" s="1644" t="s">
        <v>715</v>
      </c>
      <c r="K901" s="341"/>
      <c r="L901" s="829" t="s">
        <v>1286</v>
      </c>
      <c r="M901" s="83"/>
      <c r="N901" s="829" t="s">
        <v>1287</v>
      </c>
      <c r="O901" s="838">
        <f>K900+M901</f>
        <v>0</v>
      </c>
      <c r="P901" s="70">
        <f>J899-O901</f>
        <v>8080855</v>
      </c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</row>
    <row r="902" spans="1:28" ht="15" customHeight="1" x14ac:dyDescent="0.25">
      <c r="A902" s="1926" t="s">
        <v>8</v>
      </c>
      <c r="B902" s="1926" t="s">
        <v>35</v>
      </c>
      <c r="C902" s="1927"/>
      <c r="D902" s="1927"/>
      <c r="E902" s="1927"/>
      <c r="F902" s="1927"/>
      <c r="G902" s="1926" t="s">
        <v>61</v>
      </c>
      <c r="H902" s="1990" t="s">
        <v>1827</v>
      </c>
      <c r="I902" s="1991"/>
      <c r="J902" s="1992"/>
      <c r="K902" s="70">
        <f>J899-K899</f>
        <v>0</v>
      </c>
      <c r="L902" s="79"/>
      <c r="M902" s="83"/>
      <c r="N902" s="75"/>
      <c r="O902" s="75"/>
      <c r="P902" s="75"/>
      <c r="Q902" s="75"/>
      <c r="R902" s="75"/>
      <c r="S902" s="75"/>
      <c r="T902" s="75"/>
      <c r="U902" s="61"/>
      <c r="V902" s="61"/>
      <c r="W902" s="61"/>
      <c r="X902" s="61"/>
      <c r="Y902" s="61"/>
      <c r="Z902" s="61"/>
      <c r="AA902" s="61"/>
      <c r="AB902" s="61"/>
    </row>
    <row r="903" spans="1:28" ht="33.75" customHeight="1" x14ac:dyDescent="0.25">
      <c r="A903" s="1926"/>
      <c r="B903" s="1927"/>
      <c r="C903" s="1927"/>
      <c r="D903" s="1927"/>
      <c r="E903" s="1927"/>
      <c r="F903" s="1927"/>
      <c r="G903" s="1926"/>
      <c r="H903" s="1598" t="s">
        <v>248</v>
      </c>
      <c r="I903" s="1617" t="s">
        <v>264</v>
      </c>
      <c r="J903" s="1617" t="s">
        <v>256</v>
      </c>
      <c r="K903" s="61"/>
      <c r="L903" s="79"/>
      <c r="M903" s="1739"/>
      <c r="N903" s="1739"/>
      <c r="O903" s="1739"/>
      <c r="P903" s="1739"/>
      <c r="Q903" s="98"/>
      <c r="R903" s="1740"/>
      <c r="S903" s="98"/>
      <c r="T903" s="98"/>
      <c r="U903" s="61"/>
      <c r="V903" s="61"/>
      <c r="W903" s="61"/>
      <c r="X903" s="61"/>
      <c r="Y903" s="61"/>
      <c r="Z903" s="61"/>
      <c r="AA903" s="61"/>
      <c r="AB903" s="61"/>
    </row>
    <row r="904" spans="1:28" s="87" customFormat="1" ht="14.25" customHeight="1" x14ac:dyDescent="0.25">
      <c r="A904" s="2082" t="s">
        <v>1668</v>
      </c>
      <c r="B904" s="2083"/>
      <c r="C904" s="2083"/>
      <c r="D904" s="2083"/>
      <c r="E904" s="2083"/>
      <c r="F904" s="2083"/>
      <c r="G904" s="2083"/>
      <c r="H904" s="2083"/>
      <c r="I904" s="2084"/>
      <c r="J904" s="1228"/>
      <c r="K904" s="174"/>
      <c r="L904" s="174"/>
      <c r="M904" s="354"/>
      <c r="N904" s="354"/>
      <c r="Q904" s="1727"/>
      <c r="R904" s="1728"/>
      <c r="S904" s="1600"/>
      <c r="T904" s="1729"/>
    </row>
    <row r="905" spans="1:28" ht="14.25" customHeight="1" x14ac:dyDescent="0.25">
      <c r="A905" s="1141">
        <v>1</v>
      </c>
      <c r="B905" s="1994" t="s">
        <v>755</v>
      </c>
      <c r="C905" s="1930"/>
      <c r="D905" s="1930"/>
      <c r="E905" s="1930"/>
      <c r="F905" s="1930"/>
      <c r="G905" s="1617" t="s">
        <v>304</v>
      </c>
      <c r="H905" s="1534">
        <v>15000</v>
      </c>
      <c r="I905" s="1363">
        <v>330</v>
      </c>
      <c r="J905" s="1181">
        <f t="shared" ref="J905" si="23">H905*I905</f>
        <v>4950000</v>
      </c>
      <c r="K905" s="174"/>
      <c r="L905" s="1767"/>
      <c r="M905" s="1741"/>
      <c r="O905" s="61"/>
      <c r="P905" s="61"/>
      <c r="Q905" s="1733"/>
      <c r="R905" s="1734"/>
      <c r="S905" s="1735"/>
      <c r="T905" s="1736"/>
      <c r="U905" s="61"/>
      <c r="V905" s="61"/>
      <c r="W905" s="61"/>
      <c r="X905" s="61"/>
      <c r="Y905" s="61"/>
      <c r="Z905" s="61"/>
      <c r="AA905" s="61"/>
      <c r="AB905" s="61"/>
    </row>
    <row r="906" spans="1:28" ht="14.25" customHeight="1" x14ac:dyDescent="0.25">
      <c r="A906" s="1141">
        <v>2</v>
      </c>
      <c r="B906" s="1994" t="s">
        <v>2247</v>
      </c>
      <c r="C906" s="1930"/>
      <c r="D906" s="1930"/>
      <c r="E906" s="1930"/>
      <c r="F906" s="1930"/>
      <c r="G906" s="1617" t="s">
        <v>304</v>
      </c>
      <c r="H906" s="1534">
        <v>468</v>
      </c>
      <c r="I906" s="1363">
        <v>500</v>
      </c>
      <c r="J906" s="1181">
        <f t="shared" ref="J906" si="24">H906*I906</f>
        <v>234000</v>
      </c>
      <c r="K906" s="174"/>
      <c r="L906" s="1767"/>
      <c r="M906" s="1741"/>
      <c r="O906" s="61"/>
      <c r="P906" s="61"/>
      <c r="Q906" s="1733"/>
      <c r="R906" s="1734"/>
      <c r="S906" s="1735"/>
      <c r="T906" s="1736"/>
      <c r="U906" s="61"/>
      <c r="V906" s="61"/>
      <c r="W906" s="61"/>
      <c r="X906" s="61"/>
      <c r="Y906" s="61"/>
      <c r="Z906" s="61"/>
      <c r="AA906" s="61"/>
      <c r="AB906" s="61"/>
    </row>
    <row r="907" spans="1:28" ht="14.25" customHeight="1" x14ac:dyDescent="0.25">
      <c r="A907" s="1141">
        <v>3</v>
      </c>
      <c r="B907" s="1994" t="s">
        <v>2248</v>
      </c>
      <c r="C907" s="1930"/>
      <c r="D907" s="1930"/>
      <c r="E907" s="1930"/>
      <c r="F907" s="1930"/>
      <c r="G907" s="1617" t="s">
        <v>304</v>
      </c>
      <c r="H907" s="1534">
        <v>1</v>
      </c>
      <c r="I907" s="1363">
        <v>739.45</v>
      </c>
      <c r="J907" s="1181">
        <f t="shared" ref="J907" si="25">H907*I907</f>
        <v>739.45</v>
      </c>
      <c r="K907" s="174"/>
      <c r="L907" s="1767"/>
      <c r="M907" s="1741"/>
      <c r="O907" s="61"/>
      <c r="P907" s="61"/>
      <c r="Q907" s="1733"/>
      <c r="R907" s="1734"/>
      <c r="S907" s="1735"/>
      <c r="T907" s="1736"/>
      <c r="U907" s="61"/>
      <c r="V907" s="61"/>
      <c r="W907" s="61"/>
      <c r="X907" s="61"/>
      <c r="Y907" s="61"/>
      <c r="Z907" s="61"/>
      <c r="AA907" s="61"/>
      <c r="AB907" s="61"/>
    </row>
    <row r="908" spans="1:28" x14ac:dyDescent="0.25">
      <c r="A908" s="2039" t="s">
        <v>39</v>
      </c>
      <c r="B908" s="2040"/>
      <c r="C908" s="2040"/>
      <c r="D908" s="2040"/>
      <c r="E908" s="2040"/>
      <c r="F908" s="2040"/>
      <c r="G908" s="2040"/>
      <c r="H908" s="2040"/>
      <c r="I908" s="2041"/>
      <c r="J908" s="1192">
        <f>SUM(J905:J907)</f>
        <v>5184739.45</v>
      </c>
      <c r="L908" s="1768"/>
      <c r="M908" s="1741"/>
      <c r="N908" s="1739"/>
      <c r="O908" s="1739"/>
      <c r="P908" s="1739"/>
      <c r="Q908" s="98"/>
      <c r="R908" s="1740"/>
      <c r="S908" s="98"/>
      <c r="T908" s="98"/>
      <c r="U908" s="61"/>
      <c r="V908" s="61"/>
      <c r="W908" s="61"/>
      <c r="X908" s="61"/>
      <c r="Y908" s="61"/>
      <c r="Z908" s="61"/>
      <c r="AA908" s="61"/>
      <c r="AB908" s="61"/>
    </row>
    <row r="909" spans="1:28" x14ac:dyDescent="0.25">
      <c r="A909" s="1645"/>
      <c r="B909" s="72"/>
      <c r="C909" s="72"/>
      <c r="D909" s="72"/>
      <c r="E909" s="71"/>
      <c r="K909" s="108"/>
      <c r="L909" s="1767"/>
      <c r="M909" s="174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</row>
    <row r="910" spans="1:28" ht="15" hidden="1" customHeight="1" x14ac:dyDescent="0.25">
      <c r="A910" s="1644" t="s">
        <v>1174</v>
      </c>
      <c r="K910" s="108"/>
      <c r="L910" s="1767"/>
      <c r="M910" s="174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</row>
    <row r="911" spans="1:28" ht="15" hidden="1" customHeight="1" x14ac:dyDescent="0.25">
      <c r="A911" s="1926" t="s">
        <v>8</v>
      </c>
      <c r="B911" s="1926" t="s">
        <v>35</v>
      </c>
      <c r="C911" s="1926"/>
      <c r="D911" s="1926"/>
      <c r="E911" s="1926"/>
      <c r="F911" s="1926"/>
      <c r="G911" s="1926" t="s">
        <v>61</v>
      </c>
      <c r="H911" s="1990" t="s">
        <v>735</v>
      </c>
      <c r="I911" s="1991"/>
      <c r="J911" s="1992"/>
      <c r="K911" s="108"/>
      <c r="L911" s="1767"/>
      <c r="M911" s="174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</row>
    <row r="912" spans="1:28" ht="30" hidden="1" customHeight="1" x14ac:dyDescent="0.25">
      <c r="A912" s="1926"/>
      <c r="B912" s="1926"/>
      <c r="C912" s="1926"/>
      <c r="D912" s="1926"/>
      <c r="E912" s="1926"/>
      <c r="F912" s="1926"/>
      <c r="G912" s="1926"/>
      <c r="H912" s="1598" t="s">
        <v>248</v>
      </c>
      <c r="I912" s="1617" t="s">
        <v>264</v>
      </c>
      <c r="J912" s="1617" t="s">
        <v>256</v>
      </c>
      <c r="K912" s="108"/>
      <c r="L912" s="1767"/>
      <c r="M912" s="174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</row>
    <row r="913" spans="1:28" ht="15" hidden="1" customHeight="1" x14ac:dyDescent="0.25">
      <c r="A913" s="1141">
        <v>1</v>
      </c>
      <c r="B913" s="1986" t="s">
        <v>1178</v>
      </c>
      <c r="C913" s="1986"/>
      <c r="D913" s="1986"/>
      <c r="E913" s="1986"/>
      <c r="F913" s="1986"/>
      <c r="G913" s="1617" t="s">
        <v>1192</v>
      </c>
      <c r="H913" s="1230"/>
      <c r="I913" s="1617">
        <v>112</v>
      </c>
      <c r="J913" s="1617">
        <f>H913*I913</f>
        <v>0</v>
      </c>
      <c r="K913" s="108"/>
      <c r="L913" s="1767"/>
      <c r="M913" s="174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</row>
    <row r="914" spans="1:28" ht="15" hidden="1" customHeight="1" x14ac:dyDescent="0.25">
      <c r="A914" s="1141">
        <v>2</v>
      </c>
      <c r="B914" s="1986" t="s">
        <v>1179</v>
      </c>
      <c r="C914" s="1986"/>
      <c r="D914" s="1986"/>
      <c r="E914" s="1986"/>
      <c r="F914" s="1986"/>
      <c r="G914" s="1617" t="s">
        <v>1192</v>
      </c>
      <c r="H914" s="1230"/>
      <c r="I914" s="1617">
        <v>237</v>
      </c>
      <c r="J914" s="1617">
        <f t="shared" ref="J914:J964" si="26">H914*I914</f>
        <v>0</v>
      </c>
      <c r="K914" s="108"/>
      <c r="L914" s="1767"/>
      <c r="M914" s="174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</row>
    <row r="915" spans="1:28" ht="15" hidden="1" customHeight="1" x14ac:dyDescent="0.25">
      <c r="A915" s="1141">
        <v>3</v>
      </c>
      <c r="B915" s="1986" t="s">
        <v>1180</v>
      </c>
      <c r="C915" s="1986"/>
      <c r="D915" s="1986"/>
      <c r="E915" s="1986"/>
      <c r="F915" s="1986"/>
      <c r="G915" s="1617" t="s">
        <v>1192</v>
      </c>
      <c r="H915" s="1230"/>
      <c r="I915" s="1617">
        <v>196</v>
      </c>
      <c r="J915" s="1617">
        <f t="shared" si="26"/>
        <v>0</v>
      </c>
      <c r="K915" s="108"/>
      <c r="L915" s="1767"/>
      <c r="M915" s="174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</row>
    <row r="916" spans="1:28" ht="15" hidden="1" customHeight="1" x14ac:dyDescent="0.25">
      <c r="A916" s="1141">
        <v>4</v>
      </c>
      <c r="B916" s="1986" t="s">
        <v>1181</v>
      </c>
      <c r="C916" s="1986"/>
      <c r="D916" s="1986"/>
      <c r="E916" s="1986"/>
      <c r="F916" s="1986"/>
      <c r="G916" s="1617" t="s">
        <v>1192</v>
      </c>
      <c r="H916" s="1230"/>
      <c r="I916" s="1617">
        <v>277</v>
      </c>
      <c r="J916" s="1617">
        <f t="shared" si="26"/>
        <v>0</v>
      </c>
      <c r="K916" s="108"/>
      <c r="L916" s="1767"/>
      <c r="M916" s="174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</row>
    <row r="917" spans="1:28" ht="15" hidden="1" customHeight="1" x14ac:dyDescent="0.25">
      <c r="A917" s="1141">
        <v>5</v>
      </c>
      <c r="B917" s="1986" t="s">
        <v>1182</v>
      </c>
      <c r="C917" s="1986"/>
      <c r="D917" s="1986"/>
      <c r="E917" s="1986"/>
      <c r="F917" s="1986"/>
      <c r="G917" s="1617" t="s">
        <v>245</v>
      </c>
      <c r="H917" s="1230"/>
      <c r="I917" s="1617">
        <v>584</v>
      </c>
      <c r="J917" s="1617">
        <f t="shared" si="26"/>
        <v>0</v>
      </c>
      <c r="K917" s="108"/>
      <c r="L917" s="1767"/>
      <c r="M917" s="174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</row>
    <row r="918" spans="1:28" ht="15" hidden="1" customHeight="1" x14ac:dyDescent="0.25">
      <c r="A918" s="1141">
        <v>6</v>
      </c>
      <c r="B918" s="1986" t="s">
        <v>1183</v>
      </c>
      <c r="C918" s="1986"/>
      <c r="D918" s="1986"/>
      <c r="E918" s="1986"/>
      <c r="F918" s="1986"/>
      <c r="G918" s="1617" t="s">
        <v>245</v>
      </c>
      <c r="H918" s="1230"/>
      <c r="I918" s="1617">
        <v>1458</v>
      </c>
      <c r="J918" s="1617">
        <f t="shared" si="26"/>
        <v>0</v>
      </c>
      <c r="K918" s="108"/>
      <c r="L918" s="1767"/>
      <c r="M918" s="174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</row>
    <row r="919" spans="1:28" ht="15" hidden="1" customHeight="1" x14ac:dyDescent="0.25">
      <c r="A919" s="1141">
        <v>7</v>
      </c>
      <c r="B919" s="1986" t="s">
        <v>1184</v>
      </c>
      <c r="C919" s="1986"/>
      <c r="D919" s="1986"/>
      <c r="E919" s="1986"/>
      <c r="F919" s="1986"/>
      <c r="G919" s="1617" t="s">
        <v>1192</v>
      </c>
      <c r="H919" s="1230"/>
      <c r="I919" s="1617">
        <v>83</v>
      </c>
      <c r="J919" s="1617">
        <f t="shared" si="26"/>
        <v>0</v>
      </c>
      <c r="K919" s="108"/>
      <c r="L919" s="1767"/>
      <c r="M919" s="174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</row>
    <row r="920" spans="1:28" ht="15" hidden="1" customHeight="1" x14ac:dyDescent="0.25">
      <c r="A920" s="1141">
        <v>8</v>
      </c>
      <c r="B920" s="1986" t="s">
        <v>1185</v>
      </c>
      <c r="C920" s="1986"/>
      <c r="D920" s="1986"/>
      <c r="E920" s="1986"/>
      <c r="F920" s="1986"/>
      <c r="G920" s="1617" t="s">
        <v>1192</v>
      </c>
      <c r="H920" s="1230"/>
      <c r="I920" s="1617">
        <v>93</v>
      </c>
      <c r="J920" s="1617">
        <f t="shared" si="26"/>
        <v>0</v>
      </c>
      <c r="K920" s="108"/>
      <c r="L920" s="1767"/>
      <c r="M920" s="174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</row>
    <row r="921" spans="1:28" ht="15" hidden="1" customHeight="1" x14ac:dyDescent="0.25">
      <c r="A921" s="1141">
        <v>9</v>
      </c>
      <c r="B921" s="1986" t="s">
        <v>1186</v>
      </c>
      <c r="C921" s="1986"/>
      <c r="D921" s="1986"/>
      <c r="E921" s="1986"/>
      <c r="F921" s="1986"/>
      <c r="G921" s="1617" t="s">
        <v>1192</v>
      </c>
      <c r="H921" s="1230"/>
      <c r="I921" s="1617">
        <v>254</v>
      </c>
      <c r="J921" s="1617">
        <f t="shared" si="26"/>
        <v>0</v>
      </c>
      <c r="K921" s="108"/>
      <c r="L921" s="1767"/>
      <c r="M921" s="174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</row>
    <row r="922" spans="1:28" ht="15" hidden="1" customHeight="1" x14ac:dyDescent="0.25">
      <c r="A922" s="1141">
        <v>10</v>
      </c>
      <c r="B922" s="1986" t="s">
        <v>1187</v>
      </c>
      <c r="C922" s="1986"/>
      <c r="D922" s="1986"/>
      <c r="E922" s="1986"/>
      <c r="F922" s="1986"/>
      <c r="G922" s="1617" t="s">
        <v>245</v>
      </c>
      <c r="H922" s="1230"/>
      <c r="I922" s="1617">
        <v>1815</v>
      </c>
      <c r="J922" s="1617">
        <f t="shared" si="26"/>
        <v>0</v>
      </c>
      <c r="K922" s="108"/>
      <c r="L922" s="1767"/>
      <c r="M922" s="174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</row>
    <row r="923" spans="1:28" ht="15" hidden="1" customHeight="1" x14ac:dyDescent="0.25">
      <c r="A923" s="1141">
        <v>11</v>
      </c>
      <c r="B923" s="1986" t="s">
        <v>1188</v>
      </c>
      <c r="C923" s="1986"/>
      <c r="D923" s="1986"/>
      <c r="E923" s="1986"/>
      <c r="F923" s="1986"/>
      <c r="G923" s="1617" t="s">
        <v>245</v>
      </c>
      <c r="H923" s="1230"/>
      <c r="I923" s="1617">
        <v>1304</v>
      </c>
      <c r="J923" s="1617">
        <f t="shared" si="26"/>
        <v>0</v>
      </c>
      <c r="K923" s="108"/>
      <c r="L923" s="1767"/>
      <c r="M923" s="174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</row>
    <row r="924" spans="1:28" ht="15" hidden="1" customHeight="1" x14ac:dyDescent="0.25">
      <c r="A924" s="1141">
        <v>12</v>
      </c>
      <c r="B924" s="1986" t="s">
        <v>1189</v>
      </c>
      <c r="C924" s="1986"/>
      <c r="D924" s="1986"/>
      <c r="E924" s="1986"/>
      <c r="F924" s="1986"/>
      <c r="G924" s="1617" t="s">
        <v>1192</v>
      </c>
      <c r="H924" s="1230"/>
      <c r="I924" s="1617">
        <v>924</v>
      </c>
      <c r="J924" s="1617">
        <f t="shared" si="26"/>
        <v>0</v>
      </c>
      <c r="K924" s="108"/>
      <c r="L924" s="1767"/>
      <c r="M924" s="174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</row>
    <row r="925" spans="1:28" ht="15" hidden="1" customHeight="1" x14ac:dyDescent="0.25">
      <c r="A925" s="1141">
        <v>13</v>
      </c>
      <c r="B925" s="1986" t="s">
        <v>1190</v>
      </c>
      <c r="C925" s="1986"/>
      <c r="D925" s="1986"/>
      <c r="E925" s="1986"/>
      <c r="F925" s="1986"/>
      <c r="G925" s="1617" t="s">
        <v>245</v>
      </c>
      <c r="H925" s="1230"/>
      <c r="I925" s="1617">
        <v>243</v>
      </c>
      <c r="J925" s="1617">
        <f t="shared" si="26"/>
        <v>0</v>
      </c>
      <c r="K925" s="108"/>
      <c r="L925" s="1767"/>
      <c r="M925" s="174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</row>
    <row r="926" spans="1:28" ht="15" hidden="1" customHeight="1" x14ac:dyDescent="0.25">
      <c r="A926" s="1141">
        <v>14</v>
      </c>
      <c r="B926" s="1986" t="s">
        <v>1191</v>
      </c>
      <c r="C926" s="1986"/>
      <c r="D926" s="1986"/>
      <c r="E926" s="1986"/>
      <c r="F926" s="1986"/>
      <c r="G926" s="1617" t="s">
        <v>245</v>
      </c>
      <c r="H926" s="1230"/>
      <c r="I926" s="1617">
        <v>2570</v>
      </c>
      <c r="J926" s="1617">
        <f t="shared" si="26"/>
        <v>0</v>
      </c>
      <c r="K926" s="108"/>
      <c r="L926" s="1767"/>
      <c r="M926" s="174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</row>
    <row r="927" spans="1:28" ht="15" hidden="1" customHeight="1" x14ac:dyDescent="0.25">
      <c r="A927" s="1141">
        <v>15</v>
      </c>
      <c r="B927" s="1986" t="s">
        <v>1193</v>
      </c>
      <c r="C927" s="1986"/>
      <c r="D927" s="1986"/>
      <c r="E927" s="1986"/>
      <c r="F927" s="1986"/>
      <c r="G927" s="1617" t="s">
        <v>245</v>
      </c>
      <c r="H927" s="1230"/>
      <c r="I927" s="1617">
        <v>543</v>
      </c>
      <c r="J927" s="1617">
        <f t="shared" si="26"/>
        <v>0</v>
      </c>
      <c r="K927" s="108"/>
      <c r="L927" s="1767"/>
      <c r="M927" s="174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</row>
    <row r="928" spans="1:28" ht="15" hidden="1" customHeight="1" x14ac:dyDescent="0.25">
      <c r="A928" s="1141">
        <v>16</v>
      </c>
      <c r="B928" s="1986" t="s">
        <v>1194</v>
      </c>
      <c r="C928" s="1986"/>
      <c r="D928" s="1986"/>
      <c r="E928" s="1986"/>
      <c r="F928" s="1986"/>
      <c r="G928" s="1617" t="s">
        <v>716</v>
      </c>
      <c r="H928" s="1230"/>
      <c r="I928" s="1617">
        <v>2108</v>
      </c>
      <c r="J928" s="1617">
        <f t="shared" si="26"/>
        <v>0</v>
      </c>
      <c r="K928" s="108"/>
      <c r="L928" s="1767"/>
      <c r="M928" s="174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</row>
    <row r="929" spans="1:28" ht="15" hidden="1" customHeight="1" x14ac:dyDescent="0.25">
      <c r="A929" s="1141">
        <v>17</v>
      </c>
      <c r="B929" s="1986" t="s">
        <v>1195</v>
      </c>
      <c r="C929" s="1986"/>
      <c r="D929" s="1986"/>
      <c r="E929" s="1986"/>
      <c r="F929" s="1986"/>
      <c r="G929" s="1617" t="s">
        <v>1192</v>
      </c>
      <c r="H929" s="1230"/>
      <c r="I929" s="1617">
        <v>3560</v>
      </c>
      <c r="J929" s="1617">
        <f t="shared" si="26"/>
        <v>0</v>
      </c>
      <c r="K929" s="108"/>
      <c r="L929" s="1767"/>
      <c r="M929" s="174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</row>
    <row r="930" spans="1:28" ht="15" hidden="1" customHeight="1" x14ac:dyDescent="0.25">
      <c r="A930" s="1141">
        <v>18</v>
      </c>
      <c r="B930" s="1986" t="s">
        <v>1196</v>
      </c>
      <c r="C930" s="1986"/>
      <c r="D930" s="1986"/>
      <c r="E930" s="1986"/>
      <c r="F930" s="1986"/>
      <c r="G930" s="1617" t="s">
        <v>1192</v>
      </c>
      <c r="H930" s="1230"/>
      <c r="I930" s="1617">
        <v>4004</v>
      </c>
      <c r="J930" s="1617">
        <f t="shared" si="26"/>
        <v>0</v>
      </c>
      <c r="K930" s="108"/>
      <c r="L930" s="1767"/>
      <c r="M930" s="174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</row>
    <row r="931" spans="1:28" ht="15" hidden="1" customHeight="1" x14ac:dyDescent="0.25">
      <c r="A931" s="1141">
        <v>19</v>
      </c>
      <c r="B931" s="1986" t="s">
        <v>1197</v>
      </c>
      <c r="C931" s="1986"/>
      <c r="D931" s="1986"/>
      <c r="E931" s="1986"/>
      <c r="F931" s="1986"/>
      <c r="G931" s="1617" t="s">
        <v>1192</v>
      </c>
      <c r="H931" s="1230"/>
      <c r="I931" s="1617">
        <v>5698</v>
      </c>
      <c r="J931" s="1617">
        <f t="shared" si="26"/>
        <v>0</v>
      </c>
      <c r="K931" s="108"/>
      <c r="L931" s="1767"/>
      <c r="M931" s="174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</row>
    <row r="932" spans="1:28" ht="15" hidden="1" customHeight="1" x14ac:dyDescent="0.25">
      <c r="A932" s="1141">
        <v>20</v>
      </c>
      <c r="B932" s="1986" t="s">
        <v>1198</v>
      </c>
      <c r="C932" s="1986"/>
      <c r="D932" s="1986"/>
      <c r="E932" s="1986"/>
      <c r="F932" s="1986"/>
      <c r="G932" s="1617" t="s">
        <v>245</v>
      </c>
      <c r="H932" s="1230"/>
      <c r="I932" s="1617">
        <v>848</v>
      </c>
      <c r="J932" s="1617">
        <f t="shared" si="26"/>
        <v>0</v>
      </c>
      <c r="K932" s="108"/>
      <c r="L932" s="1767"/>
      <c r="M932" s="174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</row>
    <row r="933" spans="1:28" ht="15" hidden="1" customHeight="1" x14ac:dyDescent="0.25">
      <c r="A933" s="1141">
        <v>21</v>
      </c>
      <c r="B933" s="1986" t="s">
        <v>1199</v>
      </c>
      <c r="C933" s="1986"/>
      <c r="D933" s="1986"/>
      <c r="E933" s="1986"/>
      <c r="F933" s="1986"/>
      <c r="G933" s="1617" t="s">
        <v>245</v>
      </c>
      <c r="H933" s="1230"/>
      <c r="I933" s="1617">
        <v>637</v>
      </c>
      <c r="J933" s="1617">
        <f t="shared" si="26"/>
        <v>0</v>
      </c>
      <c r="K933" s="108"/>
      <c r="L933" s="1767"/>
      <c r="M933" s="174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</row>
    <row r="934" spans="1:28" ht="15" hidden="1" customHeight="1" x14ac:dyDescent="0.25">
      <c r="A934" s="1141">
        <v>22</v>
      </c>
      <c r="B934" s="1986" t="s">
        <v>1200</v>
      </c>
      <c r="C934" s="1986"/>
      <c r="D934" s="1986"/>
      <c r="E934" s="1986"/>
      <c r="F934" s="1986"/>
      <c r="G934" s="1617" t="s">
        <v>716</v>
      </c>
      <c r="H934" s="1230"/>
      <c r="I934" s="1617">
        <v>109</v>
      </c>
      <c r="J934" s="1617">
        <f t="shared" si="26"/>
        <v>0</v>
      </c>
      <c r="K934" s="108"/>
      <c r="L934" s="1767"/>
      <c r="M934" s="174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</row>
    <row r="935" spans="1:28" ht="15" hidden="1" customHeight="1" x14ac:dyDescent="0.25">
      <c r="A935" s="1141">
        <v>23</v>
      </c>
      <c r="B935" s="1986" t="s">
        <v>1201</v>
      </c>
      <c r="C935" s="1986"/>
      <c r="D935" s="1986"/>
      <c r="E935" s="1986"/>
      <c r="F935" s="1986"/>
      <c r="G935" s="1617" t="s">
        <v>716</v>
      </c>
      <c r="H935" s="1230"/>
      <c r="I935" s="1617">
        <v>328</v>
      </c>
      <c r="J935" s="1617">
        <f t="shared" si="26"/>
        <v>0</v>
      </c>
      <c r="K935" s="108"/>
      <c r="L935" s="1767"/>
      <c r="M935" s="174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</row>
    <row r="936" spans="1:28" ht="15" hidden="1" customHeight="1" x14ac:dyDescent="0.25">
      <c r="A936" s="1141">
        <v>24</v>
      </c>
      <c r="B936" s="1986" t="s">
        <v>1202</v>
      </c>
      <c r="C936" s="1986"/>
      <c r="D936" s="1986"/>
      <c r="E936" s="1986"/>
      <c r="F936" s="1986"/>
      <c r="G936" s="1617" t="s">
        <v>1192</v>
      </c>
      <c r="H936" s="1230"/>
      <c r="I936" s="1617">
        <v>70</v>
      </c>
      <c r="J936" s="1617">
        <f t="shared" si="26"/>
        <v>0</v>
      </c>
      <c r="K936" s="108"/>
      <c r="L936" s="1767"/>
      <c r="M936" s="174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</row>
    <row r="937" spans="1:28" ht="15" hidden="1" customHeight="1" x14ac:dyDescent="0.25">
      <c r="A937" s="1141">
        <v>25</v>
      </c>
      <c r="B937" s="1986" t="s">
        <v>1203</v>
      </c>
      <c r="C937" s="1986"/>
      <c r="D937" s="1986"/>
      <c r="E937" s="1986"/>
      <c r="F937" s="1986"/>
      <c r="G937" s="1617" t="s">
        <v>1192</v>
      </c>
      <c r="H937" s="1230"/>
      <c r="I937" s="1617">
        <v>383</v>
      </c>
      <c r="J937" s="1617">
        <f t="shared" si="26"/>
        <v>0</v>
      </c>
      <c r="K937" s="108"/>
      <c r="L937" s="1767"/>
      <c r="M937" s="174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</row>
    <row r="938" spans="1:28" ht="15" hidden="1" customHeight="1" x14ac:dyDescent="0.25">
      <c r="A938" s="1141">
        <v>26</v>
      </c>
      <c r="B938" s="1986" t="s">
        <v>1204</v>
      </c>
      <c r="C938" s="1986"/>
      <c r="D938" s="1986"/>
      <c r="E938" s="1986"/>
      <c r="F938" s="1986"/>
      <c r="G938" s="1617" t="s">
        <v>245</v>
      </c>
      <c r="H938" s="1230"/>
      <c r="I938" s="1617">
        <v>135</v>
      </c>
      <c r="J938" s="1617">
        <f t="shared" si="26"/>
        <v>0</v>
      </c>
      <c r="K938" s="108"/>
      <c r="L938" s="1767"/>
      <c r="M938" s="174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</row>
    <row r="939" spans="1:28" ht="15" hidden="1" customHeight="1" x14ac:dyDescent="0.25">
      <c r="A939" s="1141">
        <v>27</v>
      </c>
      <c r="B939" s="1986" t="s">
        <v>1205</v>
      </c>
      <c r="C939" s="1986"/>
      <c r="D939" s="1986"/>
      <c r="E939" s="1986"/>
      <c r="F939" s="1986"/>
      <c r="G939" s="1617" t="s">
        <v>245</v>
      </c>
      <c r="H939" s="1230"/>
      <c r="I939" s="1617">
        <v>135</v>
      </c>
      <c r="J939" s="1617">
        <f t="shared" si="26"/>
        <v>0</v>
      </c>
      <c r="K939" s="108"/>
      <c r="L939" s="1767"/>
      <c r="M939" s="174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</row>
    <row r="940" spans="1:28" ht="15" hidden="1" customHeight="1" x14ac:dyDescent="0.25">
      <c r="A940" s="1141">
        <v>28</v>
      </c>
      <c r="B940" s="1986" t="s">
        <v>1206</v>
      </c>
      <c r="C940" s="1986"/>
      <c r="D940" s="1986"/>
      <c r="E940" s="1986"/>
      <c r="F940" s="1986"/>
      <c r="G940" s="1617" t="s">
        <v>245</v>
      </c>
      <c r="H940" s="1230"/>
      <c r="I940" s="1617">
        <v>308</v>
      </c>
      <c r="J940" s="1617">
        <f t="shared" si="26"/>
        <v>0</v>
      </c>
      <c r="K940" s="108"/>
      <c r="L940" s="1767"/>
      <c r="M940" s="174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</row>
    <row r="941" spans="1:28" ht="15" hidden="1" customHeight="1" x14ac:dyDescent="0.25">
      <c r="A941" s="1141">
        <v>29</v>
      </c>
      <c r="B941" s="1986" t="s">
        <v>1207</v>
      </c>
      <c r="C941" s="1986"/>
      <c r="D941" s="1986"/>
      <c r="E941" s="1986"/>
      <c r="F941" s="1986"/>
      <c r="G941" s="1617" t="s">
        <v>1192</v>
      </c>
      <c r="H941" s="1230"/>
      <c r="I941" s="1617">
        <v>759</v>
      </c>
      <c r="J941" s="1617">
        <f t="shared" si="26"/>
        <v>0</v>
      </c>
      <c r="K941" s="108"/>
      <c r="L941" s="1767"/>
      <c r="M941" s="174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</row>
    <row r="942" spans="1:28" ht="15" hidden="1" customHeight="1" x14ac:dyDescent="0.25">
      <c r="A942" s="1141">
        <v>30</v>
      </c>
      <c r="B942" s="1986" t="s">
        <v>1208</v>
      </c>
      <c r="C942" s="1986"/>
      <c r="D942" s="1986"/>
      <c r="E942" s="1986"/>
      <c r="F942" s="1986"/>
      <c r="G942" s="1617" t="s">
        <v>245</v>
      </c>
      <c r="H942" s="1230"/>
      <c r="I942" s="1617">
        <v>357</v>
      </c>
      <c r="J942" s="1617">
        <f t="shared" si="26"/>
        <v>0</v>
      </c>
      <c r="K942" s="108"/>
      <c r="L942" s="1767"/>
      <c r="M942" s="174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</row>
    <row r="943" spans="1:28" ht="15" hidden="1" customHeight="1" x14ac:dyDescent="0.25">
      <c r="A943" s="1141">
        <v>31</v>
      </c>
      <c r="B943" s="1986" t="s">
        <v>1209</v>
      </c>
      <c r="C943" s="1986"/>
      <c r="D943" s="1986"/>
      <c r="E943" s="1986"/>
      <c r="F943" s="1986"/>
      <c r="G943" s="1617" t="s">
        <v>245</v>
      </c>
      <c r="H943" s="1230"/>
      <c r="I943" s="1617">
        <v>357</v>
      </c>
      <c r="J943" s="1617">
        <f t="shared" si="26"/>
        <v>0</v>
      </c>
      <c r="K943" s="108"/>
      <c r="L943" s="1767"/>
      <c r="M943" s="174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</row>
    <row r="944" spans="1:28" ht="15" hidden="1" customHeight="1" x14ac:dyDescent="0.25">
      <c r="A944" s="1141">
        <v>32</v>
      </c>
      <c r="B944" s="1986" t="s">
        <v>1210</v>
      </c>
      <c r="C944" s="1986"/>
      <c r="D944" s="1986"/>
      <c r="E944" s="1986"/>
      <c r="F944" s="1986"/>
      <c r="G944" s="1617" t="s">
        <v>1192</v>
      </c>
      <c r="H944" s="1230"/>
      <c r="I944" s="1617">
        <v>802</v>
      </c>
      <c r="J944" s="1617">
        <f t="shared" si="26"/>
        <v>0</v>
      </c>
      <c r="K944" s="108"/>
      <c r="L944" s="1767"/>
      <c r="M944" s="174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</row>
    <row r="945" spans="1:28" ht="15" hidden="1" customHeight="1" x14ac:dyDescent="0.25">
      <c r="A945" s="1141">
        <v>33</v>
      </c>
      <c r="B945" s="1986" t="s">
        <v>1213</v>
      </c>
      <c r="C945" s="1986"/>
      <c r="D945" s="1986"/>
      <c r="E945" s="1986"/>
      <c r="F945" s="1986"/>
      <c r="G945" s="1617" t="s">
        <v>1192</v>
      </c>
      <c r="H945" s="1230"/>
      <c r="I945" s="1617">
        <v>1569</v>
      </c>
      <c r="J945" s="1617">
        <f t="shared" si="26"/>
        <v>0</v>
      </c>
      <c r="K945" s="108"/>
      <c r="L945" s="1767"/>
      <c r="M945" s="174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</row>
    <row r="946" spans="1:28" ht="15" hidden="1" customHeight="1" x14ac:dyDescent="0.25">
      <c r="A946" s="1141">
        <v>34</v>
      </c>
      <c r="B946" s="1986" t="s">
        <v>1211</v>
      </c>
      <c r="C946" s="1986"/>
      <c r="D946" s="1986"/>
      <c r="E946" s="1986"/>
      <c r="F946" s="1986"/>
      <c r="G946" s="1617" t="s">
        <v>1192</v>
      </c>
      <c r="H946" s="1230"/>
      <c r="I946" s="1617">
        <v>962</v>
      </c>
      <c r="J946" s="1617">
        <f t="shared" si="26"/>
        <v>0</v>
      </c>
      <c r="K946" s="108"/>
      <c r="L946" s="1767"/>
      <c r="M946" s="174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</row>
    <row r="947" spans="1:28" ht="15" hidden="1" customHeight="1" x14ac:dyDescent="0.25">
      <c r="A947" s="1141">
        <v>35</v>
      </c>
      <c r="B947" s="1986" t="s">
        <v>1212</v>
      </c>
      <c r="C947" s="1986"/>
      <c r="D947" s="1986"/>
      <c r="E947" s="1986"/>
      <c r="F947" s="1986"/>
      <c r="G947" s="1617" t="s">
        <v>1192</v>
      </c>
      <c r="H947" s="1230"/>
      <c r="I947" s="1617">
        <v>366</v>
      </c>
      <c r="J947" s="1617">
        <f t="shared" si="26"/>
        <v>0</v>
      </c>
      <c r="K947" s="108"/>
      <c r="L947" s="1767"/>
      <c r="M947" s="174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</row>
    <row r="948" spans="1:28" ht="15" hidden="1" customHeight="1" x14ac:dyDescent="0.25">
      <c r="A948" s="1141">
        <v>36</v>
      </c>
      <c r="B948" s="1986" t="s">
        <v>1214</v>
      </c>
      <c r="C948" s="1986"/>
      <c r="D948" s="1986"/>
      <c r="E948" s="1986"/>
      <c r="F948" s="1986"/>
      <c r="G948" s="1617" t="s">
        <v>1192</v>
      </c>
      <c r="H948" s="1230"/>
      <c r="I948" s="1617">
        <v>791</v>
      </c>
      <c r="J948" s="1617">
        <f t="shared" si="26"/>
        <v>0</v>
      </c>
      <c r="K948" s="108"/>
      <c r="L948" s="1767"/>
      <c r="M948" s="174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</row>
    <row r="949" spans="1:28" ht="15" hidden="1" customHeight="1" x14ac:dyDescent="0.25">
      <c r="A949" s="1141">
        <v>37</v>
      </c>
      <c r="B949" s="1986" t="s">
        <v>1215</v>
      </c>
      <c r="C949" s="1986"/>
      <c r="D949" s="1986"/>
      <c r="E949" s="1986"/>
      <c r="F949" s="1986"/>
      <c r="G949" s="1617" t="s">
        <v>1192</v>
      </c>
      <c r="H949" s="1230"/>
      <c r="I949" s="1617">
        <v>1016</v>
      </c>
      <c r="J949" s="1617">
        <f t="shared" si="26"/>
        <v>0</v>
      </c>
      <c r="K949" s="108"/>
      <c r="L949" s="1767"/>
      <c r="M949" s="174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</row>
    <row r="950" spans="1:28" ht="15" hidden="1" customHeight="1" x14ac:dyDescent="0.25">
      <c r="A950" s="1141">
        <v>38</v>
      </c>
      <c r="B950" s="1986" t="s">
        <v>1216</v>
      </c>
      <c r="C950" s="1986"/>
      <c r="D950" s="1986"/>
      <c r="E950" s="1986"/>
      <c r="F950" s="1986"/>
      <c r="G950" s="1617" t="s">
        <v>1192</v>
      </c>
      <c r="H950" s="1230"/>
      <c r="I950" s="1617">
        <v>1016</v>
      </c>
      <c r="J950" s="1617">
        <f t="shared" si="26"/>
        <v>0</v>
      </c>
      <c r="K950" s="108"/>
      <c r="L950" s="1767"/>
      <c r="M950" s="174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</row>
    <row r="951" spans="1:28" ht="15" hidden="1" customHeight="1" x14ac:dyDescent="0.25">
      <c r="A951" s="1141">
        <v>39</v>
      </c>
      <c r="B951" s="1986" t="s">
        <v>1217</v>
      </c>
      <c r="C951" s="1986"/>
      <c r="D951" s="1986"/>
      <c r="E951" s="1986"/>
      <c r="F951" s="1986"/>
      <c r="G951" s="1617" t="s">
        <v>1192</v>
      </c>
      <c r="H951" s="1230"/>
      <c r="I951" s="1617">
        <v>1131</v>
      </c>
      <c r="J951" s="1617">
        <f t="shared" si="26"/>
        <v>0</v>
      </c>
      <c r="K951" s="108"/>
      <c r="L951" s="1767"/>
      <c r="M951" s="174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</row>
    <row r="952" spans="1:28" ht="15" hidden="1" customHeight="1" x14ac:dyDescent="0.25">
      <c r="A952" s="1141">
        <v>40</v>
      </c>
      <c r="B952" s="1986" t="s">
        <v>1218</v>
      </c>
      <c r="C952" s="1986"/>
      <c r="D952" s="1986"/>
      <c r="E952" s="1986"/>
      <c r="F952" s="1986"/>
      <c r="G952" s="1617" t="s">
        <v>1192</v>
      </c>
      <c r="H952" s="1230"/>
      <c r="I952" s="1617">
        <v>50</v>
      </c>
      <c r="J952" s="1617">
        <f t="shared" si="26"/>
        <v>0</v>
      </c>
      <c r="K952" s="108"/>
      <c r="L952" s="1767"/>
      <c r="M952" s="174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</row>
    <row r="953" spans="1:28" ht="15" hidden="1" customHeight="1" x14ac:dyDescent="0.25">
      <c r="A953" s="1141">
        <v>41</v>
      </c>
      <c r="B953" s="1986" t="s">
        <v>1219</v>
      </c>
      <c r="C953" s="1986"/>
      <c r="D953" s="1986"/>
      <c r="E953" s="1986"/>
      <c r="F953" s="1986"/>
      <c r="G953" s="1617" t="s">
        <v>1192</v>
      </c>
      <c r="H953" s="1230"/>
      <c r="I953" s="1617">
        <v>52</v>
      </c>
      <c r="J953" s="1617">
        <f t="shared" si="26"/>
        <v>0</v>
      </c>
      <c r="K953" s="108"/>
      <c r="L953" s="1767"/>
      <c r="M953" s="174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</row>
    <row r="954" spans="1:28" ht="15" hidden="1" customHeight="1" x14ac:dyDescent="0.25">
      <c r="A954" s="1141">
        <v>42</v>
      </c>
      <c r="B954" s="1986" t="s">
        <v>1220</v>
      </c>
      <c r="C954" s="1986"/>
      <c r="D954" s="1986"/>
      <c r="E954" s="1986"/>
      <c r="F954" s="1986"/>
      <c r="G954" s="1617" t="s">
        <v>1192</v>
      </c>
      <c r="H954" s="1230"/>
      <c r="I954" s="1617">
        <v>452</v>
      </c>
      <c r="J954" s="1617">
        <f t="shared" si="26"/>
        <v>0</v>
      </c>
      <c r="K954" s="108"/>
      <c r="L954" s="1767"/>
      <c r="M954" s="174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</row>
    <row r="955" spans="1:28" ht="15" hidden="1" customHeight="1" x14ac:dyDescent="0.25">
      <c r="A955" s="1141">
        <v>43</v>
      </c>
      <c r="B955" s="1986" t="s">
        <v>1221</v>
      </c>
      <c r="C955" s="1986"/>
      <c r="D955" s="1986"/>
      <c r="E955" s="1986"/>
      <c r="F955" s="1986"/>
      <c r="G955" s="1617" t="s">
        <v>1192</v>
      </c>
      <c r="H955" s="1230"/>
      <c r="I955" s="1617">
        <v>1042</v>
      </c>
      <c r="J955" s="1617">
        <f t="shared" si="26"/>
        <v>0</v>
      </c>
      <c r="K955" s="108"/>
      <c r="L955" s="1767"/>
      <c r="M955" s="174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</row>
    <row r="956" spans="1:28" ht="15" hidden="1" customHeight="1" x14ac:dyDescent="0.25">
      <c r="A956" s="1141">
        <v>44</v>
      </c>
      <c r="B956" s="1986" t="s">
        <v>1222</v>
      </c>
      <c r="C956" s="1986"/>
      <c r="D956" s="1986"/>
      <c r="E956" s="1986"/>
      <c r="F956" s="1986"/>
      <c r="G956" s="1617" t="s">
        <v>245</v>
      </c>
      <c r="H956" s="1230"/>
      <c r="I956" s="1617">
        <v>85660</v>
      </c>
      <c r="J956" s="1617">
        <f t="shared" si="26"/>
        <v>0</v>
      </c>
      <c r="K956" s="108"/>
      <c r="L956" s="1767"/>
      <c r="M956" s="174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</row>
    <row r="957" spans="1:28" ht="15" hidden="1" customHeight="1" x14ac:dyDescent="0.25">
      <c r="A957" s="1141">
        <v>45</v>
      </c>
      <c r="B957" s="1986" t="s">
        <v>1226</v>
      </c>
      <c r="C957" s="1986"/>
      <c r="D957" s="1986"/>
      <c r="E957" s="1986"/>
      <c r="F957" s="1986"/>
      <c r="G957" s="1617" t="s">
        <v>245</v>
      </c>
      <c r="H957" s="1230"/>
      <c r="I957" s="1617">
        <v>85700</v>
      </c>
      <c r="J957" s="1617">
        <f t="shared" si="26"/>
        <v>0</v>
      </c>
      <c r="K957" s="108"/>
      <c r="L957" s="1767"/>
      <c r="M957" s="174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</row>
    <row r="958" spans="1:28" ht="28.5" hidden="1" customHeight="1" x14ac:dyDescent="0.25">
      <c r="A958" s="1141">
        <v>46</v>
      </c>
      <c r="B958" s="1986" t="s">
        <v>1308</v>
      </c>
      <c r="C958" s="1986"/>
      <c r="D958" s="1986"/>
      <c r="E958" s="1986"/>
      <c r="F958" s="1986"/>
      <c r="G958" s="1617" t="s">
        <v>1310</v>
      </c>
      <c r="H958" s="1230"/>
      <c r="I958" s="1617">
        <v>44000</v>
      </c>
      <c r="J958" s="1617">
        <f t="shared" si="26"/>
        <v>0</v>
      </c>
      <c r="K958" s="108"/>
      <c r="L958" s="1767"/>
      <c r="M958" s="174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</row>
    <row r="959" spans="1:28" ht="15" hidden="1" customHeight="1" x14ac:dyDescent="0.25">
      <c r="A959" s="1141">
        <v>47</v>
      </c>
      <c r="B959" s="1986" t="s">
        <v>1309</v>
      </c>
      <c r="C959" s="1986"/>
      <c r="D959" s="1986"/>
      <c r="E959" s="1986"/>
      <c r="F959" s="1986"/>
      <c r="G959" s="1617" t="s">
        <v>1310</v>
      </c>
      <c r="H959" s="1230"/>
      <c r="I959" s="1617">
        <v>28000</v>
      </c>
      <c r="J959" s="1617">
        <f t="shared" si="26"/>
        <v>0</v>
      </c>
      <c r="K959" s="108"/>
      <c r="L959" s="1767"/>
      <c r="M959" s="174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</row>
    <row r="960" spans="1:28" ht="15" hidden="1" customHeight="1" x14ac:dyDescent="0.25">
      <c r="A960" s="1141">
        <v>48</v>
      </c>
      <c r="B960" s="1986" t="s">
        <v>1304</v>
      </c>
      <c r="C960" s="1986"/>
      <c r="D960" s="1986"/>
      <c r="E960" s="1986"/>
      <c r="F960" s="1986"/>
      <c r="G960" s="1617" t="s">
        <v>245</v>
      </c>
      <c r="H960" s="1230"/>
      <c r="I960" s="1617">
        <v>2235</v>
      </c>
      <c r="J960" s="1617">
        <f t="shared" si="26"/>
        <v>0</v>
      </c>
      <c r="K960" s="108"/>
      <c r="L960" s="1767"/>
      <c r="M960" s="174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</row>
    <row r="961" spans="1:28" ht="15" hidden="1" customHeight="1" x14ac:dyDescent="0.25">
      <c r="A961" s="1141">
        <v>49</v>
      </c>
      <c r="B961" s="1986" t="s">
        <v>1305</v>
      </c>
      <c r="C961" s="1986"/>
      <c r="D961" s="1986"/>
      <c r="E961" s="1986"/>
      <c r="F961" s="1986"/>
      <c r="G961" s="1617" t="s">
        <v>245</v>
      </c>
      <c r="H961" s="1230"/>
      <c r="I961" s="1617">
        <v>825</v>
      </c>
      <c r="J961" s="1617">
        <f t="shared" si="26"/>
        <v>0</v>
      </c>
      <c r="K961" s="108"/>
      <c r="L961" s="1767"/>
      <c r="M961" s="174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</row>
    <row r="962" spans="1:28" ht="15" hidden="1" customHeight="1" x14ac:dyDescent="0.25">
      <c r="A962" s="1141">
        <v>50</v>
      </c>
      <c r="B962" s="1986" t="s">
        <v>1363</v>
      </c>
      <c r="C962" s="1986"/>
      <c r="D962" s="1986"/>
      <c r="E962" s="1986"/>
      <c r="F962" s="1986"/>
      <c r="G962" s="1617" t="s">
        <v>245</v>
      </c>
      <c r="H962" s="1230"/>
      <c r="I962" s="1617">
        <v>5500</v>
      </c>
      <c r="J962" s="1617">
        <f t="shared" si="26"/>
        <v>0</v>
      </c>
      <c r="K962" s="108"/>
      <c r="L962" s="1767"/>
      <c r="M962" s="174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</row>
    <row r="963" spans="1:28" ht="15" hidden="1" customHeight="1" x14ac:dyDescent="0.25">
      <c r="A963" s="1141">
        <v>51</v>
      </c>
      <c r="B963" s="1986" t="s">
        <v>1364</v>
      </c>
      <c r="C963" s="1986"/>
      <c r="D963" s="1986"/>
      <c r="E963" s="1986"/>
      <c r="F963" s="1986"/>
      <c r="G963" s="1617" t="s">
        <v>245</v>
      </c>
      <c r="H963" s="1230"/>
      <c r="I963" s="1617">
        <v>202</v>
      </c>
      <c r="J963" s="1617">
        <f t="shared" si="26"/>
        <v>0</v>
      </c>
      <c r="K963" s="108"/>
      <c r="L963" s="1767"/>
      <c r="M963" s="174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</row>
    <row r="964" spans="1:28" ht="15" hidden="1" customHeight="1" x14ac:dyDescent="0.25">
      <c r="A964" s="1141">
        <v>52</v>
      </c>
      <c r="B964" s="1986" t="s">
        <v>1365</v>
      </c>
      <c r="C964" s="1986"/>
      <c r="D964" s="1986"/>
      <c r="E964" s="1986"/>
      <c r="F964" s="1986"/>
      <c r="G964" s="1617" t="s">
        <v>245</v>
      </c>
      <c r="H964" s="1230"/>
      <c r="I964" s="1617">
        <v>1497</v>
      </c>
      <c r="J964" s="1617">
        <f t="shared" si="26"/>
        <v>0</v>
      </c>
      <c r="K964" s="108"/>
      <c r="L964" s="1767"/>
      <c r="M964" s="174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</row>
    <row r="965" spans="1:28" ht="15" hidden="1" customHeight="1" x14ac:dyDescent="0.25">
      <c r="A965" s="2039" t="s">
        <v>39</v>
      </c>
      <c r="B965" s="2040"/>
      <c r="C965" s="2040"/>
      <c r="D965" s="2040"/>
      <c r="E965" s="2040"/>
      <c r="F965" s="2040"/>
      <c r="G965" s="2040"/>
      <c r="H965" s="2040"/>
      <c r="I965" s="2041"/>
      <c r="J965" s="1192">
        <f>SUM(J913:J964)</f>
        <v>0</v>
      </c>
      <c r="K965" s="61"/>
      <c r="L965" s="1767"/>
      <c r="M965" s="1741"/>
      <c r="N965" s="1739"/>
      <c r="O965" s="1739"/>
      <c r="P965" s="1739"/>
      <c r="Q965" s="98"/>
      <c r="R965" s="1740"/>
      <c r="S965" s="98"/>
      <c r="T965" s="98"/>
      <c r="U965" s="61"/>
      <c r="V965" s="61"/>
      <c r="W965" s="61"/>
      <c r="X965" s="61"/>
      <c r="Y965" s="61"/>
      <c r="Z965" s="61"/>
      <c r="AA965" s="61"/>
      <c r="AB965" s="61"/>
    </row>
    <row r="966" spans="1:28" ht="15" hidden="1" customHeight="1" x14ac:dyDescent="0.25">
      <c r="A966" s="1645"/>
      <c r="B966" s="72"/>
      <c r="C966" s="72"/>
      <c r="D966" s="72"/>
      <c r="E966" s="71"/>
      <c r="K966" s="108"/>
      <c r="L966" s="1767"/>
      <c r="M966" s="174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  <c r="AA966" s="61"/>
      <c r="AB966" s="61"/>
    </row>
    <row r="967" spans="1:28" ht="15" hidden="1" customHeight="1" x14ac:dyDescent="0.25">
      <c r="A967" s="1644" t="s">
        <v>1174</v>
      </c>
      <c r="K967" s="108"/>
      <c r="L967" s="1767"/>
      <c r="M967" s="174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  <c r="AA967" s="61"/>
      <c r="AB967" s="61"/>
    </row>
    <row r="968" spans="1:28" ht="15" hidden="1" customHeight="1" x14ac:dyDescent="0.25">
      <c r="A968" s="1926" t="s">
        <v>8</v>
      </c>
      <c r="B968" s="1926" t="s">
        <v>35</v>
      </c>
      <c r="C968" s="1926"/>
      <c r="D968" s="1926"/>
      <c r="E968" s="1926"/>
      <c r="F968" s="1926"/>
      <c r="G968" s="1926" t="s">
        <v>61</v>
      </c>
      <c r="H968" s="1990" t="s">
        <v>735</v>
      </c>
      <c r="I968" s="1991"/>
      <c r="J968" s="1992"/>
      <c r="K968" s="108"/>
      <c r="L968" s="1767"/>
      <c r="M968" s="174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  <c r="AA968" s="61"/>
      <c r="AB968" s="61"/>
    </row>
    <row r="969" spans="1:28" ht="30" hidden="1" customHeight="1" x14ac:dyDescent="0.25">
      <c r="A969" s="1926"/>
      <c r="B969" s="1926"/>
      <c r="C969" s="1926"/>
      <c r="D969" s="1926"/>
      <c r="E969" s="1926"/>
      <c r="F969" s="1926"/>
      <c r="G969" s="1926"/>
      <c r="H969" s="1598" t="s">
        <v>248</v>
      </c>
      <c r="I969" s="1617" t="s">
        <v>264</v>
      </c>
      <c r="J969" s="1617" t="s">
        <v>256</v>
      </c>
      <c r="K969" s="108"/>
      <c r="L969" s="1767"/>
      <c r="M969" s="174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  <c r="AA969" s="61"/>
      <c r="AB969" s="61"/>
    </row>
    <row r="970" spans="1:28" ht="15" hidden="1" customHeight="1" x14ac:dyDescent="0.25">
      <c r="A970" s="1141">
        <v>1</v>
      </c>
      <c r="B970" s="1986" t="s">
        <v>1445</v>
      </c>
      <c r="C970" s="1986"/>
      <c r="D970" s="1986"/>
      <c r="E970" s="1986"/>
      <c r="F970" s="1986"/>
      <c r="G970" s="1617" t="s">
        <v>304</v>
      </c>
      <c r="H970" s="1230"/>
      <c r="I970" s="1742">
        <v>2200</v>
      </c>
      <c r="J970" s="1617">
        <f>H970*I970</f>
        <v>0</v>
      </c>
      <c r="K970" s="108"/>
      <c r="L970" s="1767"/>
      <c r="M970" s="174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  <c r="AA970" s="61"/>
      <c r="AB970" s="61"/>
    </row>
    <row r="971" spans="1:28" ht="15" hidden="1" customHeight="1" x14ac:dyDescent="0.25">
      <c r="A971" s="1141">
        <v>9</v>
      </c>
      <c r="B971" s="1986" t="s">
        <v>1446</v>
      </c>
      <c r="C971" s="1986"/>
      <c r="D971" s="1986"/>
      <c r="E971" s="1986"/>
      <c r="F971" s="1986"/>
      <c r="G971" s="1617" t="s">
        <v>304</v>
      </c>
      <c r="H971" s="1230"/>
      <c r="I971" s="1742">
        <v>2234</v>
      </c>
      <c r="J971" s="1617">
        <f>H971*I971</f>
        <v>0</v>
      </c>
      <c r="K971" s="108"/>
      <c r="L971" s="1767"/>
      <c r="M971" s="174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  <c r="AA971" s="61"/>
      <c r="AB971" s="61"/>
    </row>
    <row r="972" spans="1:28" ht="15" hidden="1" customHeight="1" x14ac:dyDescent="0.25">
      <c r="A972" s="1141">
        <v>13</v>
      </c>
      <c r="B972" s="1986" t="s">
        <v>1447</v>
      </c>
      <c r="C972" s="1986"/>
      <c r="D972" s="1986"/>
      <c r="E972" s="1986"/>
      <c r="F972" s="1986"/>
      <c r="G972" s="1617" t="s">
        <v>716</v>
      </c>
      <c r="H972" s="1230"/>
      <c r="I972" s="1742">
        <v>2309</v>
      </c>
      <c r="J972" s="1617">
        <f>H972*I972</f>
        <v>0</v>
      </c>
      <c r="K972" s="108"/>
      <c r="L972" s="1767"/>
      <c r="M972" s="174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  <c r="AA972" s="61"/>
      <c r="AB972" s="61"/>
    </row>
    <row r="973" spans="1:28" ht="15" hidden="1" customHeight="1" x14ac:dyDescent="0.25">
      <c r="A973" s="1141">
        <v>17</v>
      </c>
      <c r="B973" s="1986" t="s">
        <v>1304</v>
      </c>
      <c r="C973" s="1986"/>
      <c r="D973" s="1986"/>
      <c r="E973" s="1986"/>
      <c r="F973" s="1986"/>
      <c r="G973" s="1617" t="s">
        <v>304</v>
      </c>
      <c r="H973" s="1230"/>
      <c r="I973" s="1742">
        <v>1304</v>
      </c>
      <c r="J973" s="1617">
        <f>H973*I973</f>
        <v>0</v>
      </c>
      <c r="K973" s="108"/>
      <c r="L973" s="1767"/>
      <c r="M973" s="174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  <c r="AA973" s="61"/>
      <c r="AB973" s="61"/>
    </row>
    <row r="974" spans="1:28" ht="15" hidden="1" customHeight="1" x14ac:dyDescent="0.25">
      <c r="A974" s="2039" t="s">
        <v>39</v>
      </c>
      <c r="B974" s="2040"/>
      <c r="C974" s="2040"/>
      <c r="D974" s="2040"/>
      <c r="E974" s="2040"/>
      <c r="F974" s="2040"/>
      <c r="G974" s="2040"/>
      <c r="H974" s="2040"/>
      <c r="I974" s="2041"/>
      <c r="J974" s="1192">
        <f>SUM(J970:J973)</f>
        <v>0</v>
      </c>
      <c r="K974" s="61"/>
      <c r="L974" s="1767"/>
      <c r="M974" s="1741"/>
      <c r="N974" s="61"/>
      <c r="O974" s="1739"/>
      <c r="P974" s="1739"/>
      <c r="Q974" s="98"/>
      <c r="R974" s="1740"/>
      <c r="S974" s="98"/>
      <c r="T974" s="98"/>
      <c r="U974" s="61"/>
      <c r="V974" s="61"/>
      <c r="W974" s="61"/>
      <c r="X974" s="61"/>
      <c r="Y974" s="61"/>
      <c r="Z974" s="61"/>
      <c r="AA974" s="61"/>
      <c r="AB974" s="61"/>
    </row>
    <row r="975" spans="1:28" ht="15" hidden="1" customHeight="1" x14ac:dyDescent="0.25">
      <c r="A975" s="1645"/>
      <c r="B975" s="72"/>
      <c r="C975" s="72"/>
      <c r="D975" s="72"/>
      <c r="E975" s="71"/>
      <c r="K975" s="108"/>
      <c r="L975" s="1767"/>
      <c r="M975" s="174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  <c r="AA975" s="61"/>
      <c r="AB975" s="61"/>
    </row>
    <row r="976" spans="1:28" ht="15" hidden="1" customHeight="1" x14ac:dyDescent="0.25">
      <c r="A976" s="1644" t="s">
        <v>1090</v>
      </c>
      <c r="K976" s="108"/>
      <c r="L976" s="1767"/>
      <c r="M976" s="174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  <c r="AA976" s="61"/>
      <c r="AB976" s="61"/>
    </row>
    <row r="977" spans="1:28" ht="15" hidden="1" customHeight="1" x14ac:dyDescent="0.25">
      <c r="A977" s="1926" t="s">
        <v>8</v>
      </c>
      <c r="B977" s="1926" t="s">
        <v>35</v>
      </c>
      <c r="C977" s="1926"/>
      <c r="D977" s="1926"/>
      <c r="E977" s="1926"/>
      <c r="F977" s="1926"/>
      <c r="G977" s="1926" t="s">
        <v>61</v>
      </c>
      <c r="H977" s="1990" t="s">
        <v>735</v>
      </c>
      <c r="I977" s="1991"/>
      <c r="J977" s="1992"/>
      <c r="K977" s="108"/>
      <c r="L977" s="1767"/>
      <c r="M977" s="174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  <c r="AA977" s="61"/>
      <c r="AB977" s="61"/>
    </row>
    <row r="978" spans="1:28" ht="30" hidden="1" customHeight="1" x14ac:dyDescent="0.25">
      <c r="A978" s="1926"/>
      <c r="B978" s="1926"/>
      <c r="C978" s="1926"/>
      <c r="D978" s="1926"/>
      <c r="E978" s="1926"/>
      <c r="F978" s="1926"/>
      <c r="G978" s="1926"/>
      <c r="H978" s="1598" t="s">
        <v>248</v>
      </c>
      <c r="I978" s="1617" t="s">
        <v>264</v>
      </c>
      <c r="J978" s="1617" t="s">
        <v>256</v>
      </c>
      <c r="K978" s="108"/>
      <c r="L978" s="1767"/>
      <c r="M978" s="174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  <c r="AA978" s="61"/>
      <c r="AB978" s="61"/>
    </row>
    <row r="979" spans="1:28" ht="15" hidden="1" customHeight="1" x14ac:dyDescent="0.25">
      <c r="A979" s="1141">
        <v>1</v>
      </c>
      <c r="B979" s="2003" t="s">
        <v>1223</v>
      </c>
      <c r="C979" s="2004"/>
      <c r="D979" s="2004"/>
      <c r="E979" s="2004"/>
      <c r="F979" s="2005"/>
      <c r="G979" s="1617" t="s">
        <v>1224</v>
      </c>
      <c r="H979" s="1230"/>
      <c r="I979" s="1617">
        <v>577</v>
      </c>
      <c r="J979" s="1617">
        <f>H979*I979</f>
        <v>0</v>
      </c>
      <c r="K979" s="108"/>
      <c r="L979" s="1767"/>
      <c r="M979" s="174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  <c r="AA979" s="61"/>
      <c r="AB979" s="61"/>
    </row>
    <row r="980" spans="1:28" ht="15" hidden="1" customHeight="1" x14ac:dyDescent="0.25">
      <c r="A980" s="1141">
        <v>2</v>
      </c>
      <c r="B980" s="2003" t="s">
        <v>1225</v>
      </c>
      <c r="C980" s="2004"/>
      <c r="D980" s="2004"/>
      <c r="E980" s="2004"/>
      <c r="F980" s="2005"/>
      <c r="G980" s="1617" t="s">
        <v>245</v>
      </c>
      <c r="H980" s="1230"/>
      <c r="I980" s="1617">
        <v>473</v>
      </c>
      <c r="J980" s="1617">
        <f>H980*I980</f>
        <v>0</v>
      </c>
      <c r="K980" s="108"/>
      <c r="L980" s="1767"/>
      <c r="M980" s="174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  <c r="AA980" s="61"/>
      <c r="AB980" s="61"/>
    </row>
    <row r="981" spans="1:28" ht="15" hidden="1" customHeight="1" x14ac:dyDescent="0.25">
      <c r="A981" s="1141">
        <v>3</v>
      </c>
      <c r="B981" s="2003" t="s">
        <v>1081</v>
      </c>
      <c r="C981" s="2004"/>
      <c r="D981" s="2004"/>
      <c r="E981" s="2004"/>
      <c r="F981" s="2005"/>
      <c r="G981" s="1617" t="s">
        <v>245</v>
      </c>
      <c r="H981" s="1230"/>
      <c r="I981" s="1617">
        <v>458</v>
      </c>
      <c r="J981" s="1617">
        <f>H981*I981</f>
        <v>0</v>
      </c>
      <c r="K981" s="108"/>
      <c r="L981" s="1767"/>
      <c r="M981" s="174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  <c r="AA981" s="61"/>
      <c r="AB981" s="61"/>
    </row>
    <row r="982" spans="1:28" ht="15" hidden="1" customHeight="1" x14ac:dyDescent="0.25">
      <c r="A982" s="2039" t="s">
        <v>39</v>
      </c>
      <c r="B982" s="2040"/>
      <c r="C982" s="2040"/>
      <c r="D982" s="2040"/>
      <c r="E982" s="2040"/>
      <c r="F982" s="2040"/>
      <c r="G982" s="2040"/>
      <c r="H982" s="2040"/>
      <c r="I982" s="2041"/>
      <c r="J982" s="1192">
        <f>SUM(J979:J981)</f>
        <v>0</v>
      </c>
      <c r="K982" s="61"/>
      <c r="L982" s="1767"/>
      <c r="M982" s="1741"/>
      <c r="N982" s="61"/>
      <c r="O982" s="1739"/>
      <c r="P982" s="1739"/>
      <c r="Q982" s="98"/>
      <c r="R982" s="1740"/>
      <c r="S982" s="98"/>
      <c r="T982" s="98"/>
      <c r="U982" s="61"/>
      <c r="V982" s="61"/>
      <c r="W982" s="61"/>
      <c r="X982" s="61"/>
      <c r="Y982" s="61"/>
      <c r="Z982" s="61"/>
      <c r="AA982" s="61"/>
      <c r="AB982" s="61"/>
    </row>
    <row r="983" spans="1:28" ht="15" hidden="1" customHeight="1" x14ac:dyDescent="0.25">
      <c r="A983" s="1645"/>
      <c r="B983" s="72"/>
      <c r="C983" s="72"/>
      <c r="D983" s="72"/>
      <c r="E983" s="71"/>
      <c r="K983" s="108"/>
      <c r="L983" s="1767"/>
      <c r="M983" s="174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  <c r="AA983" s="61"/>
      <c r="AB983" s="61"/>
    </row>
    <row r="984" spans="1:28" ht="15" hidden="1" customHeight="1" x14ac:dyDescent="0.25">
      <c r="A984" s="1644" t="s">
        <v>1307</v>
      </c>
      <c r="K984" s="70"/>
      <c r="L984" s="1767"/>
      <c r="M984" s="174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  <c r="AA984" s="61"/>
      <c r="AB984" s="61"/>
    </row>
    <row r="985" spans="1:28" ht="15" hidden="1" customHeight="1" x14ac:dyDescent="0.25">
      <c r="A985" s="1926" t="s">
        <v>8</v>
      </c>
      <c r="B985" s="1926" t="s">
        <v>35</v>
      </c>
      <c r="C985" s="1926"/>
      <c r="D985" s="1926"/>
      <c r="E985" s="1926"/>
      <c r="F985" s="1926"/>
      <c r="G985" s="1926" t="s">
        <v>61</v>
      </c>
      <c r="H985" s="1990" t="s">
        <v>735</v>
      </c>
      <c r="I985" s="1991"/>
      <c r="J985" s="1992"/>
      <c r="K985" s="61"/>
      <c r="L985" s="1767"/>
      <c r="M985" s="174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  <c r="AA985" s="61"/>
      <c r="AB985" s="61"/>
    </row>
    <row r="986" spans="1:28" ht="30" hidden="1" customHeight="1" x14ac:dyDescent="0.25">
      <c r="A986" s="1926"/>
      <c r="B986" s="1926"/>
      <c r="C986" s="1926"/>
      <c r="D986" s="1926"/>
      <c r="E986" s="1926"/>
      <c r="F986" s="1926"/>
      <c r="G986" s="1926"/>
      <c r="H986" s="1598" t="s">
        <v>248</v>
      </c>
      <c r="I986" s="1617" t="s">
        <v>264</v>
      </c>
      <c r="J986" s="1617" t="s">
        <v>256</v>
      </c>
      <c r="K986" s="61"/>
      <c r="L986" s="1767"/>
      <c r="M986" s="174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  <c r="AA986" s="61"/>
      <c r="AB986" s="61"/>
    </row>
    <row r="987" spans="1:28" ht="15" hidden="1" customHeight="1" x14ac:dyDescent="0.25">
      <c r="A987" s="1141">
        <v>1</v>
      </c>
      <c r="B987" s="2003" t="s">
        <v>1291</v>
      </c>
      <c r="C987" s="2004"/>
      <c r="D987" s="2004"/>
      <c r="E987" s="2004"/>
      <c r="F987" s="2005"/>
      <c r="G987" s="1598" t="s">
        <v>304</v>
      </c>
      <c r="H987" s="1598"/>
      <c r="I987" s="1617">
        <v>2334.9</v>
      </c>
      <c r="J987" s="1617">
        <f>H987*I987</f>
        <v>0</v>
      </c>
      <c r="K987" s="1648"/>
      <c r="L987" s="1767"/>
      <c r="M987" s="174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  <c r="AA987" s="61"/>
      <c r="AB987" s="61"/>
    </row>
    <row r="988" spans="1:28" ht="15" hidden="1" customHeight="1" x14ac:dyDescent="0.25">
      <c r="A988" s="1141">
        <v>2</v>
      </c>
      <c r="B988" s="2003" t="s">
        <v>1292</v>
      </c>
      <c r="C988" s="2004"/>
      <c r="D988" s="2004"/>
      <c r="E988" s="2004"/>
      <c r="F988" s="2005"/>
      <c r="G988" s="1598" t="s">
        <v>304</v>
      </c>
      <c r="H988" s="1598"/>
      <c r="I988" s="1617">
        <v>5340.6</v>
      </c>
      <c r="J988" s="1617">
        <f>H988*I988</f>
        <v>0</v>
      </c>
      <c r="K988" s="1648"/>
      <c r="L988" s="1767"/>
      <c r="M988" s="174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  <c r="AA988" s="61"/>
      <c r="AB988" s="61"/>
    </row>
    <row r="989" spans="1:28" ht="15" hidden="1" customHeight="1" x14ac:dyDescent="0.25">
      <c r="A989" s="1993" t="s">
        <v>39</v>
      </c>
      <c r="B989" s="1993"/>
      <c r="C989" s="1993"/>
      <c r="D989" s="1993"/>
      <c r="E989" s="1993"/>
      <c r="F989" s="1993"/>
      <c r="G989" s="1993"/>
      <c r="H989" s="1192" t="s">
        <v>5</v>
      </c>
      <c r="I989" s="1192" t="s">
        <v>5</v>
      </c>
      <c r="J989" s="1192">
        <f>SUM(J987:J988)</f>
        <v>0</v>
      </c>
      <c r="K989" s="1648"/>
      <c r="L989" s="1767"/>
      <c r="M989" s="174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  <c r="AA989" s="61"/>
      <c r="AB989" s="61"/>
    </row>
    <row r="990" spans="1:28" ht="15" hidden="1" customHeight="1" x14ac:dyDescent="0.25">
      <c r="A990" s="63"/>
      <c r="B990" s="63"/>
      <c r="C990" s="63"/>
      <c r="D990" s="63"/>
      <c r="E990" s="63"/>
      <c r="F990" s="63"/>
      <c r="G990" s="63"/>
      <c r="H990" s="64"/>
      <c r="I990" s="64"/>
      <c r="J990" s="64"/>
      <c r="K990" s="61"/>
      <c r="L990" s="1767"/>
      <c r="M990" s="174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  <c r="AA990" s="61"/>
      <c r="AB990" s="61"/>
    </row>
    <row r="991" spans="1:28" x14ac:dyDescent="0.25">
      <c r="A991" s="1644" t="s">
        <v>723</v>
      </c>
      <c r="K991" s="61"/>
      <c r="L991" s="1767"/>
      <c r="M991" s="1741"/>
      <c r="N991" s="75"/>
      <c r="O991" s="75"/>
      <c r="P991" s="75"/>
      <c r="Q991" s="75"/>
      <c r="R991" s="75"/>
      <c r="S991" s="75"/>
      <c r="T991" s="75"/>
      <c r="U991" s="61"/>
      <c r="V991" s="61"/>
      <c r="W991" s="61"/>
      <c r="X991" s="61"/>
      <c r="Y991" s="61"/>
      <c r="Z991" s="61"/>
      <c r="AA991" s="61"/>
      <c r="AB991" s="61"/>
    </row>
    <row r="992" spans="1:28" ht="15" customHeight="1" x14ac:dyDescent="0.25">
      <c r="A992" s="1926" t="s">
        <v>8</v>
      </c>
      <c r="B992" s="1926" t="s">
        <v>35</v>
      </c>
      <c r="C992" s="1926"/>
      <c r="D992" s="1926"/>
      <c r="E992" s="1926"/>
      <c r="F992" s="1926"/>
      <c r="G992" s="1926" t="s">
        <v>61</v>
      </c>
      <c r="H992" s="1990" t="s">
        <v>1827</v>
      </c>
      <c r="I992" s="1991"/>
      <c r="J992" s="1992"/>
      <c r="K992" s="61"/>
      <c r="L992" s="1767"/>
      <c r="M992" s="1741"/>
      <c r="N992" s="75"/>
      <c r="O992" s="75"/>
      <c r="P992" s="75"/>
      <c r="Q992" s="75"/>
      <c r="R992" s="75"/>
      <c r="S992" s="75"/>
      <c r="T992" s="75"/>
      <c r="U992" s="61"/>
      <c r="V992" s="61"/>
      <c r="W992" s="61"/>
      <c r="X992" s="61"/>
      <c r="Y992" s="61"/>
      <c r="Z992" s="61"/>
      <c r="AA992" s="61"/>
      <c r="AB992" s="61"/>
    </row>
    <row r="993" spans="1:28" ht="32.25" customHeight="1" x14ac:dyDescent="0.25">
      <c r="A993" s="1926"/>
      <c r="B993" s="1926"/>
      <c r="C993" s="1926"/>
      <c r="D993" s="1926"/>
      <c r="E993" s="1926"/>
      <c r="F993" s="1926"/>
      <c r="G993" s="1926"/>
      <c r="H993" s="1598" t="s">
        <v>248</v>
      </c>
      <c r="I993" s="1617" t="s">
        <v>264</v>
      </c>
      <c r="J993" s="1617" t="s">
        <v>256</v>
      </c>
      <c r="K993" s="70"/>
      <c r="L993" s="1767"/>
      <c r="M993" s="1741"/>
      <c r="N993" s="75"/>
      <c r="O993" s="75"/>
      <c r="P993" s="75"/>
      <c r="Q993" s="75"/>
      <c r="R993" s="75"/>
      <c r="S993" s="75"/>
      <c r="T993" s="75"/>
      <c r="U993" s="61"/>
      <c r="V993" s="61"/>
      <c r="W993" s="61"/>
      <c r="X993" s="61"/>
      <c r="Y993" s="61"/>
      <c r="Z993" s="61"/>
      <c r="AA993" s="61"/>
      <c r="AB993" s="61"/>
    </row>
    <row r="994" spans="1:28" x14ac:dyDescent="0.25">
      <c r="A994" s="1141">
        <v>1</v>
      </c>
      <c r="B994" s="2003" t="s">
        <v>1564</v>
      </c>
      <c r="C994" s="2004"/>
      <c r="D994" s="2004"/>
      <c r="E994" s="2004"/>
      <c r="F994" s="2005"/>
      <c r="G994" s="1175" t="s">
        <v>716</v>
      </c>
      <c r="H994" s="1769">
        <v>200</v>
      </c>
      <c r="I994" s="1488">
        <v>120</v>
      </c>
      <c r="J994" s="1035">
        <f t="shared" ref="J994:J1006" si="27">H994*I994</f>
        <v>24000</v>
      </c>
      <c r="L994" s="1767"/>
      <c r="M994" s="1741"/>
      <c r="N994" s="75"/>
      <c r="O994" s="75"/>
      <c r="P994" s="75"/>
      <c r="Q994" s="75"/>
      <c r="R994" s="75"/>
      <c r="S994" s="75"/>
      <c r="T994" s="75"/>
      <c r="U994" s="61"/>
      <c r="V994" s="61"/>
      <c r="W994" s="61"/>
      <c r="X994" s="61"/>
      <c r="Y994" s="61"/>
      <c r="Z994" s="61"/>
      <c r="AA994" s="61"/>
      <c r="AB994" s="61"/>
    </row>
    <row r="995" spans="1:28" ht="15" customHeight="1" x14ac:dyDescent="0.25">
      <c r="A995" s="1141">
        <v>2</v>
      </c>
      <c r="B995" s="2003" t="s">
        <v>1565</v>
      </c>
      <c r="C995" s="2004"/>
      <c r="D995" s="2004"/>
      <c r="E995" s="2004"/>
      <c r="F995" s="2005"/>
      <c r="G995" s="1175" t="s">
        <v>716</v>
      </c>
      <c r="H995" s="1769">
        <v>200</v>
      </c>
      <c r="I995" s="1488">
        <v>150</v>
      </c>
      <c r="J995" s="1035">
        <f t="shared" si="27"/>
        <v>30000</v>
      </c>
      <c r="L995" s="1767"/>
      <c r="M995" s="1741"/>
      <c r="N995" s="75"/>
      <c r="O995" s="75"/>
      <c r="P995" s="75"/>
      <c r="Q995" s="75"/>
      <c r="R995" s="75"/>
      <c r="S995" s="75"/>
      <c r="T995" s="75"/>
      <c r="U995" s="61"/>
      <c r="V995" s="61"/>
      <c r="W995" s="61"/>
      <c r="X995" s="61"/>
      <c r="Y995" s="61"/>
      <c r="Z995" s="61"/>
      <c r="AA995" s="61"/>
      <c r="AB995" s="61"/>
    </row>
    <row r="996" spans="1:28" ht="15" customHeight="1" x14ac:dyDescent="0.25">
      <c r="A996" s="1141">
        <v>3</v>
      </c>
      <c r="B996" s="2003" t="s">
        <v>1566</v>
      </c>
      <c r="C996" s="2004"/>
      <c r="D996" s="2004"/>
      <c r="E996" s="2004"/>
      <c r="F996" s="2005"/>
      <c r="G996" s="1175" t="s">
        <v>1567</v>
      </c>
      <c r="H996" s="1769">
        <v>200</v>
      </c>
      <c r="I996" s="1488">
        <v>100</v>
      </c>
      <c r="J996" s="1035">
        <f t="shared" si="27"/>
        <v>20000</v>
      </c>
      <c r="L996" s="1767"/>
      <c r="M996" s="1741"/>
      <c r="N996" s="75"/>
      <c r="O996" s="75"/>
      <c r="P996" s="75"/>
      <c r="Q996" s="75"/>
      <c r="R996" s="75"/>
      <c r="S996" s="75"/>
      <c r="T996" s="75"/>
      <c r="U996" s="61"/>
      <c r="V996" s="61"/>
      <c r="W996" s="61"/>
      <c r="X996" s="61"/>
      <c r="Y996" s="61"/>
      <c r="Z996" s="61"/>
      <c r="AA996" s="61"/>
      <c r="AB996" s="61"/>
    </row>
    <row r="997" spans="1:28" ht="15" customHeight="1" x14ac:dyDescent="0.25">
      <c r="A997" s="1141">
        <v>4</v>
      </c>
      <c r="B997" s="2003" t="s">
        <v>1568</v>
      </c>
      <c r="C997" s="2004"/>
      <c r="D997" s="2004"/>
      <c r="E997" s="2004"/>
      <c r="F997" s="2005"/>
      <c r="G997" s="1175" t="s">
        <v>304</v>
      </c>
      <c r="H997" s="1769">
        <v>100</v>
      </c>
      <c r="I997" s="1488">
        <v>230</v>
      </c>
      <c r="J997" s="1035">
        <f t="shared" si="27"/>
        <v>23000</v>
      </c>
      <c r="L997" s="1767"/>
      <c r="M997" s="1741"/>
      <c r="N997" s="75"/>
      <c r="O997" s="75"/>
      <c r="P997" s="75"/>
      <c r="Q997" s="75"/>
      <c r="R997" s="75"/>
      <c r="S997" s="75"/>
      <c r="T997" s="75"/>
      <c r="U997" s="61"/>
      <c r="V997" s="61"/>
      <c r="W997" s="61"/>
      <c r="X997" s="61"/>
      <c r="Y997" s="61"/>
      <c r="Z997" s="61"/>
      <c r="AA997" s="61"/>
      <c r="AB997" s="61"/>
    </row>
    <row r="998" spans="1:28" ht="15" customHeight="1" x14ac:dyDescent="0.25">
      <c r="A998" s="1141">
        <v>5</v>
      </c>
      <c r="B998" s="2003" t="s">
        <v>1569</v>
      </c>
      <c r="C998" s="2004"/>
      <c r="D998" s="2004"/>
      <c r="E998" s="2004"/>
      <c r="F998" s="2005"/>
      <c r="G998" s="1175" t="s">
        <v>304</v>
      </c>
      <c r="H998" s="1769">
        <v>100</v>
      </c>
      <c r="I998" s="1488">
        <v>230</v>
      </c>
      <c r="J998" s="1035">
        <f t="shared" si="27"/>
        <v>23000</v>
      </c>
      <c r="L998" s="1767"/>
      <c r="M998" s="1741"/>
      <c r="N998" s="75"/>
      <c r="O998" s="75"/>
      <c r="P998" s="75"/>
      <c r="Q998" s="75"/>
      <c r="R998" s="75"/>
      <c r="S998" s="75"/>
      <c r="T998" s="75"/>
      <c r="U998" s="61"/>
      <c r="V998" s="61"/>
      <c r="W998" s="61"/>
      <c r="X998" s="61"/>
      <c r="Y998" s="61"/>
      <c r="Z998" s="61"/>
      <c r="AA998" s="61"/>
      <c r="AB998" s="61"/>
    </row>
    <row r="999" spans="1:28" x14ac:dyDescent="0.25">
      <c r="A999" s="1141">
        <v>6</v>
      </c>
      <c r="B999" s="2003" t="s">
        <v>1570</v>
      </c>
      <c r="C999" s="2004"/>
      <c r="D999" s="2004"/>
      <c r="E999" s="2004"/>
      <c r="F999" s="2005"/>
      <c r="G999" s="1175" t="s">
        <v>716</v>
      </c>
      <c r="H999" s="1769">
        <v>100</v>
      </c>
      <c r="I999" s="1488">
        <v>195</v>
      </c>
      <c r="J999" s="1035">
        <f t="shared" si="27"/>
        <v>19500</v>
      </c>
      <c r="L999" s="1767"/>
      <c r="M999" s="1741"/>
      <c r="N999" s="75"/>
      <c r="O999" s="75"/>
      <c r="P999" s="75"/>
      <c r="Q999" s="75"/>
      <c r="R999" s="75"/>
      <c r="S999" s="75"/>
      <c r="T999" s="75"/>
      <c r="U999" s="61"/>
      <c r="V999" s="61"/>
      <c r="W999" s="61"/>
      <c r="X999" s="61"/>
      <c r="Y999" s="61"/>
      <c r="Z999" s="61"/>
      <c r="AA999" s="61"/>
      <c r="AB999" s="61"/>
    </row>
    <row r="1000" spans="1:28" ht="15" customHeight="1" x14ac:dyDescent="0.25">
      <c r="A1000" s="1141">
        <v>7</v>
      </c>
      <c r="B1000" s="2003" t="s">
        <v>722</v>
      </c>
      <c r="C1000" s="2004"/>
      <c r="D1000" s="2004"/>
      <c r="E1000" s="2004"/>
      <c r="F1000" s="2005"/>
      <c r="G1000" s="1175" t="s">
        <v>304</v>
      </c>
      <c r="H1000" s="1769">
        <v>200</v>
      </c>
      <c r="I1000" s="1488">
        <v>80</v>
      </c>
      <c r="J1000" s="1035">
        <f t="shared" si="27"/>
        <v>16000</v>
      </c>
      <c r="L1000" s="1767"/>
      <c r="M1000" s="1741"/>
      <c r="N1000" s="75"/>
      <c r="O1000" s="75"/>
      <c r="P1000" s="75"/>
      <c r="Q1000" s="75"/>
      <c r="R1000" s="75"/>
      <c r="S1000" s="75"/>
      <c r="T1000" s="75"/>
      <c r="U1000" s="61"/>
      <c r="V1000" s="61"/>
      <c r="W1000" s="61"/>
      <c r="X1000" s="61"/>
      <c r="Y1000" s="61"/>
      <c r="Z1000" s="61"/>
      <c r="AA1000" s="61"/>
      <c r="AB1000" s="61"/>
    </row>
    <row r="1001" spans="1:28" ht="15" customHeight="1" x14ac:dyDescent="0.25">
      <c r="A1001" s="1141">
        <v>8</v>
      </c>
      <c r="B1001" s="2003" t="s">
        <v>1571</v>
      </c>
      <c r="C1001" s="2004"/>
      <c r="D1001" s="2004"/>
      <c r="E1001" s="2004"/>
      <c r="F1001" s="2005"/>
      <c r="G1001" s="1175" t="s">
        <v>1567</v>
      </c>
      <c r="H1001" s="1769">
        <v>500</v>
      </c>
      <c r="I1001" s="1488">
        <v>220</v>
      </c>
      <c r="J1001" s="1035">
        <f t="shared" si="27"/>
        <v>110000</v>
      </c>
      <c r="L1001" s="1767"/>
      <c r="M1001" s="1741"/>
      <c r="N1001" s="75"/>
      <c r="O1001" s="75"/>
      <c r="P1001" s="75"/>
      <c r="Q1001" s="75"/>
      <c r="R1001" s="75"/>
      <c r="S1001" s="75"/>
      <c r="T1001" s="75"/>
      <c r="U1001" s="61"/>
      <c r="V1001" s="61"/>
      <c r="W1001" s="61"/>
      <c r="X1001" s="61"/>
      <c r="Y1001" s="61"/>
      <c r="Z1001" s="61"/>
      <c r="AA1001" s="61"/>
      <c r="AB1001" s="61"/>
    </row>
    <row r="1002" spans="1:28" ht="15" customHeight="1" x14ac:dyDescent="0.25">
      <c r="A1002" s="1141">
        <v>9</v>
      </c>
      <c r="B1002" s="2003" t="s">
        <v>1572</v>
      </c>
      <c r="C1002" s="2004"/>
      <c r="D1002" s="2004"/>
      <c r="E1002" s="2004"/>
      <c r="F1002" s="2005"/>
      <c r="G1002" s="1175" t="s">
        <v>1567</v>
      </c>
      <c r="H1002" s="1769">
        <v>200</v>
      </c>
      <c r="I1002" s="1488">
        <v>100</v>
      </c>
      <c r="J1002" s="1035">
        <f t="shared" si="27"/>
        <v>20000</v>
      </c>
      <c r="L1002" s="1767"/>
      <c r="M1002" s="1741"/>
      <c r="N1002" s="75"/>
      <c r="O1002" s="75"/>
      <c r="P1002" s="75"/>
      <c r="Q1002" s="75"/>
      <c r="R1002" s="75"/>
      <c r="S1002" s="75"/>
      <c r="T1002" s="75"/>
      <c r="U1002" s="61"/>
      <c r="V1002" s="61"/>
      <c r="W1002" s="61"/>
      <c r="X1002" s="61"/>
      <c r="Y1002" s="61"/>
      <c r="Z1002" s="61"/>
      <c r="AA1002" s="61"/>
      <c r="AB1002" s="61"/>
    </row>
    <row r="1003" spans="1:28" ht="15" customHeight="1" x14ac:dyDescent="0.25">
      <c r="A1003" s="1141">
        <v>10</v>
      </c>
      <c r="B1003" s="2003" t="s">
        <v>1573</v>
      </c>
      <c r="C1003" s="2004"/>
      <c r="D1003" s="2004"/>
      <c r="E1003" s="2004"/>
      <c r="F1003" s="2005"/>
      <c r="G1003" s="1175" t="s">
        <v>716</v>
      </c>
      <c r="H1003" s="1769">
        <f>96-20</f>
        <v>76</v>
      </c>
      <c r="I1003" s="1488">
        <v>200</v>
      </c>
      <c r="J1003" s="1035">
        <f t="shared" si="27"/>
        <v>15200</v>
      </c>
      <c r="L1003" s="1767"/>
      <c r="M1003" s="1741"/>
      <c r="N1003" s="75"/>
      <c r="O1003" s="75"/>
      <c r="P1003" s="75"/>
      <c r="Q1003" s="75"/>
      <c r="R1003" s="75"/>
      <c r="S1003" s="75"/>
      <c r="T1003" s="75"/>
      <c r="U1003" s="61"/>
      <c r="V1003" s="61"/>
      <c r="W1003" s="61"/>
      <c r="X1003" s="61"/>
      <c r="Y1003" s="61"/>
      <c r="Z1003" s="61"/>
      <c r="AA1003" s="61"/>
      <c r="AB1003" s="61"/>
    </row>
    <row r="1004" spans="1:28" ht="15" customHeight="1" x14ac:dyDescent="0.25">
      <c r="A1004" s="1141">
        <v>11</v>
      </c>
      <c r="B1004" s="1614" t="s">
        <v>1957</v>
      </c>
      <c r="C1004" s="1618"/>
      <c r="D1004" s="1618"/>
      <c r="E1004" s="1618"/>
      <c r="F1004" s="1619"/>
      <c r="G1004" s="1175" t="s">
        <v>304</v>
      </c>
      <c r="H1004" s="1769">
        <v>322</v>
      </c>
      <c r="I1004" s="1488">
        <v>600</v>
      </c>
      <c r="J1004" s="1035">
        <f t="shared" si="27"/>
        <v>193200</v>
      </c>
      <c r="L1004" s="1767"/>
      <c r="M1004" s="1741"/>
      <c r="N1004" s="75"/>
      <c r="O1004" s="75"/>
      <c r="P1004" s="75"/>
      <c r="Q1004" s="75"/>
      <c r="R1004" s="75"/>
      <c r="S1004" s="75"/>
      <c r="T1004" s="75"/>
      <c r="U1004" s="61"/>
      <c r="V1004" s="61"/>
      <c r="W1004" s="61"/>
      <c r="X1004" s="61"/>
      <c r="Y1004" s="61"/>
      <c r="Z1004" s="61"/>
      <c r="AA1004" s="61"/>
      <c r="AB1004" s="61"/>
    </row>
    <row r="1005" spans="1:28" ht="15" customHeight="1" x14ac:dyDescent="0.25">
      <c r="A1005" s="1141">
        <v>12</v>
      </c>
      <c r="B1005" s="2003" t="s">
        <v>1574</v>
      </c>
      <c r="C1005" s="2004"/>
      <c r="D1005" s="2004"/>
      <c r="E1005" s="2004"/>
      <c r="F1005" s="2005"/>
      <c r="G1005" s="1175" t="s">
        <v>1567</v>
      </c>
      <c r="H1005" s="1769">
        <v>200</v>
      </c>
      <c r="I1005" s="1488">
        <v>420</v>
      </c>
      <c r="J1005" s="1035">
        <f t="shared" si="27"/>
        <v>84000</v>
      </c>
      <c r="L1005" s="1767"/>
      <c r="M1005" s="1741"/>
      <c r="N1005" s="75"/>
      <c r="O1005" s="75"/>
      <c r="P1005" s="75"/>
      <c r="Q1005" s="75"/>
      <c r="R1005" s="75"/>
      <c r="S1005" s="75"/>
      <c r="T1005" s="75"/>
      <c r="U1005" s="61"/>
      <c r="V1005" s="61"/>
      <c r="W1005" s="61"/>
      <c r="X1005" s="61"/>
      <c r="Y1005" s="61"/>
      <c r="Z1005" s="61"/>
      <c r="AA1005" s="61"/>
      <c r="AB1005" s="61"/>
    </row>
    <row r="1006" spans="1:28" ht="15" customHeight="1" x14ac:dyDescent="0.25">
      <c r="A1006" s="1141">
        <v>13</v>
      </c>
      <c r="B1006" s="2003" t="s">
        <v>1575</v>
      </c>
      <c r="C1006" s="2004"/>
      <c r="D1006" s="2004"/>
      <c r="E1006" s="2004"/>
      <c r="F1006" s="2005"/>
      <c r="G1006" s="1175" t="s">
        <v>1567</v>
      </c>
      <c r="H1006" s="1769">
        <v>500</v>
      </c>
      <c r="I1006" s="1488">
        <v>395</v>
      </c>
      <c r="J1006" s="1035">
        <f t="shared" si="27"/>
        <v>197500</v>
      </c>
      <c r="L1006" s="1767"/>
      <c r="M1006" s="1741"/>
      <c r="N1006" s="75"/>
      <c r="O1006" s="75"/>
      <c r="P1006" s="75"/>
      <c r="Q1006" s="75"/>
      <c r="R1006" s="75"/>
      <c r="S1006" s="75"/>
      <c r="T1006" s="75"/>
      <c r="U1006" s="61"/>
      <c r="V1006" s="61"/>
      <c r="W1006" s="61"/>
      <c r="X1006" s="61"/>
      <c r="Y1006" s="61"/>
      <c r="Z1006" s="61"/>
      <c r="AA1006" s="61"/>
      <c r="AB1006" s="61"/>
    </row>
    <row r="1007" spans="1:28" x14ac:dyDescent="0.25">
      <c r="A1007" s="1993" t="s">
        <v>39</v>
      </c>
      <c r="B1007" s="1993"/>
      <c r="C1007" s="1993"/>
      <c r="D1007" s="1993"/>
      <c r="E1007" s="1993"/>
      <c r="F1007" s="1993"/>
      <c r="G1007" s="1993"/>
      <c r="H1007" s="1192" t="s">
        <v>5</v>
      </c>
      <c r="I1007" s="1192" t="s">
        <v>5</v>
      </c>
      <c r="J1007" s="1192">
        <f>SUM(J994:J1006)</f>
        <v>775400</v>
      </c>
      <c r="K1007" s="70"/>
      <c r="L1007" s="1767"/>
      <c r="M1007" s="1741"/>
      <c r="N1007" s="61"/>
      <c r="O1007" s="61"/>
      <c r="P1007" s="61"/>
      <c r="Q1007" s="61"/>
      <c r="R1007" s="61"/>
      <c r="S1007" s="61"/>
      <c r="T1007" s="61"/>
      <c r="U1007" s="61"/>
      <c r="V1007" s="61"/>
      <c r="W1007" s="61"/>
      <c r="X1007" s="61"/>
      <c r="Y1007" s="61"/>
      <c r="Z1007" s="61"/>
      <c r="AA1007" s="61"/>
      <c r="AB1007" s="61"/>
    </row>
    <row r="1008" spans="1:28" x14ac:dyDescent="0.25">
      <c r="A1008" s="63"/>
      <c r="B1008" s="63"/>
      <c r="C1008" s="63"/>
      <c r="D1008" s="63"/>
      <c r="E1008" s="63"/>
      <c r="F1008" s="63"/>
      <c r="G1008" s="63"/>
      <c r="H1008" s="64"/>
      <c r="I1008" s="64"/>
      <c r="J1008" s="64"/>
      <c r="L1008" s="1767"/>
      <c r="M1008" s="1741"/>
      <c r="N1008" s="61"/>
      <c r="O1008" s="61"/>
      <c r="P1008" s="61"/>
      <c r="Q1008" s="61"/>
      <c r="R1008" s="61"/>
      <c r="S1008" s="61"/>
      <c r="T1008" s="61"/>
      <c r="U1008" s="61"/>
      <c r="V1008" s="61"/>
      <c r="W1008" s="61"/>
      <c r="X1008" s="61"/>
      <c r="Y1008" s="61"/>
      <c r="Z1008" s="61"/>
      <c r="AA1008" s="61"/>
      <c r="AB1008" s="61"/>
    </row>
    <row r="1009" spans="1:28" x14ac:dyDescent="0.25">
      <c r="A1009" s="1644" t="s">
        <v>2216</v>
      </c>
      <c r="L1009" s="1767"/>
      <c r="M1009" s="1741"/>
      <c r="N1009" s="61"/>
      <c r="O1009" s="61"/>
      <c r="P1009" s="61"/>
      <c r="Q1009" s="61"/>
      <c r="R1009" s="61"/>
      <c r="S1009" s="61"/>
      <c r="T1009" s="61"/>
      <c r="U1009" s="61"/>
      <c r="V1009" s="61"/>
      <c r="W1009" s="61"/>
      <c r="X1009" s="61"/>
      <c r="Y1009" s="61"/>
      <c r="Z1009" s="61"/>
      <c r="AA1009" s="61"/>
      <c r="AB1009" s="61"/>
    </row>
    <row r="1010" spans="1:28" x14ac:dyDescent="0.25">
      <c r="A1010" s="1926" t="s">
        <v>8</v>
      </c>
      <c r="B1010" s="1926" t="s">
        <v>35</v>
      </c>
      <c r="C1010" s="1926"/>
      <c r="D1010" s="1926"/>
      <c r="E1010" s="1926"/>
      <c r="F1010" s="1926"/>
      <c r="G1010" s="1926" t="s">
        <v>61</v>
      </c>
      <c r="H1010" s="1990" t="s">
        <v>1827</v>
      </c>
      <c r="I1010" s="1991"/>
      <c r="J1010" s="1992"/>
      <c r="L1010" s="1767"/>
      <c r="M1010" s="1741"/>
      <c r="N1010" s="61"/>
      <c r="O1010" s="61"/>
      <c r="P1010" s="61"/>
      <c r="Q1010" s="61"/>
      <c r="R1010" s="61"/>
      <c r="S1010" s="61"/>
      <c r="T1010" s="61"/>
      <c r="U1010" s="61"/>
      <c r="V1010" s="61"/>
      <c r="W1010" s="61"/>
      <c r="X1010" s="61"/>
      <c r="Y1010" s="61"/>
      <c r="Z1010" s="61"/>
      <c r="AA1010" s="61"/>
      <c r="AB1010" s="61"/>
    </row>
    <row r="1011" spans="1:28" ht="30" x14ac:dyDescent="0.25">
      <c r="A1011" s="1926"/>
      <c r="B1011" s="1926"/>
      <c r="C1011" s="1926"/>
      <c r="D1011" s="1926"/>
      <c r="E1011" s="1926"/>
      <c r="F1011" s="1926"/>
      <c r="G1011" s="1926"/>
      <c r="H1011" s="1598" t="s">
        <v>248</v>
      </c>
      <c r="I1011" s="1617" t="s">
        <v>264</v>
      </c>
      <c r="J1011" s="1617" t="s">
        <v>256</v>
      </c>
      <c r="L1011" s="1767"/>
      <c r="M1011" s="1741"/>
      <c r="N1011" s="61"/>
      <c r="O1011" s="61"/>
      <c r="P1011" s="61"/>
      <c r="Q1011" s="61"/>
      <c r="R1011" s="61"/>
      <c r="S1011" s="61"/>
      <c r="T1011" s="61"/>
      <c r="U1011" s="61"/>
      <c r="V1011" s="61"/>
      <c r="W1011" s="61"/>
      <c r="X1011" s="61"/>
      <c r="Y1011" s="61"/>
      <c r="Z1011" s="61"/>
      <c r="AA1011" s="61"/>
      <c r="AB1011" s="61"/>
    </row>
    <row r="1012" spans="1:28" ht="15" customHeight="1" x14ac:dyDescent="0.25">
      <c r="A1012" s="1995" t="s">
        <v>2221</v>
      </c>
      <c r="B1012" s="2007"/>
      <c r="C1012" s="2007"/>
      <c r="D1012" s="2007"/>
      <c r="E1012" s="2007"/>
      <c r="F1012" s="2007"/>
      <c r="G1012" s="2007"/>
      <c r="H1012" s="2007"/>
      <c r="I1012" s="2008"/>
      <c r="J1012" s="1617"/>
      <c r="L1012" s="1767"/>
      <c r="M1012" s="1741"/>
      <c r="N1012" s="61"/>
      <c r="O1012" s="61"/>
      <c r="P1012" s="61"/>
      <c r="Q1012" s="61"/>
      <c r="R1012" s="61"/>
      <c r="S1012" s="61"/>
      <c r="T1012" s="61"/>
      <c r="U1012" s="61"/>
      <c r="V1012" s="61"/>
      <c r="W1012" s="61"/>
      <c r="X1012" s="61"/>
      <c r="Y1012" s="61"/>
      <c r="Z1012" s="61"/>
      <c r="AA1012" s="61"/>
      <c r="AB1012" s="61"/>
    </row>
    <row r="1013" spans="1:28" ht="15.75" x14ac:dyDescent="0.25">
      <c r="A1013" s="1141">
        <v>1</v>
      </c>
      <c r="B1013" s="2000" t="s">
        <v>2166</v>
      </c>
      <c r="C1013" s="2001"/>
      <c r="D1013" s="2001"/>
      <c r="E1013" s="2001"/>
      <c r="F1013" s="2002"/>
      <c r="G1013" s="1617" t="s">
        <v>304</v>
      </c>
      <c r="H1013" s="1770">
        <v>60</v>
      </c>
      <c r="I1013" s="1771">
        <v>212</v>
      </c>
      <c r="J1013" s="1617">
        <f t="shared" ref="J1013:J1018" si="28">H1013*I1013</f>
        <v>12720</v>
      </c>
      <c r="L1013" s="1767"/>
      <c r="M1013" s="1741"/>
      <c r="N1013" s="774"/>
      <c r="O1013" s="1593"/>
      <c r="P1013" s="1593"/>
      <c r="Q1013" s="61"/>
      <c r="R1013" s="61"/>
      <c r="S1013" s="61"/>
      <c r="T1013" s="61"/>
      <c r="U1013" s="61"/>
      <c r="V1013" s="61"/>
      <c r="W1013" s="61"/>
      <c r="X1013" s="61"/>
      <c r="Y1013" s="61"/>
      <c r="Z1013" s="61"/>
      <c r="AA1013" s="61"/>
      <c r="AB1013" s="61"/>
    </row>
    <row r="1014" spans="1:28" ht="15.75" x14ac:dyDescent="0.25">
      <c r="A1014" s="1141">
        <v>2</v>
      </c>
      <c r="B1014" s="2000" t="s">
        <v>2167</v>
      </c>
      <c r="C1014" s="2001"/>
      <c r="D1014" s="2001"/>
      <c r="E1014" s="2001"/>
      <c r="F1014" s="2002"/>
      <c r="G1014" s="1617" t="s">
        <v>304</v>
      </c>
      <c r="H1014" s="1770">
        <v>20</v>
      </c>
      <c r="I1014" s="1771">
        <v>570</v>
      </c>
      <c r="J1014" s="1617">
        <f t="shared" si="28"/>
        <v>11400</v>
      </c>
      <c r="L1014" s="1767"/>
      <c r="M1014" s="1741"/>
      <c r="N1014" s="774"/>
      <c r="O1014" s="1593"/>
      <c r="P1014" s="1593"/>
      <c r="Q1014" s="61"/>
      <c r="R1014" s="61"/>
      <c r="S1014" s="61"/>
      <c r="T1014" s="61"/>
      <c r="U1014" s="61"/>
      <c r="V1014" s="61"/>
      <c r="W1014" s="61"/>
      <c r="X1014" s="61"/>
      <c r="Y1014" s="61"/>
      <c r="Z1014" s="61"/>
      <c r="AA1014" s="61"/>
      <c r="AB1014" s="61"/>
    </row>
    <row r="1015" spans="1:28" ht="15.75" x14ac:dyDescent="0.25">
      <c r="A1015" s="1141">
        <v>3</v>
      </c>
      <c r="B1015" s="2000" t="s">
        <v>2217</v>
      </c>
      <c r="C1015" s="2001"/>
      <c r="D1015" s="2001"/>
      <c r="E1015" s="2001"/>
      <c r="F1015" s="2002"/>
      <c r="G1015" s="1617" t="s">
        <v>304</v>
      </c>
      <c r="H1015" s="1770">
        <v>20</v>
      </c>
      <c r="I1015" s="1771">
        <v>1688</v>
      </c>
      <c r="J1015" s="1617">
        <f t="shared" si="28"/>
        <v>33760</v>
      </c>
      <c r="L1015" s="1767"/>
      <c r="M1015" s="1741"/>
      <c r="N1015" s="774"/>
      <c r="O1015" s="1593"/>
      <c r="P1015" s="1593"/>
      <c r="Q1015" s="61"/>
      <c r="R1015" s="61"/>
      <c r="S1015" s="61"/>
      <c r="T1015" s="61"/>
      <c r="U1015" s="61"/>
      <c r="V1015" s="61"/>
      <c r="W1015" s="61"/>
      <c r="X1015" s="61"/>
      <c r="Y1015" s="61"/>
      <c r="Z1015" s="61"/>
      <c r="AA1015" s="61"/>
      <c r="AB1015" s="61"/>
    </row>
    <row r="1016" spans="1:28" x14ac:dyDescent="0.25">
      <c r="A1016" s="1141">
        <v>4</v>
      </c>
      <c r="B1016" s="2000" t="s">
        <v>2218</v>
      </c>
      <c r="C1016" s="2001"/>
      <c r="D1016" s="2001"/>
      <c r="E1016" s="2001"/>
      <c r="F1016" s="2002"/>
      <c r="G1016" s="1617" t="s">
        <v>304</v>
      </c>
      <c r="H1016" s="1175">
        <v>10</v>
      </c>
      <c r="I1016" s="1535">
        <v>1638</v>
      </c>
      <c r="J1016" s="1617">
        <f t="shared" si="28"/>
        <v>16380</v>
      </c>
      <c r="L1016" s="1767"/>
      <c r="M1016" s="1741"/>
      <c r="N1016" s="774"/>
      <c r="O1016" s="1593"/>
      <c r="P1016" s="1593"/>
      <c r="Q1016" s="61"/>
      <c r="R1016" s="61"/>
      <c r="S1016" s="61"/>
      <c r="T1016" s="61"/>
      <c r="U1016" s="61"/>
      <c r="V1016" s="61"/>
      <c r="W1016" s="61"/>
      <c r="X1016" s="61"/>
      <c r="Y1016" s="61"/>
      <c r="Z1016" s="61"/>
      <c r="AA1016" s="61"/>
      <c r="AB1016" s="61"/>
    </row>
    <row r="1017" spans="1:28" ht="15.75" x14ac:dyDescent="0.25">
      <c r="A1017" s="1141">
        <v>5</v>
      </c>
      <c r="B1017" s="2000" t="s">
        <v>2219</v>
      </c>
      <c r="C1017" s="2001"/>
      <c r="D1017" s="2001"/>
      <c r="E1017" s="2001"/>
      <c r="F1017" s="2002"/>
      <c r="G1017" s="1617" t="s">
        <v>304</v>
      </c>
      <c r="H1017" s="1770">
        <v>50</v>
      </c>
      <c r="I1017" s="1771">
        <v>214</v>
      </c>
      <c r="J1017" s="1617">
        <f t="shared" si="28"/>
        <v>10700</v>
      </c>
      <c r="L1017" s="1767"/>
      <c r="M1017" s="1741"/>
      <c r="N1017" s="774"/>
      <c r="O1017" s="1593"/>
      <c r="P1017" s="1593"/>
      <c r="Q1017" s="61"/>
      <c r="R1017" s="61"/>
      <c r="S1017" s="61"/>
      <c r="T1017" s="61"/>
      <c r="U1017" s="61"/>
      <c r="V1017" s="61"/>
      <c r="W1017" s="61"/>
      <c r="X1017" s="61"/>
      <c r="Y1017" s="61"/>
      <c r="Z1017" s="61"/>
      <c r="AA1017" s="61"/>
      <c r="AB1017" s="61"/>
    </row>
    <row r="1018" spans="1:28" ht="15.75" x14ac:dyDescent="0.25">
      <c r="A1018" s="1141">
        <v>6</v>
      </c>
      <c r="B1018" s="2000" t="s">
        <v>2220</v>
      </c>
      <c r="C1018" s="2001"/>
      <c r="D1018" s="2001"/>
      <c r="E1018" s="2001"/>
      <c r="F1018" s="2002"/>
      <c r="G1018" s="1617" t="s">
        <v>304</v>
      </c>
      <c r="H1018" s="1770">
        <v>30</v>
      </c>
      <c r="I1018" s="1771">
        <v>3448</v>
      </c>
      <c r="J1018" s="1617">
        <f t="shared" si="28"/>
        <v>103440</v>
      </c>
      <c r="L1018" s="1767"/>
      <c r="M1018" s="1741"/>
      <c r="N1018" s="774"/>
      <c r="O1018" s="1593"/>
      <c r="P1018" s="1593"/>
      <c r="Q1018" s="61"/>
      <c r="R1018" s="61"/>
      <c r="S1018" s="61"/>
      <c r="T1018" s="61"/>
      <c r="U1018" s="61"/>
      <c r="V1018" s="61"/>
      <c r="W1018" s="61"/>
      <c r="X1018" s="61"/>
      <c r="Y1018" s="61"/>
      <c r="Z1018" s="61"/>
      <c r="AA1018" s="61"/>
      <c r="AB1018" s="61"/>
    </row>
    <row r="1019" spans="1:28" x14ac:dyDescent="0.25">
      <c r="A1019" s="1993" t="s">
        <v>39</v>
      </c>
      <c r="B1019" s="1993"/>
      <c r="C1019" s="1993"/>
      <c r="D1019" s="1993"/>
      <c r="E1019" s="1993"/>
      <c r="F1019" s="1993"/>
      <c r="G1019" s="1993"/>
      <c r="H1019" s="1192" t="s">
        <v>5</v>
      </c>
      <c r="I1019" s="1192" t="s">
        <v>5</v>
      </c>
      <c r="J1019" s="1192">
        <f>SUM(J1013:J1018)</f>
        <v>188400</v>
      </c>
      <c r="L1019" s="1767"/>
      <c r="M1019" s="1741"/>
      <c r="N1019" s="61"/>
      <c r="O1019" s="61"/>
      <c r="P1019" s="61"/>
      <c r="Q1019" s="61"/>
      <c r="R1019" s="61"/>
      <c r="S1019" s="61"/>
      <c r="T1019" s="61"/>
      <c r="U1019" s="61"/>
      <c r="V1019" s="61"/>
      <c r="W1019" s="61"/>
      <c r="X1019" s="61"/>
      <c r="Y1019" s="61"/>
      <c r="Z1019" s="61"/>
      <c r="AA1019" s="61"/>
      <c r="AB1019" s="61"/>
    </row>
    <row r="1020" spans="1:28" x14ac:dyDescent="0.25">
      <c r="A1020" s="63"/>
      <c r="B1020" s="63"/>
      <c r="C1020" s="63"/>
      <c r="D1020" s="63"/>
      <c r="E1020" s="63"/>
      <c r="F1020" s="63"/>
      <c r="G1020" s="63"/>
      <c r="H1020" s="64"/>
      <c r="I1020" s="64"/>
      <c r="J1020" s="64"/>
      <c r="L1020" s="1767"/>
      <c r="M1020" s="1741"/>
      <c r="N1020" s="61"/>
      <c r="O1020" s="61"/>
      <c r="P1020" s="61"/>
      <c r="Q1020" s="61"/>
      <c r="R1020" s="61"/>
      <c r="S1020" s="61"/>
      <c r="T1020" s="61"/>
      <c r="U1020" s="61"/>
      <c r="V1020" s="61"/>
      <c r="W1020" s="61"/>
      <c r="X1020" s="61"/>
      <c r="Y1020" s="61"/>
      <c r="Z1020" s="61"/>
      <c r="AA1020" s="61"/>
      <c r="AB1020" s="61"/>
    </row>
    <row r="1021" spans="1:28" x14ac:dyDescent="0.25">
      <c r="A1021" s="1644" t="s">
        <v>2222</v>
      </c>
      <c r="L1021" s="1767"/>
      <c r="M1021" s="1741"/>
      <c r="N1021" s="61"/>
      <c r="O1021" s="61"/>
      <c r="P1021" s="61"/>
      <c r="Q1021" s="61"/>
      <c r="R1021" s="61"/>
      <c r="S1021" s="61"/>
      <c r="T1021" s="61"/>
      <c r="U1021" s="61"/>
      <c r="V1021" s="61"/>
      <c r="W1021" s="61"/>
      <c r="X1021" s="61"/>
      <c r="Y1021" s="61"/>
      <c r="Z1021" s="61"/>
      <c r="AA1021" s="61"/>
      <c r="AB1021" s="61"/>
    </row>
    <row r="1022" spans="1:28" x14ac:dyDescent="0.25">
      <c r="A1022" s="1926" t="s">
        <v>8</v>
      </c>
      <c r="B1022" s="1926" t="s">
        <v>35</v>
      </c>
      <c r="C1022" s="1926"/>
      <c r="D1022" s="1926"/>
      <c r="E1022" s="1926"/>
      <c r="F1022" s="1926"/>
      <c r="G1022" s="1926" t="s">
        <v>61</v>
      </c>
      <c r="H1022" s="1990" t="s">
        <v>1827</v>
      </c>
      <c r="I1022" s="1991"/>
      <c r="J1022" s="1992"/>
      <c r="L1022" s="1767"/>
      <c r="M1022" s="1741"/>
      <c r="N1022" s="61"/>
      <c r="O1022" s="61"/>
      <c r="P1022" s="61"/>
      <c r="Q1022" s="61"/>
      <c r="R1022" s="61"/>
      <c r="S1022" s="61"/>
      <c r="T1022" s="61"/>
      <c r="U1022" s="61"/>
      <c r="V1022" s="61"/>
      <c r="W1022" s="61"/>
      <c r="X1022" s="61"/>
      <c r="Y1022" s="61"/>
      <c r="Z1022" s="61"/>
      <c r="AA1022" s="61"/>
      <c r="AB1022" s="61"/>
    </row>
    <row r="1023" spans="1:28" ht="30" x14ac:dyDescent="0.25">
      <c r="A1023" s="1926"/>
      <c r="B1023" s="1926"/>
      <c r="C1023" s="1926"/>
      <c r="D1023" s="1926"/>
      <c r="E1023" s="1926"/>
      <c r="F1023" s="1926"/>
      <c r="G1023" s="1926"/>
      <c r="H1023" s="1598" t="s">
        <v>248</v>
      </c>
      <c r="I1023" s="1617" t="s">
        <v>264</v>
      </c>
      <c r="J1023" s="1617" t="s">
        <v>256</v>
      </c>
      <c r="L1023" s="174"/>
      <c r="M1023" s="1662"/>
      <c r="N1023" s="61"/>
      <c r="O1023" s="61"/>
      <c r="P1023" s="61"/>
      <c r="Q1023" s="61"/>
      <c r="R1023" s="61"/>
      <c r="S1023" s="61"/>
      <c r="T1023" s="61"/>
      <c r="U1023" s="61"/>
      <c r="V1023" s="61"/>
      <c r="W1023" s="61"/>
      <c r="X1023" s="61"/>
      <c r="Y1023" s="61"/>
      <c r="Z1023" s="61"/>
      <c r="AA1023" s="61"/>
      <c r="AB1023" s="61"/>
    </row>
    <row r="1024" spans="1:28" x14ac:dyDescent="0.25">
      <c r="A1024" s="1995" t="s">
        <v>2223</v>
      </c>
      <c r="B1024" s="2007"/>
      <c r="C1024" s="2007"/>
      <c r="D1024" s="2007"/>
      <c r="E1024" s="2007"/>
      <c r="F1024" s="2007"/>
      <c r="G1024" s="2007"/>
      <c r="H1024" s="2007"/>
      <c r="I1024" s="2008"/>
      <c r="J1024" s="1617"/>
      <c r="L1024" s="174"/>
      <c r="M1024" s="1662"/>
      <c r="N1024" s="61"/>
      <c r="O1024" s="61"/>
      <c r="P1024" s="61"/>
      <c r="Q1024" s="61"/>
      <c r="R1024" s="61"/>
      <c r="S1024" s="61"/>
      <c r="T1024" s="61"/>
      <c r="U1024" s="61"/>
      <c r="V1024" s="61"/>
      <c r="W1024" s="61"/>
      <c r="X1024" s="61"/>
      <c r="Y1024" s="61"/>
      <c r="Z1024" s="61"/>
      <c r="AA1024" s="61"/>
      <c r="AB1024" s="61"/>
    </row>
    <row r="1025" spans="1:28" ht="15.75" x14ac:dyDescent="0.25">
      <c r="A1025" s="1141">
        <v>1</v>
      </c>
      <c r="B1025" s="2000" t="s">
        <v>2192</v>
      </c>
      <c r="C1025" s="2001"/>
      <c r="D1025" s="2001"/>
      <c r="E1025" s="2001"/>
      <c r="F1025" s="2002"/>
      <c r="G1025" s="1617" t="s">
        <v>304</v>
      </c>
      <c r="H1025" s="1770">
        <v>20</v>
      </c>
      <c r="I1025" s="1771">
        <v>125</v>
      </c>
      <c r="J1025" s="1617">
        <f t="shared" ref="J1025:J1029" si="29">H1025*I1025</f>
        <v>2500</v>
      </c>
      <c r="L1025" s="174"/>
      <c r="M1025" s="1662"/>
      <c r="N1025" s="61"/>
      <c r="O1025" s="61"/>
      <c r="P1025" s="61"/>
      <c r="Q1025" s="61"/>
      <c r="R1025" s="61"/>
      <c r="S1025" s="61"/>
      <c r="T1025" s="61"/>
      <c r="U1025" s="61"/>
      <c r="V1025" s="61"/>
      <c r="W1025" s="61"/>
      <c r="X1025" s="61"/>
      <c r="Y1025" s="61"/>
      <c r="Z1025" s="61"/>
      <c r="AA1025" s="61"/>
      <c r="AB1025" s="61"/>
    </row>
    <row r="1026" spans="1:28" ht="15.75" x14ac:dyDescent="0.25">
      <c r="A1026" s="1141">
        <v>2</v>
      </c>
      <c r="B1026" s="2000" t="s">
        <v>2193</v>
      </c>
      <c r="C1026" s="2001"/>
      <c r="D1026" s="2001"/>
      <c r="E1026" s="2001"/>
      <c r="F1026" s="2002"/>
      <c r="G1026" s="1617" t="s">
        <v>304</v>
      </c>
      <c r="H1026" s="1770">
        <v>20</v>
      </c>
      <c r="I1026" s="1771">
        <v>90</v>
      </c>
      <c r="J1026" s="1617">
        <f t="shared" si="29"/>
        <v>1800</v>
      </c>
      <c r="L1026" s="174"/>
      <c r="M1026" s="1662"/>
      <c r="N1026" s="61"/>
      <c r="O1026" s="61"/>
      <c r="P1026" s="61"/>
      <c r="Q1026" s="61"/>
      <c r="R1026" s="61"/>
      <c r="S1026" s="61"/>
      <c r="T1026" s="61"/>
      <c r="U1026" s="61"/>
      <c r="V1026" s="61"/>
      <c r="W1026" s="61"/>
      <c r="X1026" s="61"/>
      <c r="Y1026" s="61"/>
      <c r="Z1026" s="61"/>
      <c r="AA1026" s="61"/>
      <c r="AB1026" s="61"/>
    </row>
    <row r="1027" spans="1:28" ht="30.75" customHeight="1" x14ac:dyDescent="0.25">
      <c r="A1027" s="1141">
        <v>3</v>
      </c>
      <c r="B1027" s="2000" t="s">
        <v>2194</v>
      </c>
      <c r="C1027" s="2001"/>
      <c r="D1027" s="2001"/>
      <c r="E1027" s="2001"/>
      <c r="F1027" s="2002"/>
      <c r="G1027" s="1617" t="s">
        <v>304</v>
      </c>
      <c r="H1027" s="1770">
        <v>2</v>
      </c>
      <c r="I1027" s="1771">
        <v>1630</v>
      </c>
      <c r="J1027" s="1617">
        <f t="shared" si="29"/>
        <v>3260</v>
      </c>
      <c r="L1027" s="174"/>
      <c r="M1027" s="1662"/>
      <c r="N1027" s="61"/>
      <c r="O1027" s="61"/>
      <c r="P1027" s="61"/>
      <c r="Q1027" s="61"/>
      <c r="R1027" s="61"/>
      <c r="S1027" s="61"/>
      <c r="T1027" s="61"/>
      <c r="U1027" s="61"/>
      <c r="V1027" s="61"/>
      <c r="W1027" s="61"/>
      <c r="X1027" s="61"/>
      <c r="Y1027" s="61"/>
      <c r="Z1027" s="61"/>
      <c r="AA1027" s="61"/>
      <c r="AB1027" s="61"/>
    </row>
    <row r="1028" spans="1:28" x14ac:dyDescent="0.25">
      <c r="A1028" s="1141">
        <v>4</v>
      </c>
      <c r="B1028" s="2000" t="s">
        <v>2224</v>
      </c>
      <c r="C1028" s="2001"/>
      <c r="D1028" s="2001"/>
      <c r="E1028" s="2001"/>
      <c r="F1028" s="2002"/>
      <c r="G1028" s="1617" t="s">
        <v>304</v>
      </c>
      <c r="H1028" s="1175">
        <v>35</v>
      </c>
      <c r="I1028" s="1535">
        <v>2100</v>
      </c>
      <c r="J1028" s="1617">
        <f t="shared" si="29"/>
        <v>73500</v>
      </c>
      <c r="L1028" s="174"/>
      <c r="M1028" s="1662"/>
      <c r="N1028" s="61"/>
      <c r="O1028" s="61"/>
      <c r="P1028" s="61"/>
      <c r="Q1028" s="61"/>
      <c r="R1028" s="61"/>
      <c r="S1028" s="61"/>
      <c r="T1028" s="61"/>
      <c r="U1028" s="61"/>
      <c r="V1028" s="61"/>
      <c r="W1028" s="61"/>
      <c r="X1028" s="61"/>
      <c r="Y1028" s="61"/>
      <c r="Z1028" s="61"/>
      <c r="AA1028" s="61"/>
      <c r="AB1028" s="61"/>
    </row>
    <row r="1029" spans="1:28" ht="33" customHeight="1" x14ac:dyDescent="0.25">
      <c r="A1029" s="1141">
        <v>5</v>
      </c>
      <c r="B1029" s="2000" t="s">
        <v>2225</v>
      </c>
      <c r="C1029" s="2001"/>
      <c r="D1029" s="2001"/>
      <c r="E1029" s="2001"/>
      <c r="F1029" s="2002"/>
      <c r="G1029" s="1617" t="s">
        <v>304</v>
      </c>
      <c r="H1029" s="1770">
        <v>3</v>
      </c>
      <c r="I1029" s="1771">
        <v>6850</v>
      </c>
      <c r="J1029" s="1617">
        <f t="shared" si="29"/>
        <v>20550</v>
      </c>
      <c r="L1029" s="174"/>
      <c r="M1029" s="1662"/>
      <c r="N1029" s="61"/>
      <c r="O1029" s="61"/>
      <c r="P1029" s="61"/>
      <c r="Q1029" s="61"/>
      <c r="R1029" s="61"/>
      <c r="S1029" s="61"/>
      <c r="T1029" s="61"/>
      <c r="U1029" s="61"/>
      <c r="V1029" s="61"/>
      <c r="W1029" s="61"/>
      <c r="X1029" s="61"/>
      <c r="Y1029" s="61"/>
      <c r="Z1029" s="61"/>
      <c r="AA1029" s="61"/>
      <c r="AB1029" s="61"/>
    </row>
    <row r="1030" spans="1:28" x14ac:dyDescent="0.25">
      <c r="A1030" s="1993" t="s">
        <v>39</v>
      </c>
      <c r="B1030" s="1993"/>
      <c r="C1030" s="1993"/>
      <c r="D1030" s="1993"/>
      <c r="E1030" s="1993"/>
      <c r="F1030" s="1993"/>
      <c r="G1030" s="1993"/>
      <c r="H1030" s="1192" t="s">
        <v>5</v>
      </c>
      <c r="I1030" s="1192" t="s">
        <v>5</v>
      </c>
      <c r="J1030" s="1192">
        <f>SUM(J1025:J1029)</f>
        <v>101610</v>
      </c>
      <c r="L1030" s="174"/>
      <c r="M1030" s="1662"/>
      <c r="N1030" s="61"/>
      <c r="O1030" s="61"/>
      <c r="P1030" s="61"/>
      <c r="Q1030" s="61"/>
      <c r="R1030" s="61"/>
      <c r="S1030" s="61"/>
      <c r="T1030" s="61"/>
      <c r="U1030" s="61"/>
      <c r="V1030" s="61"/>
      <c r="W1030" s="61"/>
      <c r="X1030" s="61"/>
      <c r="Y1030" s="61"/>
      <c r="Z1030" s="61"/>
      <c r="AA1030" s="61"/>
      <c r="AB1030" s="61"/>
    </row>
    <row r="1031" spans="1:28" x14ac:dyDescent="0.25">
      <c r="A1031" s="63"/>
      <c r="B1031" s="63"/>
      <c r="C1031" s="63"/>
      <c r="D1031" s="63"/>
      <c r="E1031" s="63"/>
      <c r="F1031" s="63"/>
      <c r="G1031" s="63"/>
      <c r="H1031" s="64"/>
      <c r="I1031" s="64"/>
      <c r="J1031" s="64"/>
      <c r="L1031" s="174"/>
      <c r="M1031" s="1662"/>
      <c r="N1031" s="61"/>
      <c r="O1031" s="61"/>
      <c r="P1031" s="61"/>
      <c r="Q1031" s="61"/>
      <c r="R1031" s="61"/>
      <c r="S1031" s="61"/>
      <c r="T1031" s="61"/>
      <c r="U1031" s="61"/>
      <c r="V1031" s="61"/>
      <c r="W1031" s="61"/>
      <c r="X1031" s="61"/>
      <c r="Y1031" s="61"/>
      <c r="Z1031" s="61"/>
      <c r="AA1031" s="61"/>
      <c r="AB1031" s="61"/>
    </row>
    <row r="1032" spans="1:28" x14ac:dyDescent="0.25">
      <c r="A1032" s="1644" t="s">
        <v>717</v>
      </c>
      <c r="L1032" s="174"/>
      <c r="M1032" s="1662"/>
      <c r="N1032" s="61"/>
      <c r="O1032" s="61"/>
      <c r="P1032" s="61"/>
      <c r="Q1032" s="61"/>
      <c r="R1032" s="61"/>
      <c r="S1032" s="61"/>
      <c r="T1032" s="61"/>
      <c r="U1032" s="61"/>
      <c r="V1032" s="61"/>
      <c r="W1032" s="61"/>
      <c r="X1032" s="61"/>
      <c r="Y1032" s="61"/>
      <c r="Z1032" s="61"/>
      <c r="AA1032" s="61"/>
      <c r="AB1032" s="61"/>
    </row>
    <row r="1033" spans="1:28" ht="15" customHeight="1" x14ac:dyDescent="0.25">
      <c r="A1033" s="1926" t="s">
        <v>8</v>
      </c>
      <c r="B1033" s="1926" t="s">
        <v>35</v>
      </c>
      <c r="C1033" s="1926"/>
      <c r="D1033" s="1926"/>
      <c r="E1033" s="1926"/>
      <c r="F1033" s="1926"/>
      <c r="G1033" s="1926" t="s">
        <v>61</v>
      </c>
      <c r="H1033" s="1990" t="s">
        <v>1827</v>
      </c>
      <c r="I1033" s="1991"/>
      <c r="J1033" s="1992"/>
      <c r="L1033" s="714"/>
      <c r="M1033" s="1662"/>
      <c r="N1033" s="61"/>
      <c r="O1033" s="61"/>
      <c r="P1033" s="61"/>
      <c r="Q1033" s="61"/>
      <c r="R1033" s="61"/>
      <c r="S1033" s="61"/>
      <c r="T1033" s="61"/>
      <c r="U1033" s="61"/>
      <c r="V1033" s="61"/>
      <c r="W1033" s="61"/>
      <c r="X1033" s="61"/>
      <c r="Y1033" s="61"/>
      <c r="Z1033" s="61"/>
      <c r="AA1033" s="61"/>
      <c r="AB1033" s="61"/>
    </row>
    <row r="1034" spans="1:28" ht="30" x14ac:dyDescent="0.25">
      <c r="A1034" s="1926"/>
      <c r="B1034" s="1926"/>
      <c r="C1034" s="1926"/>
      <c r="D1034" s="1926"/>
      <c r="E1034" s="1926"/>
      <c r="F1034" s="1926"/>
      <c r="G1034" s="1926"/>
      <c r="H1034" s="1598" t="s">
        <v>248</v>
      </c>
      <c r="I1034" s="1617" t="s">
        <v>264</v>
      </c>
      <c r="J1034" s="1617" t="s">
        <v>256</v>
      </c>
      <c r="L1034" s="714"/>
      <c r="M1034" s="1662"/>
      <c r="N1034" s="61"/>
      <c r="O1034" s="61"/>
      <c r="P1034" s="61"/>
      <c r="Q1034" s="61"/>
      <c r="R1034" s="61"/>
      <c r="S1034" s="61"/>
      <c r="T1034" s="61"/>
      <c r="U1034" s="61"/>
      <c r="V1034" s="61"/>
      <c r="W1034" s="61"/>
      <c r="X1034" s="61"/>
      <c r="Y1034" s="61"/>
      <c r="Z1034" s="61"/>
      <c r="AA1034" s="61"/>
      <c r="AB1034" s="61"/>
    </row>
    <row r="1035" spans="1:28" ht="15.75" customHeight="1" x14ac:dyDescent="0.25">
      <c r="A1035" s="1598">
        <v>1</v>
      </c>
      <c r="B1035" s="2000" t="s">
        <v>2243</v>
      </c>
      <c r="C1035" s="2001"/>
      <c r="D1035" s="2001"/>
      <c r="E1035" s="2001"/>
      <c r="F1035" s="2002"/>
      <c r="G1035" s="1617" t="s">
        <v>832</v>
      </c>
      <c r="H1035" s="1770">
        <v>400</v>
      </c>
      <c r="I1035" s="1771">
        <v>600</v>
      </c>
      <c r="J1035" s="1617">
        <f t="shared" ref="J1035" si="30">H1035*I1035</f>
        <v>240000</v>
      </c>
      <c r="L1035" s="714"/>
      <c r="M1035" s="1662"/>
      <c r="N1035" s="61"/>
      <c r="O1035" s="61"/>
      <c r="P1035" s="61"/>
      <c r="Q1035" s="61"/>
      <c r="R1035" s="61"/>
      <c r="S1035" s="61"/>
      <c r="T1035" s="61"/>
      <c r="U1035" s="61"/>
      <c r="V1035" s="61"/>
      <c r="W1035" s="61"/>
      <c r="X1035" s="61"/>
      <c r="Y1035" s="61"/>
      <c r="Z1035" s="61"/>
      <c r="AA1035" s="61"/>
      <c r="AB1035" s="61"/>
    </row>
    <row r="1036" spans="1:28" ht="15.75" customHeight="1" x14ac:dyDescent="0.25">
      <c r="A1036" s="1141">
        <v>2</v>
      </c>
      <c r="B1036" s="2000" t="s">
        <v>2242</v>
      </c>
      <c r="C1036" s="2001"/>
      <c r="D1036" s="2001"/>
      <c r="E1036" s="2001"/>
      <c r="F1036" s="2002"/>
      <c r="G1036" s="1617" t="s">
        <v>832</v>
      </c>
      <c r="H1036" s="1770">
        <v>400</v>
      </c>
      <c r="I1036" s="1771">
        <v>600</v>
      </c>
      <c r="J1036" s="1617">
        <f t="shared" ref="J1036:J1038" si="31">H1036*I1036</f>
        <v>240000</v>
      </c>
      <c r="L1036" s="714"/>
      <c r="M1036" s="1662"/>
      <c r="N1036" s="61"/>
      <c r="O1036" s="61"/>
      <c r="P1036" s="61"/>
      <c r="Q1036" s="61"/>
      <c r="R1036" s="61"/>
      <c r="S1036" s="61"/>
      <c r="T1036" s="61"/>
      <c r="U1036" s="61"/>
      <c r="V1036" s="61"/>
      <c r="W1036" s="61"/>
      <c r="X1036" s="61"/>
      <c r="Y1036" s="61"/>
      <c r="Z1036" s="61"/>
      <c r="AA1036" s="61"/>
      <c r="AB1036" s="61"/>
    </row>
    <row r="1037" spans="1:28" ht="15.75" customHeight="1" x14ac:dyDescent="0.25">
      <c r="A1037" s="1141">
        <v>3</v>
      </c>
      <c r="B1037" s="2000" t="s">
        <v>1956</v>
      </c>
      <c r="C1037" s="2001"/>
      <c r="D1037" s="2001"/>
      <c r="E1037" s="2001"/>
      <c r="F1037" s="2002"/>
      <c r="G1037" s="1617" t="s">
        <v>832</v>
      </c>
      <c r="H1037" s="1770">
        <v>300</v>
      </c>
      <c r="I1037" s="1771">
        <v>600</v>
      </c>
      <c r="J1037" s="1617">
        <f t="shared" si="31"/>
        <v>180000</v>
      </c>
      <c r="L1037" s="714"/>
      <c r="M1037" s="1662"/>
      <c r="N1037" s="61"/>
      <c r="O1037" s="61"/>
      <c r="P1037" s="61"/>
      <c r="Q1037" s="61"/>
      <c r="R1037" s="61"/>
      <c r="S1037" s="61"/>
      <c r="T1037" s="61"/>
      <c r="U1037" s="61"/>
      <c r="V1037" s="61"/>
      <c r="W1037" s="61"/>
      <c r="X1037" s="61"/>
      <c r="Y1037" s="61"/>
      <c r="Z1037" s="61"/>
      <c r="AA1037" s="61"/>
      <c r="AB1037" s="61"/>
    </row>
    <row r="1038" spans="1:28" ht="15.75" customHeight="1" x14ac:dyDescent="0.25">
      <c r="A1038" s="1141">
        <v>4</v>
      </c>
      <c r="B1038" s="2000" t="s">
        <v>1958</v>
      </c>
      <c r="C1038" s="2001"/>
      <c r="D1038" s="2001"/>
      <c r="E1038" s="2001"/>
      <c r="F1038" s="2002"/>
      <c r="G1038" s="1617" t="s">
        <v>832</v>
      </c>
      <c r="H1038" s="1770">
        <v>200</v>
      </c>
      <c r="I1038" s="1771">
        <v>600</v>
      </c>
      <c r="J1038" s="1617">
        <f t="shared" si="31"/>
        <v>120000</v>
      </c>
      <c r="L1038" s="1743"/>
      <c r="M1038" s="1662"/>
      <c r="N1038" s="61"/>
      <c r="O1038" s="61"/>
      <c r="P1038" s="61"/>
      <c r="Q1038" s="61"/>
      <c r="R1038" s="61"/>
      <c r="S1038" s="61"/>
      <c r="T1038" s="61"/>
      <c r="U1038" s="61"/>
      <c r="V1038" s="61"/>
      <c r="W1038" s="61"/>
      <c r="X1038" s="61"/>
      <c r="Y1038" s="61"/>
      <c r="Z1038" s="61"/>
      <c r="AA1038" s="61"/>
      <c r="AB1038" s="61"/>
    </row>
    <row r="1039" spans="1:28" ht="15.75" hidden="1" customHeight="1" x14ac:dyDescent="0.25">
      <c r="A1039" s="2003" t="s">
        <v>1561</v>
      </c>
      <c r="B1039" s="2007"/>
      <c r="C1039" s="2007"/>
      <c r="D1039" s="2007"/>
      <c r="E1039" s="2007"/>
      <c r="F1039" s="2008"/>
      <c r="G1039" s="1617"/>
      <c r="H1039" s="1770"/>
      <c r="I1039" s="1771"/>
      <c r="J1039" s="1617">
        <f>1.59-1.59</f>
        <v>0</v>
      </c>
      <c r="L1039" s="714"/>
      <c r="M1039" s="1662"/>
      <c r="N1039" s="61"/>
      <c r="O1039" s="61"/>
      <c r="P1039" s="61"/>
      <c r="Q1039" s="61"/>
      <c r="R1039" s="61"/>
      <c r="S1039" s="61"/>
      <c r="T1039" s="61"/>
      <c r="U1039" s="61"/>
      <c r="V1039" s="61"/>
      <c r="W1039" s="61"/>
      <c r="X1039" s="61"/>
      <c r="Y1039" s="61"/>
      <c r="Z1039" s="61"/>
      <c r="AA1039" s="61"/>
      <c r="AB1039" s="61"/>
    </row>
    <row r="1040" spans="1:28" x14ac:dyDescent="0.25">
      <c r="A1040" s="1993" t="s">
        <v>39</v>
      </c>
      <c r="B1040" s="1993"/>
      <c r="C1040" s="1993"/>
      <c r="D1040" s="1993"/>
      <c r="E1040" s="1993"/>
      <c r="F1040" s="1993"/>
      <c r="G1040" s="1993"/>
      <c r="H1040" s="1192" t="s">
        <v>5</v>
      </c>
      <c r="I1040" s="1192" t="s">
        <v>5</v>
      </c>
      <c r="J1040" s="1192">
        <f>SUM(J1035:J1039)</f>
        <v>780000</v>
      </c>
      <c r="L1040" s="174"/>
      <c r="M1040" s="1662"/>
      <c r="N1040" s="61"/>
      <c r="O1040" s="61"/>
      <c r="P1040" s="61"/>
      <c r="Q1040" s="61"/>
      <c r="R1040" s="61"/>
      <c r="S1040" s="61"/>
      <c r="T1040" s="61"/>
      <c r="U1040" s="61"/>
      <c r="V1040" s="61"/>
      <c r="W1040" s="61"/>
      <c r="X1040" s="61"/>
      <c r="Y1040" s="61"/>
      <c r="Z1040" s="61"/>
      <c r="AA1040" s="61"/>
      <c r="AB1040" s="61"/>
    </row>
    <row r="1041" spans="1:32" x14ac:dyDescent="0.25">
      <c r="A1041" s="63"/>
      <c r="B1041" s="63"/>
      <c r="C1041" s="63"/>
      <c r="D1041" s="63"/>
      <c r="E1041" s="63"/>
      <c r="F1041" s="63"/>
      <c r="G1041" s="63"/>
      <c r="H1041" s="64"/>
      <c r="I1041" s="64"/>
      <c r="J1041" s="64"/>
      <c r="L1041" s="714"/>
      <c r="M1041" s="1662"/>
      <c r="N1041" s="61"/>
      <c r="O1041" s="61"/>
      <c r="P1041" s="61"/>
      <c r="Q1041" s="61"/>
      <c r="R1041" s="61"/>
      <c r="S1041" s="61"/>
      <c r="T1041" s="61"/>
      <c r="U1041" s="61"/>
      <c r="V1041" s="61"/>
      <c r="W1041" s="61"/>
      <c r="X1041" s="61"/>
      <c r="Y1041" s="61"/>
      <c r="Z1041" s="61"/>
      <c r="AA1041" s="61"/>
      <c r="AB1041" s="61"/>
    </row>
    <row r="1042" spans="1:32" s="70" customFormat="1" x14ac:dyDescent="0.25">
      <c r="A1042" s="2038" t="s">
        <v>1697</v>
      </c>
      <c r="B1042" s="2038"/>
      <c r="C1042" s="2038"/>
      <c r="D1042" s="2038"/>
      <c r="E1042" s="2038"/>
      <c r="F1042" s="2038"/>
      <c r="G1042" s="2038"/>
      <c r="H1042" s="2038"/>
      <c r="I1042" s="2038"/>
      <c r="J1042" s="2038"/>
      <c r="K1042" s="81"/>
      <c r="L1042" s="1593"/>
      <c r="M1042" s="1593"/>
      <c r="N1042" s="1593"/>
      <c r="O1042" s="1593"/>
      <c r="P1042" s="79"/>
      <c r="Q1042" s="1101"/>
      <c r="R1042" s="79"/>
      <c r="S1042" s="79"/>
      <c r="T1042" s="79"/>
      <c r="U1042" s="79"/>
      <c r="V1042" s="79"/>
      <c r="W1042" s="79"/>
      <c r="X1042" s="79"/>
      <c r="Y1042" s="79"/>
      <c r="Z1042" s="79"/>
      <c r="AA1042" s="79"/>
      <c r="AB1042" s="79"/>
      <c r="AC1042" s="79"/>
      <c r="AD1042" s="79"/>
      <c r="AE1042" s="79"/>
      <c r="AF1042" s="79"/>
    </row>
    <row r="1043" spans="1:32" s="70" customFormat="1" ht="15" customHeight="1" x14ac:dyDescent="0.25">
      <c r="A1043" s="1926" t="s">
        <v>8</v>
      </c>
      <c r="B1043" s="1926" t="s">
        <v>35</v>
      </c>
      <c r="C1043" s="1926"/>
      <c r="D1043" s="1926"/>
      <c r="E1043" s="1926"/>
      <c r="F1043" s="1926"/>
      <c r="G1043" s="1926" t="s">
        <v>61</v>
      </c>
      <c r="H1043" s="1990" t="s">
        <v>1827</v>
      </c>
      <c r="I1043" s="1991"/>
      <c r="J1043" s="1992"/>
      <c r="K1043" s="81"/>
      <c r="L1043" s="1593"/>
      <c r="M1043" s="1593"/>
      <c r="N1043" s="1593"/>
      <c r="O1043" s="1593"/>
      <c r="P1043" s="79"/>
      <c r="Q1043" s="1101"/>
      <c r="R1043" s="79"/>
      <c r="S1043" s="79"/>
      <c r="T1043" s="79"/>
      <c r="U1043" s="79"/>
      <c r="V1043" s="79"/>
      <c r="W1043" s="79"/>
      <c r="X1043" s="79"/>
      <c r="Y1043" s="79"/>
      <c r="Z1043" s="79"/>
      <c r="AA1043" s="79"/>
      <c r="AB1043" s="79"/>
      <c r="AC1043" s="79"/>
      <c r="AD1043" s="79"/>
      <c r="AE1043" s="79"/>
      <c r="AF1043" s="79"/>
    </row>
    <row r="1044" spans="1:32" s="70" customFormat="1" ht="30" x14ac:dyDescent="0.25">
      <c r="A1044" s="1926"/>
      <c r="B1044" s="1926"/>
      <c r="C1044" s="1926"/>
      <c r="D1044" s="1926"/>
      <c r="E1044" s="1926"/>
      <c r="F1044" s="1926"/>
      <c r="G1044" s="1926"/>
      <c r="H1044" s="1598" t="s">
        <v>248</v>
      </c>
      <c r="I1044" s="1617" t="s">
        <v>264</v>
      </c>
      <c r="J1044" s="1617" t="s">
        <v>256</v>
      </c>
      <c r="K1044" s="81"/>
      <c r="L1044" s="1593"/>
      <c r="M1044" s="1593"/>
      <c r="N1044" s="1593"/>
      <c r="O1044" s="1593"/>
      <c r="P1044" s="79"/>
      <c r="Q1044" s="1101"/>
      <c r="R1044" s="79"/>
      <c r="S1044" s="79"/>
      <c r="T1044" s="79"/>
      <c r="U1044" s="79"/>
      <c r="V1044" s="79"/>
      <c r="W1044" s="79"/>
      <c r="X1044" s="79"/>
      <c r="Y1044" s="79"/>
      <c r="Z1044" s="79"/>
      <c r="AA1044" s="79"/>
      <c r="AB1044" s="79"/>
      <c r="AC1044" s="79"/>
      <c r="AD1044" s="79"/>
      <c r="AE1044" s="79"/>
      <c r="AF1044" s="79"/>
    </row>
    <row r="1045" spans="1:32" s="70" customFormat="1" ht="15.75" customHeight="1" x14ac:dyDescent="0.25">
      <c r="A1045" s="1141">
        <v>1</v>
      </c>
      <c r="B1045" s="1986" t="s">
        <v>1577</v>
      </c>
      <c r="C1045" s="1986"/>
      <c r="D1045" s="1986"/>
      <c r="E1045" s="1986"/>
      <c r="F1045" s="1986"/>
      <c r="G1045" s="1617" t="s">
        <v>1696</v>
      </c>
      <c r="H1045" s="1770">
        <v>250</v>
      </c>
      <c r="I1045" s="1771">
        <v>350</v>
      </c>
      <c r="J1045" s="1617">
        <f>H1045*I1045</f>
        <v>87500</v>
      </c>
      <c r="K1045" s="81"/>
      <c r="L1045" s="1102"/>
      <c r="M1045" s="1593"/>
      <c r="N1045" s="1593"/>
      <c r="O1045" s="1593"/>
      <c r="P1045" s="79"/>
      <c r="Q1045" s="1101"/>
      <c r="R1045" s="79"/>
      <c r="S1045" s="79"/>
      <c r="T1045" s="79"/>
      <c r="U1045" s="79"/>
      <c r="V1045" s="79"/>
      <c r="W1045" s="79"/>
      <c r="X1045" s="79"/>
      <c r="Y1045" s="79"/>
      <c r="Z1045" s="79"/>
      <c r="AA1045" s="79"/>
      <c r="AB1045" s="79"/>
      <c r="AC1045" s="79"/>
      <c r="AD1045" s="79"/>
      <c r="AE1045" s="79"/>
      <c r="AF1045" s="79"/>
    </row>
    <row r="1046" spans="1:32" s="70" customFormat="1" ht="15.75" customHeight="1" x14ac:dyDescent="0.25">
      <c r="A1046" s="1141">
        <v>2</v>
      </c>
      <c r="B1046" s="1986" t="s">
        <v>1578</v>
      </c>
      <c r="C1046" s="1986"/>
      <c r="D1046" s="1986"/>
      <c r="E1046" s="1986"/>
      <c r="F1046" s="1986"/>
      <c r="G1046" s="1617" t="s">
        <v>304</v>
      </c>
      <c r="H1046" s="1770">
        <v>250</v>
      </c>
      <c r="I1046" s="1771">
        <v>65</v>
      </c>
      <c r="J1046" s="1617">
        <f t="shared" ref="J1046:J1064" si="32">H1046*I1046</f>
        <v>16250</v>
      </c>
      <c r="K1046" s="81"/>
      <c r="L1046" s="1102"/>
      <c r="M1046" s="1593"/>
      <c r="N1046" s="1593"/>
      <c r="O1046" s="1593"/>
      <c r="P1046" s="79"/>
      <c r="Q1046" s="1101"/>
      <c r="R1046" s="79"/>
      <c r="S1046" s="79"/>
      <c r="T1046" s="79"/>
      <c r="U1046" s="79"/>
      <c r="V1046" s="79"/>
      <c r="W1046" s="79"/>
      <c r="X1046" s="79"/>
      <c r="Y1046" s="79"/>
      <c r="Z1046" s="79"/>
      <c r="AA1046" s="79"/>
      <c r="AB1046" s="79"/>
      <c r="AC1046" s="79"/>
      <c r="AD1046" s="79"/>
      <c r="AE1046" s="79"/>
      <c r="AF1046" s="79"/>
    </row>
    <row r="1047" spans="1:32" s="70" customFormat="1" ht="15.75" customHeight="1" x14ac:dyDescent="0.25">
      <c r="A1047" s="1141">
        <v>3</v>
      </c>
      <c r="B1047" s="1986" t="s">
        <v>1690</v>
      </c>
      <c r="C1047" s="1986"/>
      <c r="D1047" s="1986"/>
      <c r="E1047" s="1986"/>
      <c r="F1047" s="1986"/>
      <c r="G1047" s="1617" t="s">
        <v>1567</v>
      </c>
      <c r="H1047" s="1770">
        <v>60</v>
      </c>
      <c r="I1047" s="1771">
        <v>68</v>
      </c>
      <c r="J1047" s="1617">
        <f t="shared" si="32"/>
        <v>4080</v>
      </c>
      <c r="K1047" s="81"/>
      <c r="L1047" s="1102"/>
      <c r="M1047" s="1593"/>
      <c r="N1047" s="1593"/>
      <c r="O1047" s="1593"/>
      <c r="P1047" s="79"/>
      <c r="Q1047" s="1101"/>
      <c r="R1047" s="79"/>
      <c r="S1047" s="79"/>
      <c r="T1047" s="79"/>
      <c r="U1047" s="79"/>
      <c r="V1047" s="79"/>
      <c r="W1047" s="79"/>
      <c r="X1047" s="79"/>
      <c r="Y1047" s="79"/>
      <c r="Z1047" s="79"/>
      <c r="AA1047" s="79"/>
      <c r="AB1047" s="79"/>
      <c r="AC1047" s="79"/>
      <c r="AD1047" s="79"/>
      <c r="AE1047" s="79"/>
      <c r="AF1047" s="79"/>
    </row>
    <row r="1048" spans="1:32" s="70" customFormat="1" ht="15.75" customHeight="1" x14ac:dyDescent="0.25">
      <c r="A1048" s="1141">
        <v>4</v>
      </c>
      <c r="B1048" s="1986" t="s">
        <v>1691</v>
      </c>
      <c r="C1048" s="1986"/>
      <c r="D1048" s="1986"/>
      <c r="E1048" s="1986"/>
      <c r="F1048" s="1986"/>
      <c r="G1048" s="1617" t="s">
        <v>1567</v>
      </c>
      <c r="H1048" s="1770">
        <v>80</v>
      </c>
      <c r="I1048" s="1771">
        <v>550</v>
      </c>
      <c r="J1048" s="1617">
        <f t="shared" si="32"/>
        <v>44000</v>
      </c>
      <c r="K1048" s="81"/>
      <c r="L1048" s="1102"/>
      <c r="M1048" s="1593"/>
      <c r="N1048" s="1593"/>
      <c r="O1048" s="1593"/>
      <c r="P1048" s="79"/>
      <c r="Q1048" s="1101"/>
      <c r="R1048" s="79"/>
      <c r="S1048" s="79"/>
      <c r="T1048" s="79"/>
      <c r="U1048" s="79"/>
      <c r="V1048" s="79"/>
      <c r="W1048" s="79"/>
      <c r="X1048" s="79"/>
      <c r="Y1048" s="79"/>
      <c r="Z1048" s="79"/>
      <c r="AA1048" s="79"/>
      <c r="AB1048" s="79"/>
      <c r="AC1048" s="79"/>
      <c r="AD1048" s="79"/>
      <c r="AE1048" s="79"/>
      <c r="AF1048" s="79"/>
    </row>
    <row r="1049" spans="1:32" s="70" customFormat="1" ht="15.75" x14ac:dyDescent="0.25">
      <c r="A1049" s="1141">
        <v>5</v>
      </c>
      <c r="B1049" s="1986" t="s">
        <v>1579</v>
      </c>
      <c r="C1049" s="1986"/>
      <c r="D1049" s="1986"/>
      <c r="E1049" s="1986"/>
      <c r="F1049" s="1986"/>
      <c r="G1049" s="1617" t="s">
        <v>1567</v>
      </c>
      <c r="H1049" s="1770">
        <v>57</v>
      </c>
      <c r="I1049" s="1771">
        <v>100</v>
      </c>
      <c r="J1049" s="1617">
        <f t="shared" si="32"/>
        <v>5700</v>
      </c>
      <c r="K1049" s="81"/>
      <c r="L1049" s="1102"/>
      <c r="M1049" s="1593"/>
      <c r="N1049" s="1593"/>
      <c r="O1049" s="1593"/>
      <c r="P1049" s="79"/>
      <c r="Q1049" s="1101"/>
      <c r="R1049" s="79"/>
      <c r="S1049" s="79"/>
      <c r="T1049" s="79"/>
      <c r="U1049" s="79"/>
      <c r="V1049" s="79"/>
      <c r="W1049" s="79"/>
      <c r="X1049" s="79"/>
      <c r="Y1049" s="79"/>
      <c r="Z1049" s="79"/>
      <c r="AA1049" s="79"/>
      <c r="AB1049" s="79"/>
      <c r="AC1049" s="79"/>
      <c r="AD1049" s="79"/>
      <c r="AE1049" s="79"/>
      <c r="AF1049" s="79"/>
    </row>
    <row r="1050" spans="1:32" s="70" customFormat="1" ht="15.75" customHeight="1" x14ac:dyDescent="0.25">
      <c r="A1050" s="1141">
        <v>6</v>
      </c>
      <c r="B1050" s="1986" t="s">
        <v>1692</v>
      </c>
      <c r="C1050" s="1986"/>
      <c r="D1050" s="1986"/>
      <c r="E1050" s="1986"/>
      <c r="F1050" s="1986"/>
      <c r="G1050" s="1617" t="s">
        <v>716</v>
      </c>
      <c r="H1050" s="1770">
        <v>60</v>
      </c>
      <c r="I1050" s="1771">
        <v>170</v>
      </c>
      <c r="J1050" s="1617">
        <f t="shared" si="32"/>
        <v>10200</v>
      </c>
      <c r="K1050" s="81"/>
      <c r="L1050" s="1102"/>
      <c r="M1050" s="1593"/>
      <c r="N1050" s="1593"/>
      <c r="O1050" s="1593"/>
      <c r="P1050" s="79"/>
      <c r="Q1050" s="1101"/>
      <c r="R1050" s="79"/>
      <c r="S1050" s="79"/>
      <c r="T1050" s="79"/>
      <c r="U1050" s="79"/>
      <c r="V1050" s="79"/>
      <c r="W1050" s="79"/>
      <c r="X1050" s="79"/>
      <c r="Y1050" s="79"/>
      <c r="Z1050" s="79"/>
      <c r="AA1050" s="79"/>
      <c r="AB1050" s="79"/>
      <c r="AC1050" s="79"/>
      <c r="AD1050" s="79"/>
      <c r="AE1050" s="79"/>
      <c r="AF1050" s="79"/>
    </row>
    <row r="1051" spans="1:32" s="70" customFormat="1" ht="15.75" customHeight="1" x14ac:dyDescent="0.25">
      <c r="A1051" s="1141">
        <v>7</v>
      </c>
      <c r="B1051" s="1986" t="s">
        <v>1693</v>
      </c>
      <c r="C1051" s="1986"/>
      <c r="D1051" s="1986"/>
      <c r="E1051" s="1986"/>
      <c r="F1051" s="1986"/>
      <c r="G1051" s="1617" t="s">
        <v>304</v>
      </c>
      <c r="H1051" s="1770">
        <v>60</v>
      </c>
      <c r="I1051" s="1771">
        <v>255</v>
      </c>
      <c r="J1051" s="1617">
        <f t="shared" si="32"/>
        <v>15300</v>
      </c>
      <c r="K1051" s="81"/>
      <c r="L1051" s="1102"/>
      <c r="M1051" s="1593"/>
      <c r="N1051" s="1593"/>
      <c r="O1051" s="1593"/>
      <c r="P1051" s="79"/>
      <c r="Q1051" s="1101"/>
      <c r="R1051" s="79"/>
      <c r="S1051" s="79"/>
      <c r="T1051" s="79"/>
      <c r="U1051" s="79"/>
      <c r="V1051" s="79"/>
      <c r="W1051" s="79"/>
      <c r="X1051" s="79"/>
      <c r="Y1051" s="79"/>
      <c r="Z1051" s="79"/>
      <c r="AA1051" s="79"/>
      <c r="AB1051" s="79"/>
      <c r="AC1051" s="79"/>
      <c r="AD1051" s="79"/>
      <c r="AE1051" s="79"/>
      <c r="AF1051" s="79"/>
    </row>
    <row r="1052" spans="1:32" s="70" customFormat="1" ht="15.75" customHeight="1" x14ac:dyDescent="0.25">
      <c r="A1052" s="1141">
        <v>8</v>
      </c>
      <c r="B1052" s="1986" t="s">
        <v>1580</v>
      </c>
      <c r="C1052" s="1986"/>
      <c r="D1052" s="1986"/>
      <c r="E1052" s="1986"/>
      <c r="F1052" s="1986"/>
      <c r="G1052" s="1617" t="s">
        <v>304</v>
      </c>
      <c r="H1052" s="1770">
        <v>120</v>
      </c>
      <c r="I1052" s="1771">
        <v>135</v>
      </c>
      <c r="J1052" s="1617">
        <f t="shared" si="32"/>
        <v>16200</v>
      </c>
      <c r="K1052" s="81"/>
      <c r="L1052" s="1102"/>
      <c r="M1052" s="1593"/>
      <c r="N1052" s="1593"/>
      <c r="O1052" s="1593"/>
      <c r="P1052" s="79"/>
      <c r="Q1052" s="1101"/>
      <c r="R1052" s="79"/>
      <c r="S1052" s="79"/>
      <c r="T1052" s="79"/>
      <c r="U1052" s="79"/>
      <c r="V1052" s="79"/>
      <c r="W1052" s="79"/>
      <c r="X1052" s="79"/>
      <c r="Y1052" s="79"/>
      <c r="Z1052" s="79"/>
      <c r="AA1052" s="79"/>
      <c r="AB1052" s="79"/>
      <c r="AC1052" s="79"/>
      <c r="AD1052" s="79"/>
      <c r="AE1052" s="79"/>
      <c r="AF1052" s="79"/>
    </row>
    <row r="1053" spans="1:32" s="70" customFormat="1" ht="15.75" customHeight="1" x14ac:dyDescent="0.25">
      <c r="A1053" s="1141">
        <v>9</v>
      </c>
      <c r="B1053" s="1986" t="s">
        <v>1581</v>
      </c>
      <c r="C1053" s="1986"/>
      <c r="D1053" s="1986"/>
      <c r="E1053" s="1986"/>
      <c r="F1053" s="1986"/>
      <c r="G1053" s="1617" t="s">
        <v>304</v>
      </c>
      <c r="H1053" s="1770">
        <v>70</v>
      </c>
      <c r="I1053" s="1771">
        <v>270</v>
      </c>
      <c r="J1053" s="1617">
        <f t="shared" si="32"/>
        <v>18900</v>
      </c>
      <c r="K1053" s="81"/>
      <c r="L1053" s="1102"/>
      <c r="M1053" s="1593"/>
      <c r="N1053" s="1593"/>
      <c r="O1053" s="1593"/>
      <c r="P1053" s="79"/>
      <c r="Q1053" s="1101"/>
      <c r="R1053" s="79"/>
      <c r="S1053" s="79"/>
      <c r="T1053" s="79"/>
      <c r="U1053" s="79"/>
      <c r="V1053" s="79"/>
      <c r="W1053" s="79"/>
      <c r="X1053" s="79"/>
      <c r="Y1053" s="79"/>
      <c r="Z1053" s="79"/>
      <c r="AA1053" s="79"/>
      <c r="AB1053" s="79"/>
      <c r="AC1053" s="79"/>
      <c r="AD1053" s="79"/>
      <c r="AE1053" s="79"/>
      <c r="AF1053" s="79"/>
    </row>
    <row r="1054" spans="1:32" s="70" customFormat="1" ht="15.75" x14ac:dyDescent="0.25">
      <c r="A1054" s="1141">
        <v>10</v>
      </c>
      <c r="B1054" s="1986" t="s">
        <v>1564</v>
      </c>
      <c r="C1054" s="1986"/>
      <c r="D1054" s="1986"/>
      <c r="E1054" s="1986"/>
      <c r="F1054" s="1986"/>
      <c r="G1054" s="1617" t="s">
        <v>716</v>
      </c>
      <c r="H1054" s="1770">
        <v>250</v>
      </c>
      <c r="I1054" s="1771">
        <v>185</v>
      </c>
      <c r="J1054" s="1617">
        <f t="shared" si="32"/>
        <v>46250</v>
      </c>
      <c r="K1054" s="81"/>
      <c r="L1054" s="1102"/>
      <c r="M1054" s="1593"/>
      <c r="N1054" s="1593"/>
      <c r="O1054" s="1593"/>
      <c r="P1054" s="79"/>
      <c r="Q1054" s="1101"/>
      <c r="R1054" s="79"/>
      <c r="S1054" s="79"/>
      <c r="T1054" s="79"/>
      <c r="U1054" s="79"/>
      <c r="V1054" s="79"/>
      <c r="W1054" s="79"/>
      <c r="X1054" s="79"/>
      <c r="Y1054" s="79"/>
      <c r="Z1054" s="79"/>
      <c r="AA1054" s="79"/>
      <c r="AB1054" s="79"/>
      <c r="AC1054" s="79"/>
      <c r="AD1054" s="79"/>
      <c r="AE1054" s="79"/>
      <c r="AF1054" s="79"/>
    </row>
    <row r="1055" spans="1:32" s="70" customFormat="1" ht="15.75" customHeight="1" x14ac:dyDescent="0.25">
      <c r="A1055" s="1141">
        <v>11</v>
      </c>
      <c r="B1055" s="1986" t="s">
        <v>1565</v>
      </c>
      <c r="C1055" s="1986"/>
      <c r="D1055" s="1986"/>
      <c r="E1055" s="1986"/>
      <c r="F1055" s="1986"/>
      <c r="G1055" s="1617" t="s">
        <v>716</v>
      </c>
      <c r="H1055" s="1770">
        <v>200</v>
      </c>
      <c r="I1055" s="1771">
        <v>220</v>
      </c>
      <c r="J1055" s="1617">
        <f t="shared" si="32"/>
        <v>44000</v>
      </c>
      <c r="K1055" s="81"/>
      <c r="L1055" s="1102"/>
      <c r="M1055" s="1593"/>
      <c r="N1055" s="1593"/>
      <c r="O1055" s="1593"/>
      <c r="P1055" s="79"/>
      <c r="Q1055" s="1101"/>
      <c r="R1055" s="79"/>
      <c r="S1055" s="79"/>
      <c r="T1055" s="79"/>
      <c r="U1055" s="79"/>
      <c r="V1055" s="79"/>
      <c r="W1055" s="79"/>
      <c r="X1055" s="79"/>
      <c r="Y1055" s="79"/>
      <c r="Z1055" s="79"/>
      <c r="AA1055" s="79"/>
      <c r="AB1055" s="79"/>
      <c r="AC1055" s="79"/>
      <c r="AD1055" s="79"/>
      <c r="AE1055" s="79"/>
      <c r="AF1055" s="79"/>
    </row>
    <row r="1056" spans="1:32" s="70" customFormat="1" ht="15.75" customHeight="1" x14ac:dyDescent="0.25">
      <c r="A1056" s="1141">
        <v>12</v>
      </c>
      <c r="B1056" s="1986" t="s">
        <v>1566</v>
      </c>
      <c r="C1056" s="1986"/>
      <c r="D1056" s="1986"/>
      <c r="E1056" s="1986"/>
      <c r="F1056" s="1986"/>
      <c r="G1056" s="1617" t="s">
        <v>1567</v>
      </c>
      <c r="H1056" s="1770">
        <v>120</v>
      </c>
      <c r="I1056" s="1771">
        <v>120</v>
      </c>
      <c r="J1056" s="1617">
        <f t="shared" si="32"/>
        <v>14400</v>
      </c>
      <c r="K1056" s="81"/>
      <c r="L1056" s="1102"/>
      <c r="M1056" s="1593"/>
      <c r="N1056" s="1593"/>
      <c r="O1056" s="1593"/>
      <c r="P1056" s="79"/>
      <c r="Q1056" s="1101"/>
      <c r="R1056" s="79"/>
      <c r="S1056" s="79"/>
      <c r="T1056" s="79"/>
      <c r="U1056" s="79"/>
      <c r="V1056" s="79"/>
      <c r="W1056" s="79"/>
      <c r="X1056" s="79"/>
      <c r="Y1056" s="79"/>
      <c r="Z1056" s="79"/>
      <c r="AA1056" s="79"/>
      <c r="AB1056" s="79"/>
      <c r="AC1056" s="79"/>
      <c r="AD1056" s="79"/>
      <c r="AE1056" s="79"/>
      <c r="AF1056" s="79"/>
    </row>
    <row r="1057" spans="1:32" s="70" customFormat="1" ht="15.75" customHeight="1" x14ac:dyDescent="0.25">
      <c r="A1057" s="1141">
        <v>13</v>
      </c>
      <c r="B1057" s="1986" t="s">
        <v>1568</v>
      </c>
      <c r="C1057" s="1986"/>
      <c r="D1057" s="1986"/>
      <c r="E1057" s="1986"/>
      <c r="F1057" s="1986"/>
      <c r="G1057" s="1617" t="s">
        <v>304</v>
      </c>
      <c r="H1057" s="1770">
        <v>250</v>
      </c>
      <c r="I1057" s="1771">
        <v>445</v>
      </c>
      <c r="J1057" s="1617">
        <f t="shared" si="32"/>
        <v>111250</v>
      </c>
      <c r="K1057" s="81"/>
      <c r="L1057" s="1102"/>
      <c r="M1057" s="1593"/>
      <c r="N1057" s="1593"/>
      <c r="O1057" s="1593"/>
      <c r="P1057" s="79"/>
      <c r="Q1057" s="1101"/>
      <c r="R1057" s="79"/>
      <c r="S1057" s="79"/>
      <c r="T1057" s="79"/>
      <c r="U1057" s="79"/>
      <c r="V1057" s="79"/>
      <c r="W1057" s="79"/>
      <c r="X1057" s="79"/>
      <c r="Y1057" s="79"/>
      <c r="Z1057" s="79"/>
      <c r="AA1057" s="79"/>
      <c r="AB1057" s="79"/>
      <c r="AC1057" s="79"/>
      <c r="AD1057" s="79"/>
      <c r="AE1057" s="79"/>
      <c r="AF1057" s="79"/>
    </row>
    <row r="1058" spans="1:32" s="70" customFormat="1" ht="15.75" customHeight="1" x14ac:dyDescent="0.25">
      <c r="A1058" s="1141">
        <v>14</v>
      </c>
      <c r="B1058" s="1986" t="s">
        <v>1569</v>
      </c>
      <c r="C1058" s="1986"/>
      <c r="D1058" s="1986"/>
      <c r="E1058" s="1986"/>
      <c r="F1058" s="1986"/>
      <c r="G1058" s="1617" t="s">
        <v>304</v>
      </c>
      <c r="H1058" s="1770">
        <v>100</v>
      </c>
      <c r="I1058" s="1771">
        <v>410</v>
      </c>
      <c r="J1058" s="1617">
        <f t="shared" si="32"/>
        <v>41000</v>
      </c>
      <c r="K1058" s="81"/>
      <c r="L1058" s="1102"/>
      <c r="M1058" s="1593"/>
      <c r="N1058" s="1593"/>
      <c r="O1058" s="1593"/>
      <c r="P1058" s="79"/>
      <c r="Q1058" s="1101"/>
      <c r="R1058" s="79"/>
      <c r="S1058" s="79"/>
      <c r="T1058" s="79"/>
      <c r="U1058" s="79"/>
      <c r="V1058" s="79"/>
      <c r="W1058" s="79"/>
      <c r="X1058" s="79"/>
      <c r="Y1058" s="79"/>
      <c r="Z1058" s="79"/>
      <c r="AA1058" s="79"/>
      <c r="AB1058" s="79"/>
      <c r="AC1058" s="79"/>
      <c r="AD1058" s="79"/>
      <c r="AE1058" s="79"/>
      <c r="AF1058" s="79"/>
    </row>
    <row r="1059" spans="1:32" s="70" customFormat="1" ht="15.75" x14ac:dyDescent="0.25">
      <c r="A1059" s="1141">
        <v>15</v>
      </c>
      <c r="B1059" s="1986" t="s">
        <v>1694</v>
      </c>
      <c r="C1059" s="1986"/>
      <c r="D1059" s="1986"/>
      <c r="E1059" s="1986"/>
      <c r="F1059" s="1986"/>
      <c r="G1059" s="1617" t="s">
        <v>716</v>
      </c>
      <c r="H1059" s="1770">
        <v>70</v>
      </c>
      <c r="I1059" s="1771">
        <v>295</v>
      </c>
      <c r="J1059" s="1617">
        <f t="shared" si="32"/>
        <v>20650</v>
      </c>
      <c r="K1059" s="81"/>
      <c r="L1059" s="1102"/>
      <c r="M1059" s="1593"/>
      <c r="N1059" s="1593"/>
      <c r="O1059" s="1593"/>
      <c r="P1059" s="79"/>
      <c r="Q1059" s="1101"/>
      <c r="R1059" s="79"/>
      <c r="S1059" s="79"/>
      <c r="T1059" s="79"/>
      <c r="U1059" s="79"/>
      <c r="V1059" s="79"/>
      <c r="W1059" s="79"/>
      <c r="X1059" s="79"/>
      <c r="Y1059" s="79"/>
      <c r="Z1059" s="79"/>
      <c r="AA1059" s="79"/>
      <c r="AB1059" s="79"/>
      <c r="AC1059" s="79"/>
      <c r="AD1059" s="79"/>
      <c r="AE1059" s="79"/>
      <c r="AF1059" s="79"/>
    </row>
    <row r="1060" spans="1:32" s="70" customFormat="1" ht="15" customHeight="1" x14ac:dyDescent="0.25">
      <c r="A1060" s="1926" t="s">
        <v>8</v>
      </c>
      <c r="B1060" s="1926" t="s">
        <v>35</v>
      </c>
      <c r="C1060" s="1926"/>
      <c r="D1060" s="1926"/>
      <c r="E1060" s="1926"/>
      <c r="F1060" s="1926"/>
      <c r="G1060" s="1926" t="s">
        <v>61</v>
      </c>
      <c r="H1060" s="1990" t="s">
        <v>1827</v>
      </c>
      <c r="I1060" s="1991"/>
      <c r="J1060" s="1992"/>
      <c r="K1060" s="81"/>
      <c r="L1060" s="1593"/>
      <c r="M1060" s="1593"/>
      <c r="N1060" s="1593"/>
      <c r="O1060" s="1593"/>
      <c r="P1060" s="79"/>
      <c r="Q1060" s="1101"/>
      <c r="R1060" s="79"/>
      <c r="S1060" s="79"/>
      <c r="T1060" s="79"/>
      <c r="U1060" s="79"/>
      <c r="V1060" s="79"/>
      <c r="W1060" s="79"/>
      <c r="X1060" s="79"/>
      <c r="Y1060" s="79"/>
      <c r="Z1060" s="79"/>
      <c r="AA1060" s="79"/>
      <c r="AB1060" s="79"/>
      <c r="AC1060" s="79"/>
      <c r="AD1060" s="79"/>
      <c r="AE1060" s="79"/>
      <c r="AF1060" s="79"/>
    </row>
    <row r="1061" spans="1:32" s="70" customFormat="1" ht="30" x14ac:dyDescent="0.25">
      <c r="A1061" s="1926"/>
      <c r="B1061" s="1926"/>
      <c r="C1061" s="1926"/>
      <c r="D1061" s="1926"/>
      <c r="E1061" s="1926"/>
      <c r="F1061" s="1926"/>
      <c r="G1061" s="1926"/>
      <c r="H1061" s="1598" t="s">
        <v>248</v>
      </c>
      <c r="I1061" s="1617" t="s">
        <v>264</v>
      </c>
      <c r="J1061" s="1617" t="s">
        <v>256</v>
      </c>
      <c r="K1061" s="81"/>
      <c r="L1061" s="1593"/>
      <c r="M1061" s="1593"/>
      <c r="N1061" s="1593"/>
      <c r="O1061" s="1593"/>
      <c r="P1061" s="79"/>
      <c r="Q1061" s="1101"/>
      <c r="R1061" s="79"/>
      <c r="S1061" s="79"/>
      <c r="T1061" s="79"/>
      <c r="U1061" s="79"/>
      <c r="V1061" s="79"/>
      <c r="W1061" s="79"/>
      <c r="X1061" s="79"/>
      <c r="Y1061" s="79"/>
      <c r="Z1061" s="79"/>
      <c r="AA1061" s="79"/>
      <c r="AB1061" s="79"/>
      <c r="AC1061" s="79"/>
      <c r="AD1061" s="79"/>
      <c r="AE1061" s="79"/>
      <c r="AF1061" s="79"/>
    </row>
    <row r="1062" spans="1:32" s="70" customFormat="1" ht="15.75" customHeight="1" x14ac:dyDescent="0.25">
      <c r="A1062" s="1141">
        <v>16</v>
      </c>
      <c r="B1062" s="1986" t="s">
        <v>1571</v>
      </c>
      <c r="C1062" s="1986"/>
      <c r="D1062" s="1986"/>
      <c r="E1062" s="1986"/>
      <c r="F1062" s="1986"/>
      <c r="G1062" s="1617" t="s">
        <v>1567</v>
      </c>
      <c r="H1062" s="1770">
        <v>150</v>
      </c>
      <c r="I1062" s="1771">
        <v>359</v>
      </c>
      <c r="J1062" s="1617">
        <f t="shared" si="32"/>
        <v>53850</v>
      </c>
      <c r="K1062" s="81"/>
      <c r="L1062" s="1102"/>
      <c r="M1062" s="1593"/>
      <c r="N1062" s="1593"/>
      <c r="O1062" s="1593"/>
      <c r="P1062" s="79"/>
      <c r="Q1062" s="1101"/>
      <c r="R1062" s="79"/>
      <c r="S1062" s="79"/>
      <c r="T1062" s="79"/>
      <c r="U1062" s="79"/>
      <c r="V1062" s="79"/>
      <c r="W1062" s="79"/>
      <c r="X1062" s="79"/>
      <c r="Y1062" s="79"/>
      <c r="Z1062" s="79"/>
      <c r="AA1062" s="79"/>
      <c r="AB1062" s="79"/>
      <c r="AC1062" s="79"/>
      <c r="AD1062" s="79"/>
      <c r="AE1062" s="79"/>
      <c r="AF1062" s="79"/>
    </row>
    <row r="1063" spans="1:32" s="70" customFormat="1" ht="15.75" customHeight="1" x14ac:dyDescent="0.25">
      <c r="A1063" s="1141">
        <v>17</v>
      </c>
      <c r="B1063" s="1986" t="s">
        <v>1695</v>
      </c>
      <c r="C1063" s="1986"/>
      <c r="D1063" s="1986"/>
      <c r="E1063" s="1986"/>
      <c r="F1063" s="1986"/>
      <c r="G1063" s="1617" t="s">
        <v>304</v>
      </c>
      <c r="H1063" s="1770">
        <v>75</v>
      </c>
      <c r="I1063" s="1771">
        <v>295</v>
      </c>
      <c r="J1063" s="1617">
        <f t="shared" si="32"/>
        <v>22125</v>
      </c>
      <c r="K1063" s="81"/>
      <c r="L1063" s="1102"/>
      <c r="M1063" s="1593"/>
      <c r="N1063" s="1593"/>
      <c r="O1063" s="1593"/>
      <c r="P1063" s="79"/>
      <c r="Q1063" s="1101"/>
      <c r="R1063" s="79"/>
      <c r="S1063" s="79"/>
      <c r="T1063" s="79"/>
      <c r="U1063" s="79"/>
      <c r="V1063" s="79"/>
      <c r="W1063" s="79"/>
      <c r="X1063" s="79"/>
      <c r="Y1063" s="79"/>
      <c r="Z1063" s="79"/>
      <c r="AA1063" s="79"/>
      <c r="AB1063" s="79"/>
      <c r="AC1063" s="79"/>
      <c r="AD1063" s="79"/>
      <c r="AE1063" s="79"/>
      <c r="AF1063" s="79"/>
    </row>
    <row r="1064" spans="1:32" s="70" customFormat="1" ht="15.75" x14ac:dyDescent="0.25">
      <c r="A1064" s="1141">
        <v>18</v>
      </c>
      <c r="B1064" s="1986" t="s">
        <v>1573</v>
      </c>
      <c r="C1064" s="1986"/>
      <c r="D1064" s="1986"/>
      <c r="E1064" s="1986"/>
      <c r="F1064" s="1986"/>
      <c r="G1064" s="1617" t="s">
        <v>716</v>
      </c>
      <c r="H1064" s="1770">
        <f>40+3</f>
        <v>43</v>
      </c>
      <c r="I1064" s="1771">
        <v>659</v>
      </c>
      <c r="J1064" s="1617">
        <f t="shared" si="32"/>
        <v>28337</v>
      </c>
      <c r="K1064" s="81"/>
      <c r="L1064" s="1102"/>
      <c r="M1064" s="1593"/>
      <c r="N1064" s="1593"/>
      <c r="O1064" s="1593"/>
      <c r="P1064" s="79"/>
      <c r="Q1064" s="1101"/>
      <c r="R1064" s="79"/>
      <c r="S1064" s="79"/>
      <c r="T1064" s="79"/>
      <c r="U1064" s="79"/>
      <c r="V1064" s="79"/>
      <c r="W1064" s="79"/>
      <c r="X1064" s="79"/>
      <c r="Y1064" s="79"/>
      <c r="Z1064" s="79"/>
      <c r="AA1064" s="79"/>
      <c r="AB1064" s="79"/>
      <c r="AC1064" s="79"/>
      <c r="AD1064" s="79"/>
      <c r="AE1064" s="79"/>
      <c r="AF1064" s="79"/>
    </row>
    <row r="1065" spans="1:32" s="70" customFormat="1" ht="15.75" x14ac:dyDescent="0.25">
      <c r="A1065" s="1141">
        <v>19</v>
      </c>
      <c r="B1065" s="1986" t="s">
        <v>719</v>
      </c>
      <c r="C1065" s="1986"/>
      <c r="D1065" s="1986"/>
      <c r="E1065" s="1986"/>
      <c r="F1065" s="1986"/>
      <c r="G1065" s="1617" t="s">
        <v>304</v>
      </c>
      <c r="H1065" s="1770">
        <v>1</v>
      </c>
      <c r="I1065" s="1771">
        <f>563+150.55</f>
        <v>713.55</v>
      </c>
      <c r="J1065" s="1617">
        <f t="shared" ref="J1065" si="33">H1065*I1065</f>
        <v>713.55</v>
      </c>
      <c r="K1065" s="81"/>
      <c r="L1065" s="1102"/>
      <c r="M1065" s="1593"/>
      <c r="N1065" s="1593"/>
      <c r="O1065" s="1593"/>
      <c r="P1065" s="79"/>
      <c r="Q1065" s="1101"/>
      <c r="R1065" s="79"/>
      <c r="S1065" s="79"/>
      <c r="T1065" s="79"/>
      <c r="U1065" s="79"/>
      <c r="V1065" s="79"/>
      <c r="W1065" s="79"/>
      <c r="X1065" s="79"/>
      <c r="Y1065" s="79"/>
      <c r="Z1065" s="79"/>
      <c r="AA1065" s="79"/>
      <c r="AB1065" s="79"/>
      <c r="AC1065" s="79"/>
      <c r="AD1065" s="79"/>
      <c r="AE1065" s="79"/>
      <c r="AF1065" s="79"/>
    </row>
    <row r="1066" spans="1:32" s="70" customFormat="1" ht="15" customHeight="1" x14ac:dyDescent="0.25">
      <c r="A1066" s="2036" t="s">
        <v>39</v>
      </c>
      <c r="B1066" s="2037"/>
      <c r="C1066" s="2037"/>
      <c r="D1066" s="2037"/>
      <c r="E1066" s="2037"/>
      <c r="F1066" s="2037"/>
      <c r="G1066" s="2037"/>
      <c r="H1066" s="2026"/>
      <c r="I1066" s="2027"/>
      <c r="J1066" s="1192">
        <f>SUM(J1045:J1065)</f>
        <v>600705.55000000005</v>
      </c>
      <c r="K1066" s="344"/>
      <c r="L1066" s="1593"/>
      <c r="M1066" s="1593"/>
      <c r="N1066" s="1593"/>
      <c r="O1066" s="1593"/>
      <c r="P1066" s="79"/>
      <c r="Q1066" s="1101"/>
      <c r="R1066" s="79"/>
      <c r="S1066" s="79"/>
      <c r="T1066" s="79"/>
      <c r="U1066" s="79"/>
      <c r="V1066" s="79"/>
      <c r="W1066" s="79"/>
      <c r="X1066" s="79"/>
      <c r="Y1066" s="79"/>
      <c r="Z1066" s="79"/>
      <c r="AA1066" s="79"/>
      <c r="AB1066" s="79"/>
      <c r="AC1066" s="79"/>
      <c r="AD1066" s="79"/>
      <c r="AE1066" s="79"/>
      <c r="AF1066" s="79"/>
    </row>
    <row r="1067" spans="1:32" s="70" customFormat="1" x14ac:dyDescent="0.25">
      <c r="A1067" s="1210"/>
      <c r="B1067" s="1210"/>
      <c r="C1067" s="1210"/>
      <c r="D1067" s="1210"/>
      <c r="E1067" s="1210"/>
      <c r="F1067" s="1210"/>
      <c r="G1067" s="1210"/>
      <c r="H1067" s="1772"/>
      <c r="I1067" s="1772"/>
      <c r="J1067" s="64"/>
      <c r="K1067" s="344"/>
      <c r="L1067" s="1593"/>
      <c r="M1067" s="1593"/>
      <c r="N1067" s="1593"/>
      <c r="O1067" s="1593"/>
      <c r="P1067" s="79"/>
      <c r="Q1067" s="1101"/>
      <c r="R1067" s="79"/>
      <c r="S1067" s="79"/>
      <c r="T1067" s="79"/>
      <c r="U1067" s="79"/>
      <c r="V1067" s="79"/>
      <c r="W1067" s="79"/>
      <c r="X1067" s="79"/>
      <c r="Y1067" s="79"/>
      <c r="Z1067" s="79"/>
      <c r="AA1067" s="79"/>
      <c r="AB1067" s="79"/>
      <c r="AC1067" s="79"/>
      <c r="AD1067" s="79"/>
      <c r="AE1067" s="79"/>
      <c r="AF1067" s="79"/>
    </row>
    <row r="1068" spans="1:32" s="70" customFormat="1" x14ac:dyDescent="0.25">
      <c r="A1068" s="2038" t="s">
        <v>1698</v>
      </c>
      <c r="B1068" s="2038"/>
      <c r="C1068" s="2038"/>
      <c r="D1068" s="2038"/>
      <c r="E1068" s="2038"/>
      <c r="F1068" s="2038"/>
      <c r="G1068" s="2038"/>
      <c r="H1068" s="2038"/>
      <c r="I1068" s="2038"/>
      <c r="J1068" s="2038"/>
      <c r="K1068" s="81"/>
      <c r="L1068" s="1593"/>
      <c r="M1068" s="1593"/>
      <c r="N1068" s="1593"/>
      <c r="O1068" s="1593"/>
      <c r="P1068" s="79"/>
      <c r="Q1068" s="1101"/>
      <c r="R1068" s="79"/>
      <c r="S1068" s="79"/>
      <c r="T1068" s="79"/>
      <c r="U1068" s="79"/>
      <c r="V1068" s="79"/>
      <c r="W1068" s="79"/>
      <c r="X1068" s="79"/>
      <c r="Y1068" s="79"/>
      <c r="Z1068" s="79"/>
      <c r="AA1068" s="79"/>
      <c r="AB1068" s="79"/>
      <c r="AC1068" s="79"/>
      <c r="AD1068" s="79"/>
      <c r="AE1068" s="79"/>
      <c r="AF1068" s="79"/>
    </row>
    <row r="1069" spans="1:32" s="70" customFormat="1" ht="15" customHeight="1" x14ac:dyDescent="0.25">
      <c r="A1069" s="1926" t="s">
        <v>8</v>
      </c>
      <c r="B1069" s="1926" t="s">
        <v>35</v>
      </c>
      <c r="C1069" s="1926"/>
      <c r="D1069" s="1926"/>
      <c r="E1069" s="1926"/>
      <c r="F1069" s="1926"/>
      <c r="G1069" s="1926" t="s">
        <v>61</v>
      </c>
      <c r="H1069" s="1990" t="s">
        <v>1827</v>
      </c>
      <c r="I1069" s="1991"/>
      <c r="J1069" s="1992"/>
      <c r="K1069" s="81"/>
      <c r="L1069" s="1593"/>
      <c r="M1069" s="1593"/>
      <c r="N1069" s="1593"/>
      <c r="O1069" s="1593"/>
      <c r="P1069" s="79"/>
      <c r="Q1069" s="1101"/>
      <c r="R1069" s="79"/>
      <c r="S1069" s="79"/>
      <c r="T1069" s="79"/>
      <c r="U1069" s="79"/>
      <c r="V1069" s="79"/>
      <c r="W1069" s="79"/>
      <c r="X1069" s="79"/>
      <c r="Y1069" s="79"/>
      <c r="Z1069" s="79"/>
      <c r="AA1069" s="79"/>
      <c r="AB1069" s="79"/>
      <c r="AC1069" s="79"/>
      <c r="AD1069" s="79"/>
      <c r="AE1069" s="79"/>
      <c r="AF1069" s="79"/>
    </row>
    <row r="1070" spans="1:32" s="70" customFormat="1" ht="30" x14ac:dyDescent="0.25">
      <c r="A1070" s="1926"/>
      <c r="B1070" s="1926"/>
      <c r="C1070" s="1926"/>
      <c r="D1070" s="1926"/>
      <c r="E1070" s="1926"/>
      <c r="F1070" s="1926"/>
      <c r="G1070" s="1926"/>
      <c r="H1070" s="1598" t="s">
        <v>248</v>
      </c>
      <c r="I1070" s="1617" t="s">
        <v>264</v>
      </c>
      <c r="J1070" s="1617" t="s">
        <v>256</v>
      </c>
      <c r="K1070" s="81"/>
      <c r="L1070" s="1593"/>
      <c r="M1070" s="1593"/>
      <c r="N1070" s="1593"/>
      <c r="O1070" s="1593"/>
      <c r="P1070" s="79"/>
      <c r="Q1070" s="1101"/>
      <c r="R1070" s="79"/>
      <c r="S1070" s="79"/>
      <c r="T1070" s="79"/>
      <c r="U1070" s="79"/>
      <c r="V1070" s="79"/>
      <c r="W1070" s="79"/>
      <c r="X1070" s="79"/>
      <c r="Y1070" s="79"/>
      <c r="Z1070" s="79"/>
      <c r="AA1070" s="79"/>
      <c r="AB1070" s="79"/>
      <c r="AC1070" s="79"/>
      <c r="AD1070" s="79"/>
      <c r="AE1070" s="79"/>
      <c r="AF1070" s="79"/>
    </row>
    <row r="1071" spans="1:32" ht="15" customHeight="1" x14ac:dyDescent="0.25">
      <c r="A1071" s="1995" t="s">
        <v>1699</v>
      </c>
      <c r="B1071" s="1996"/>
      <c r="C1071" s="1996"/>
      <c r="D1071" s="1996"/>
      <c r="E1071" s="1996"/>
      <c r="F1071" s="1996"/>
      <c r="G1071" s="1996"/>
      <c r="H1071" s="1996"/>
      <c r="I1071" s="1997"/>
      <c r="J1071" s="1738">
        <f>SUM(J1072:J1073)</f>
        <v>450000</v>
      </c>
      <c r="M1071" s="61"/>
      <c r="P1071" s="61"/>
      <c r="Q1071" s="1733"/>
      <c r="R1071" s="1734"/>
      <c r="S1071" s="1735"/>
      <c r="T1071" s="1736"/>
      <c r="U1071" s="61"/>
      <c r="V1071" s="61"/>
      <c r="W1071" s="61"/>
      <c r="X1071" s="61"/>
      <c r="Y1071" s="61"/>
      <c r="Z1071" s="61"/>
      <c r="AA1071" s="61"/>
      <c r="AB1071" s="61"/>
    </row>
    <row r="1072" spans="1:32" s="70" customFormat="1" ht="15.75" customHeight="1" x14ac:dyDescent="0.25">
      <c r="A1072" s="1141">
        <v>1</v>
      </c>
      <c r="B1072" s="1986" t="s">
        <v>1700</v>
      </c>
      <c r="C1072" s="1986"/>
      <c r="D1072" s="1986"/>
      <c r="E1072" s="1986"/>
      <c r="F1072" s="1986"/>
      <c r="G1072" s="1617" t="s">
        <v>716</v>
      </c>
      <c r="H1072" s="1770">
        <v>100</v>
      </c>
      <c r="I1072" s="1771">
        <v>3000</v>
      </c>
      <c r="J1072" s="1617">
        <f>H1072*I1072</f>
        <v>300000</v>
      </c>
      <c r="K1072" s="81"/>
      <c r="L1072" s="1102"/>
      <c r="M1072" s="1593"/>
      <c r="N1072" s="1593"/>
      <c r="O1072" s="1593"/>
      <c r="P1072" s="79"/>
      <c r="Q1072" s="1101"/>
      <c r="R1072" s="79"/>
      <c r="S1072" s="79"/>
      <c r="T1072" s="79"/>
      <c r="U1072" s="79"/>
      <c r="V1072" s="79"/>
      <c r="W1072" s="79"/>
      <c r="X1072" s="79"/>
      <c r="Y1072" s="79"/>
      <c r="Z1072" s="79"/>
      <c r="AA1072" s="79"/>
      <c r="AB1072" s="79"/>
      <c r="AC1072" s="79"/>
      <c r="AD1072" s="79"/>
      <c r="AE1072" s="79"/>
      <c r="AF1072" s="79"/>
    </row>
    <row r="1073" spans="1:33" s="70" customFormat="1" ht="15.75" customHeight="1" x14ac:dyDescent="0.25">
      <c r="A1073" s="1141">
        <v>2</v>
      </c>
      <c r="B1073" s="1986" t="s">
        <v>1701</v>
      </c>
      <c r="C1073" s="1986"/>
      <c r="D1073" s="1986"/>
      <c r="E1073" s="1986"/>
      <c r="F1073" s="1986"/>
      <c r="G1073" s="1617" t="s">
        <v>716</v>
      </c>
      <c r="H1073" s="1770">
        <v>100</v>
      </c>
      <c r="I1073" s="1771">
        <v>1500</v>
      </c>
      <c r="J1073" s="1617">
        <f>H1073*I1073</f>
        <v>150000</v>
      </c>
      <c r="K1073" s="81"/>
      <c r="L1073" s="1102"/>
      <c r="M1073" s="1593"/>
      <c r="N1073" s="1593"/>
      <c r="O1073" s="1593"/>
      <c r="P1073" s="79"/>
      <c r="Q1073" s="1101"/>
      <c r="R1073" s="79"/>
      <c r="S1073" s="79"/>
      <c r="T1073" s="79"/>
      <c r="U1073" s="79"/>
      <c r="V1073" s="79"/>
      <c r="W1073" s="79"/>
      <c r="X1073" s="79"/>
      <c r="Y1073" s="79"/>
      <c r="Z1073" s="79"/>
      <c r="AA1073" s="79"/>
      <c r="AB1073" s="79"/>
      <c r="AC1073" s="79"/>
      <c r="AD1073" s="79"/>
      <c r="AE1073" s="79"/>
      <c r="AF1073" s="79"/>
    </row>
    <row r="1074" spans="1:33" s="70" customFormat="1" ht="15" customHeight="1" x14ac:dyDescent="0.25">
      <c r="A1074" s="2036" t="s">
        <v>39</v>
      </c>
      <c r="B1074" s="2037"/>
      <c r="C1074" s="2037"/>
      <c r="D1074" s="2037"/>
      <c r="E1074" s="2037"/>
      <c r="F1074" s="2037"/>
      <c r="G1074" s="2037"/>
      <c r="H1074" s="2026"/>
      <c r="I1074" s="2027"/>
      <c r="J1074" s="1192">
        <f>SUM(J1072:J1073)</f>
        <v>450000</v>
      </c>
      <c r="K1074" s="1211"/>
      <c r="L1074" s="1593"/>
      <c r="M1074" s="1593"/>
      <c r="N1074" s="1593"/>
      <c r="O1074" s="1593"/>
      <c r="P1074" s="79"/>
      <c r="Q1074" s="1101"/>
      <c r="R1074" s="79"/>
      <c r="S1074" s="79"/>
      <c r="T1074" s="79"/>
      <c r="U1074" s="79"/>
      <c r="V1074" s="79"/>
      <c r="W1074" s="79"/>
      <c r="X1074" s="79"/>
      <c r="Y1074" s="79"/>
      <c r="Z1074" s="79"/>
      <c r="AA1074" s="79"/>
      <c r="AB1074" s="79"/>
      <c r="AC1074" s="79"/>
      <c r="AD1074" s="79"/>
      <c r="AE1074" s="79"/>
      <c r="AF1074" s="79"/>
    </row>
    <row r="1075" spans="1:33" s="70" customFormat="1" x14ac:dyDescent="0.25">
      <c r="A1075" s="1210"/>
      <c r="B1075" s="1210"/>
      <c r="C1075" s="1210"/>
      <c r="D1075" s="1210"/>
      <c r="E1075" s="1210"/>
      <c r="F1075" s="1210"/>
      <c r="G1075" s="1210"/>
      <c r="H1075" s="1772"/>
      <c r="I1075" s="1772"/>
      <c r="J1075" s="64"/>
      <c r="K1075" s="344"/>
      <c r="L1075" s="1593"/>
      <c r="M1075" s="1593"/>
      <c r="N1075" s="1593"/>
      <c r="O1075" s="1593"/>
      <c r="P1075" s="79"/>
      <c r="Q1075" s="1101"/>
      <c r="R1075" s="79"/>
      <c r="S1075" s="79"/>
      <c r="T1075" s="79"/>
      <c r="U1075" s="79"/>
      <c r="V1075" s="79"/>
      <c r="W1075" s="79"/>
      <c r="X1075" s="79"/>
      <c r="Y1075" s="79"/>
      <c r="Z1075" s="79"/>
      <c r="AA1075" s="79"/>
      <c r="AB1075" s="79"/>
      <c r="AC1075" s="79"/>
      <c r="AD1075" s="79"/>
      <c r="AE1075" s="79"/>
      <c r="AF1075" s="79"/>
    </row>
    <row r="1076" spans="1:33" ht="15.75" customHeight="1" x14ac:dyDescent="0.25">
      <c r="A1076" s="1645" t="s">
        <v>63</v>
      </c>
      <c r="B1076" s="72"/>
      <c r="C1076" s="75"/>
      <c r="D1076" s="75"/>
      <c r="E1076" s="71" t="s">
        <v>98</v>
      </c>
      <c r="J1076" s="85">
        <f>J1077+J1087</f>
        <v>1689480</v>
      </c>
      <c r="K1076" s="61"/>
      <c r="L1076" s="1102"/>
      <c r="M1076" s="61"/>
      <c r="N1076" s="61"/>
      <c r="O1076" s="61"/>
      <c r="P1076" s="79"/>
      <c r="Q1076" s="1101"/>
      <c r="R1076" s="75"/>
      <c r="S1076" s="2017"/>
      <c r="T1076" s="2011"/>
      <c r="U1076" s="2011"/>
      <c r="V1076" s="2011"/>
      <c r="W1076" s="2011"/>
      <c r="X1076" s="2011"/>
      <c r="Y1076" s="2011"/>
      <c r="Z1076" s="1603"/>
      <c r="AA1076" s="1466"/>
      <c r="AB1076" s="1467"/>
      <c r="AC1076" s="97"/>
      <c r="AD1076" s="1489"/>
      <c r="AE1076" s="75"/>
      <c r="AF1076" s="75"/>
      <c r="AG1076" s="75"/>
    </row>
    <row r="1077" spans="1:33" ht="15" customHeight="1" x14ac:dyDescent="0.25">
      <c r="A1077" s="1645" t="s">
        <v>26</v>
      </c>
      <c r="B1077" s="72"/>
      <c r="C1077" s="72"/>
      <c r="D1077" s="61"/>
      <c r="E1077" s="71" t="s">
        <v>624</v>
      </c>
      <c r="J1077" s="85">
        <f>J1078</f>
        <v>1480</v>
      </c>
      <c r="K1077" s="341"/>
      <c r="L1077" s="2"/>
      <c r="M1077" s="81"/>
      <c r="N1077" s="341"/>
      <c r="O1077" s="61"/>
      <c r="P1077" s="61"/>
      <c r="Q1077" s="61"/>
      <c r="R1077" s="61"/>
      <c r="S1077" s="2017"/>
      <c r="T1077" s="2011"/>
      <c r="U1077" s="2011"/>
      <c r="V1077" s="2011"/>
      <c r="W1077" s="2011"/>
      <c r="X1077" s="2011"/>
      <c r="Y1077" s="2011"/>
      <c r="Z1077" s="61"/>
      <c r="AA1077" s="61"/>
      <c r="AB1077" s="61"/>
    </row>
    <row r="1078" spans="1:33" x14ac:dyDescent="0.25">
      <c r="A1078" s="1645" t="s">
        <v>27</v>
      </c>
      <c r="B1078" s="72"/>
      <c r="C1078" s="72"/>
      <c r="D1078" s="61"/>
      <c r="E1078" s="71" t="s">
        <v>2022</v>
      </c>
      <c r="J1078" s="85">
        <f>J1085</f>
        <v>1480</v>
      </c>
      <c r="K1078" s="341"/>
      <c r="L1078" s="829"/>
      <c r="M1078" s="83"/>
      <c r="N1078" s="829"/>
      <c r="P1078" s="61"/>
      <c r="Q1078" s="61"/>
      <c r="R1078" s="61"/>
      <c r="S1078" s="2017"/>
      <c r="T1078" s="2011"/>
      <c r="U1078" s="2011"/>
      <c r="V1078" s="2011"/>
      <c r="W1078" s="2011"/>
      <c r="X1078" s="2011"/>
      <c r="Y1078" s="2011"/>
      <c r="Z1078" s="61"/>
      <c r="AA1078" s="61"/>
      <c r="AB1078" s="61"/>
    </row>
    <row r="1079" spans="1:33" x14ac:dyDescent="0.25">
      <c r="A1079" s="1644" t="s">
        <v>773</v>
      </c>
      <c r="E1079" s="60"/>
      <c r="F1079" s="60"/>
      <c r="G1079" s="60"/>
      <c r="H1079" s="61"/>
      <c r="I1079" s="61"/>
      <c r="J1079" s="61"/>
      <c r="K1079" s="61"/>
      <c r="L1079" s="61"/>
      <c r="M1079" s="61"/>
      <c r="N1079" s="61"/>
      <c r="O1079" s="61"/>
      <c r="P1079" s="61"/>
      <c r="Q1079" s="61"/>
      <c r="R1079" s="61"/>
      <c r="S1079" s="2017"/>
      <c r="T1079" s="2011"/>
      <c r="U1079" s="2011"/>
      <c r="V1079" s="2011"/>
      <c r="W1079" s="2011"/>
      <c r="X1079" s="2011"/>
      <c r="Y1079" s="2011"/>
      <c r="Z1079" s="61"/>
      <c r="AA1079" s="61"/>
      <c r="AB1079" s="61"/>
    </row>
    <row r="1080" spans="1:33" x14ac:dyDescent="0.25">
      <c r="A1080" s="2092" t="s">
        <v>8</v>
      </c>
      <c r="B1080" s="1926" t="s">
        <v>35</v>
      </c>
      <c r="C1080" s="1926"/>
      <c r="D1080" s="2046"/>
      <c r="E1080" s="2046"/>
      <c r="F1080" s="2046"/>
      <c r="G1080" s="2092" t="s">
        <v>61</v>
      </c>
      <c r="H1080" s="1898" t="s">
        <v>1827</v>
      </c>
      <c r="I1080" s="1898"/>
      <c r="J1080" s="1898"/>
      <c r="K1080" s="61"/>
      <c r="L1080" s="61"/>
      <c r="M1080" s="61"/>
      <c r="N1080" s="61"/>
      <c r="O1080" s="61"/>
      <c r="P1080" s="61"/>
      <c r="Q1080" s="61"/>
      <c r="R1080" s="61"/>
      <c r="S1080" s="2017"/>
      <c r="T1080" s="2011"/>
      <c r="U1080" s="2011"/>
      <c r="V1080" s="2011"/>
      <c r="W1080" s="2011"/>
      <c r="X1080" s="2011"/>
      <c r="Y1080" s="2011"/>
      <c r="Z1080" s="61"/>
      <c r="AA1080" s="61"/>
      <c r="AB1080" s="61"/>
    </row>
    <row r="1081" spans="1:33" ht="30" x14ac:dyDescent="0.25">
      <c r="A1081" s="2053"/>
      <c r="B1081" s="1926"/>
      <c r="C1081" s="1926"/>
      <c r="D1081" s="2046"/>
      <c r="E1081" s="2046"/>
      <c r="F1081" s="2046"/>
      <c r="G1081" s="2053"/>
      <c r="H1081" s="1581" t="s">
        <v>248</v>
      </c>
      <c r="I1081" s="1581" t="s">
        <v>264</v>
      </c>
      <c r="J1081" s="1581" t="s">
        <v>256</v>
      </c>
      <c r="K1081" s="61"/>
      <c r="L1081" s="61"/>
      <c r="M1081" s="61"/>
      <c r="N1081" s="61"/>
      <c r="O1081" s="61"/>
      <c r="P1081" s="61"/>
      <c r="Q1081" s="61"/>
      <c r="R1081" s="61"/>
      <c r="S1081" s="2017"/>
      <c r="T1081" s="2011"/>
      <c r="U1081" s="2011"/>
      <c r="V1081" s="2011"/>
      <c r="W1081" s="2011"/>
      <c r="X1081" s="2011"/>
      <c r="Y1081" s="2011"/>
      <c r="Z1081" s="61"/>
      <c r="AA1081" s="61"/>
      <c r="AB1081" s="61"/>
    </row>
    <row r="1082" spans="1:33" x14ac:dyDescent="0.25">
      <c r="A1082" s="2049" t="s">
        <v>2023</v>
      </c>
      <c r="B1082" s="2050"/>
      <c r="C1082" s="2050"/>
      <c r="D1082" s="2050"/>
      <c r="E1082" s="2050"/>
      <c r="F1082" s="2050"/>
      <c r="G1082" s="2050"/>
      <c r="H1082" s="2007"/>
      <c r="I1082" s="2007"/>
      <c r="J1082" s="2007"/>
      <c r="K1082" s="61"/>
      <c r="L1082" s="61"/>
      <c r="M1082" s="61"/>
      <c r="N1082" s="61"/>
      <c r="O1082" s="61"/>
      <c r="P1082" s="61"/>
      <c r="Q1082" s="61"/>
      <c r="R1082" s="61"/>
      <c r="S1082" s="2017"/>
      <c r="T1082" s="2011"/>
      <c r="U1082" s="2011"/>
      <c r="V1082" s="2011"/>
      <c r="W1082" s="2011"/>
      <c r="X1082" s="2011"/>
      <c r="Y1082" s="2011"/>
      <c r="Z1082" s="61"/>
      <c r="AA1082" s="61"/>
      <c r="AB1082" s="61"/>
    </row>
    <row r="1083" spans="1:33" x14ac:dyDescent="0.25">
      <c r="A1083" s="1590">
        <v>1</v>
      </c>
      <c r="B1083" s="2147" t="s">
        <v>2024</v>
      </c>
      <c r="C1083" s="2147"/>
      <c r="D1083" s="2070"/>
      <c r="E1083" s="2070"/>
      <c r="F1083" s="2070"/>
      <c r="G1083" s="1773" t="s">
        <v>245</v>
      </c>
      <c r="H1083" s="1581">
        <v>3</v>
      </c>
      <c r="I1083" s="393">
        <v>60</v>
      </c>
      <c r="J1083" s="1142">
        <f>H1083*I1083</f>
        <v>180</v>
      </c>
      <c r="K1083" s="61"/>
      <c r="L1083" s="61"/>
      <c r="M1083" s="61"/>
      <c r="N1083" s="61"/>
      <c r="O1083" s="61"/>
      <c r="P1083" s="61"/>
      <c r="Q1083" s="61"/>
      <c r="R1083" s="61"/>
      <c r="S1083" s="2017"/>
      <c r="T1083" s="2011"/>
      <c r="U1083" s="2011"/>
      <c r="V1083" s="2011"/>
      <c r="W1083" s="2011"/>
      <c r="X1083" s="2011"/>
      <c r="Y1083" s="2011"/>
      <c r="Z1083" s="61"/>
      <c r="AA1083" s="61"/>
      <c r="AB1083" s="61"/>
    </row>
    <row r="1084" spans="1:33" ht="15" customHeight="1" x14ac:dyDescent="0.25">
      <c r="A1084" s="1625">
        <v>2</v>
      </c>
      <c r="B1084" s="2147" t="s">
        <v>2025</v>
      </c>
      <c r="C1084" s="2147"/>
      <c r="D1084" s="2070"/>
      <c r="E1084" s="2070"/>
      <c r="F1084" s="2070"/>
      <c r="G1084" s="1625" t="s">
        <v>245</v>
      </c>
      <c r="H1084" s="759">
        <v>1</v>
      </c>
      <c r="I1084" s="884">
        <v>1300</v>
      </c>
      <c r="J1084" s="1142">
        <f>H1084*I1084</f>
        <v>1300</v>
      </c>
      <c r="K1084" s="1561"/>
      <c r="L1084" s="1562"/>
      <c r="M1084" s="78"/>
      <c r="N1084" s="61"/>
      <c r="O1084" s="61"/>
      <c r="P1084" s="61"/>
      <c r="Q1084" s="61"/>
      <c r="R1084" s="61"/>
      <c r="S1084" s="2017"/>
      <c r="T1084" s="2011"/>
      <c r="U1084" s="2011"/>
      <c r="V1084" s="2011"/>
      <c r="W1084" s="2011"/>
      <c r="X1084" s="2011"/>
      <c r="Y1084" s="2011"/>
      <c r="Z1084" s="61"/>
      <c r="AA1084" s="61"/>
      <c r="AB1084" s="61"/>
    </row>
    <row r="1085" spans="1:33" x14ac:dyDescent="0.25">
      <c r="A1085" s="2069" t="s">
        <v>39</v>
      </c>
      <c r="B1085" s="2069"/>
      <c r="C1085" s="2069"/>
      <c r="D1085" s="2069"/>
      <c r="E1085" s="2046"/>
      <c r="F1085" s="2046"/>
      <c r="G1085" s="2046"/>
      <c r="H1085" s="101" t="s">
        <v>5</v>
      </c>
      <c r="I1085" s="101" t="s">
        <v>5</v>
      </c>
      <c r="J1085" s="1511">
        <f>SUM(J1083:J1084)</f>
        <v>1480</v>
      </c>
      <c r="K1085" s="61"/>
      <c r="L1085" s="61"/>
      <c r="M1085" s="61"/>
      <c r="N1085" s="61"/>
      <c r="O1085" s="61"/>
      <c r="P1085" s="61"/>
      <c r="Q1085" s="61"/>
      <c r="R1085" s="61"/>
      <c r="S1085" s="2017"/>
      <c r="T1085" s="2011"/>
      <c r="U1085" s="2011"/>
      <c r="V1085" s="2011"/>
      <c r="W1085" s="2011"/>
      <c r="X1085" s="2011"/>
      <c r="Y1085" s="2011"/>
      <c r="Z1085" s="61"/>
      <c r="AA1085" s="61"/>
      <c r="AB1085" s="61"/>
    </row>
    <row r="1086" spans="1:33" ht="15.75" customHeight="1" x14ac:dyDescent="0.25">
      <c r="A1086" s="1645"/>
      <c r="B1086" s="72"/>
      <c r="C1086" s="75"/>
      <c r="D1086" s="75"/>
      <c r="E1086" s="71"/>
      <c r="J1086" s="85"/>
      <c r="K1086" s="61"/>
      <c r="L1086" s="1102"/>
      <c r="M1086" s="61"/>
      <c r="N1086" s="61"/>
      <c r="O1086" s="61"/>
      <c r="P1086" s="79"/>
      <c r="Q1086" s="1101"/>
      <c r="R1086" s="75"/>
      <c r="S1086" s="2017"/>
      <c r="T1086" s="2011"/>
      <c r="U1086" s="2011"/>
      <c r="V1086" s="2011"/>
      <c r="W1086" s="2011"/>
      <c r="X1086" s="2011"/>
      <c r="Y1086" s="2011"/>
      <c r="Z1086" s="1603"/>
      <c r="AA1086" s="1466"/>
      <c r="AB1086" s="1467"/>
      <c r="AC1086" s="97"/>
      <c r="AD1086" s="1489"/>
      <c r="AE1086" s="75"/>
      <c r="AF1086" s="75"/>
      <c r="AG1086" s="75"/>
    </row>
    <row r="1087" spans="1:33" ht="14.25" customHeight="1" x14ac:dyDescent="0.25">
      <c r="A1087" s="1645" t="s">
        <v>26</v>
      </c>
      <c r="B1087" s="72"/>
      <c r="C1087" s="75"/>
      <c r="D1087" s="75"/>
      <c r="E1087" s="86" t="s">
        <v>625</v>
      </c>
      <c r="J1087" s="85">
        <f>J1097</f>
        <v>1688000</v>
      </c>
      <c r="L1087" s="1102"/>
      <c r="M1087" s="99"/>
      <c r="N1087" s="61"/>
      <c r="O1087" s="61"/>
      <c r="P1087" s="79"/>
      <c r="Q1087" s="1101"/>
      <c r="R1087" s="75"/>
      <c r="S1087" s="2017"/>
      <c r="T1087" s="2011"/>
      <c r="U1087" s="2011"/>
      <c r="V1087" s="2011"/>
      <c r="W1087" s="2011"/>
      <c r="X1087" s="2011"/>
      <c r="Y1087" s="2011"/>
      <c r="Z1087" s="1603"/>
      <c r="AA1087" s="1466"/>
      <c r="AB1087" s="1482"/>
      <c r="AC1087" s="97"/>
      <c r="AD1087" s="1489"/>
      <c r="AE1087" s="75"/>
      <c r="AF1087" s="75"/>
      <c r="AG1087" s="75"/>
    </row>
    <row r="1088" spans="1:33" ht="15" customHeight="1" x14ac:dyDescent="0.25">
      <c r="A1088" s="1645" t="s">
        <v>27</v>
      </c>
      <c r="B1088" s="72"/>
      <c r="C1088" s="75"/>
      <c r="D1088" s="75"/>
      <c r="E1088" s="71" t="s">
        <v>1837</v>
      </c>
      <c r="K1088" s="87"/>
      <c r="L1088" s="1102"/>
      <c r="M1088" s="99"/>
      <c r="N1088" s="99"/>
      <c r="O1088" s="61"/>
      <c r="P1088" s="79"/>
      <c r="Q1088" s="1101"/>
      <c r="R1088" s="75"/>
      <c r="S1088" s="2018"/>
      <c r="T1088" s="2011"/>
      <c r="U1088" s="2011"/>
      <c r="V1088" s="2011"/>
      <c r="W1088" s="2011"/>
      <c r="X1088" s="2011"/>
      <c r="Y1088" s="2011"/>
      <c r="Z1088" s="1601"/>
      <c r="AA1088" s="1466"/>
      <c r="AB1088" s="1482"/>
      <c r="AC1088" s="97"/>
      <c r="AD1088" s="1489"/>
      <c r="AE1088" s="75"/>
      <c r="AF1088" s="75"/>
      <c r="AG1088" s="75"/>
    </row>
    <row r="1089" spans="1:33" x14ac:dyDescent="0.25">
      <c r="A1089" s="1644" t="s">
        <v>951</v>
      </c>
      <c r="K1089" s="87"/>
      <c r="L1089" s="1102"/>
      <c r="M1089" s="99"/>
      <c r="N1089" s="99"/>
      <c r="O1089" s="61"/>
      <c r="P1089" s="79"/>
      <c r="Q1089" s="1101"/>
      <c r="R1089" s="75"/>
      <c r="S1089" s="2015"/>
      <c r="T1089" s="2015"/>
      <c r="U1089" s="2015"/>
      <c r="V1089" s="2015"/>
      <c r="W1089" s="2015"/>
      <c r="X1089" s="2015"/>
      <c r="Y1089" s="2015"/>
      <c r="Z1089" s="2015"/>
      <c r="AA1089" s="2015"/>
      <c r="AB1089" s="2015"/>
      <c r="AC1089" s="741"/>
      <c r="AD1089" s="1489"/>
      <c r="AE1089" s="78"/>
      <c r="AF1089" s="75"/>
      <c r="AG1089" s="75"/>
    </row>
    <row r="1090" spans="1:33" x14ac:dyDescent="0.25">
      <c r="A1090" s="2019" t="s">
        <v>8</v>
      </c>
      <c r="B1090" s="1956" t="s">
        <v>35</v>
      </c>
      <c r="C1090" s="2020"/>
      <c r="D1090" s="2020"/>
      <c r="E1090" s="2020"/>
      <c r="F1090" s="2021"/>
      <c r="G1090" s="2024" t="s">
        <v>61</v>
      </c>
      <c r="H1090" s="1990" t="s">
        <v>1827</v>
      </c>
      <c r="I1090" s="2026"/>
      <c r="J1090" s="2027"/>
      <c r="K1090" s="87"/>
      <c r="L1090" s="1102"/>
      <c r="M1090" s="99"/>
      <c r="N1090" s="99"/>
      <c r="O1090" s="61"/>
      <c r="P1090" s="79"/>
      <c r="Q1090" s="1101"/>
      <c r="R1090" s="75"/>
      <c r="S1090" s="1600"/>
      <c r="T1090" s="1600"/>
      <c r="U1090" s="1600"/>
      <c r="V1090" s="1600"/>
      <c r="W1090" s="1600"/>
      <c r="X1090" s="1600"/>
      <c r="Y1090" s="1600"/>
      <c r="Z1090" s="1600"/>
      <c r="AA1090" s="1600"/>
      <c r="AB1090" s="1600"/>
      <c r="AC1090" s="741"/>
      <c r="AD1090" s="1489"/>
      <c r="AE1090" s="78"/>
      <c r="AF1090" s="75"/>
      <c r="AG1090" s="75"/>
    </row>
    <row r="1091" spans="1:33" ht="30" x14ac:dyDescent="0.25">
      <c r="A1091" s="1962"/>
      <c r="B1091" s="2022"/>
      <c r="C1091" s="1897"/>
      <c r="D1091" s="1897"/>
      <c r="E1091" s="1897"/>
      <c r="F1091" s="2023"/>
      <c r="G1091" s="2025"/>
      <c r="H1091" s="1598" t="s">
        <v>248</v>
      </c>
      <c r="I1091" s="1617" t="s">
        <v>264</v>
      </c>
      <c r="J1091" s="1616" t="s">
        <v>256</v>
      </c>
      <c r="K1091" s="97"/>
      <c r="L1091" s="1102"/>
      <c r="M1091" s="97"/>
      <c r="N1091" s="99"/>
      <c r="O1091" s="97"/>
      <c r="P1091" s="79"/>
      <c r="Q1091" s="1101"/>
      <c r="R1091" s="774"/>
      <c r="S1091" s="2028"/>
      <c r="T1091" s="2028"/>
      <c r="U1091" s="2028"/>
      <c r="V1091" s="2028"/>
      <c r="W1091" s="2028"/>
      <c r="X1091" s="2028"/>
      <c r="Y1091" s="2028"/>
      <c r="Z1091" s="2028"/>
      <c r="AA1091" s="2028"/>
      <c r="AB1091" s="2028"/>
      <c r="AC1091" s="97"/>
      <c r="AD1091" s="72"/>
      <c r="AE1091" s="72"/>
      <c r="AF1091" s="75"/>
      <c r="AG1091" s="75"/>
    </row>
    <row r="1092" spans="1:33" x14ac:dyDescent="0.25">
      <c r="A1092" s="1381">
        <v>1</v>
      </c>
      <c r="B1092" s="2012" t="s">
        <v>1959</v>
      </c>
      <c r="C1092" s="2013"/>
      <c r="D1092" s="2013"/>
      <c r="E1092" s="2013"/>
      <c r="F1092" s="2014"/>
      <c r="G1092" s="1617" t="s">
        <v>245</v>
      </c>
      <c r="H1092" s="1487">
        <v>300</v>
      </c>
      <c r="I1092" s="1488">
        <v>1000</v>
      </c>
      <c r="J1092" s="1617">
        <f t="shared" ref="J1092" si="34">H1092*I1092</f>
        <v>300000</v>
      </c>
      <c r="K1092" s="75"/>
      <c r="L1092" s="1102"/>
      <c r="M1092" s="75"/>
      <c r="N1092" s="75"/>
      <c r="O1092" s="75"/>
      <c r="P1092" s="79"/>
      <c r="Q1092" s="1101"/>
      <c r="R1092" s="75"/>
      <c r="S1092" s="2017"/>
      <c r="T1092" s="2017"/>
      <c r="U1092" s="2017"/>
      <c r="V1092" s="2017"/>
      <c r="W1092" s="2017"/>
      <c r="X1092" s="2017"/>
      <c r="Y1092" s="2017"/>
      <c r="Z1092" s="2017"/>
      <c r="AA1092" s="2017"/>
      <c r="AB1092" s="2017"/>
      <c r="AC1092" s="2017"/>
      <c r="AD1092" s="1489"/>
      <c r="AE1092" s="72"/>
      <c r="AF1092" s="75"/>
      <c r="AG1092" s="75"/>
    </row>
    <row r="1093" spans="1:33" ht="13.5" customHeight="1" x14ac:dyDescent="0.25">
      <c r="A1093" s="1141">
        <v>2</v>
      </c>
      <c r="B1093" s="2012" t="s">
        <v>1960</v>
      </c>
      <c r="C1093" s="2013"/>
      <c r="D1093" s="2013"/>
      <c r="E1093" s="2013"/>
      <c r="F1093" s="2014"/>
      <c r="G1093" s="1617" t="s">
        <v>245</v>
      </c>
      <c r="H1093" s="1487">
        <v>100</v>
      </c>
      <c r="I1093" s="1488">
        <v>500</v>
      </c>
      <c r="J1093" s="1617">
        <f>H1093*I1093</f>
        <v>50000</v>
      </c>
      <c r="K1093" s="75"/>
      <c r="L1093" s="1102"/>
      <c r="M1093" s="75"/>
      <c r="N1093" s="75"/>
      <c r="O1093" s="75"/>
      <c r="P1093" s="79"/>
      <c r="Q1093" s="1101"/>
      <c r="R1093" s="75"/>
      <c r="S1093" s="1602"/>
      <c r="T1093" s="2011"/>
      <c r="U1093" s="2011"/>
      <c r="V1093" s="2011"/>
      <c r="W1093" s="2011"/>
      <c r="X1093" s="2011"/>
      <c r="Y1093" s="2011"/>
      <c r="Z1093" s="1603"/>
      <c r="AA1093" s="1467"/>
      <c r="AB1093" s="97"/>
      <c r="AC1093" s="97"/>
      <c r="AD1093" s="1489"/>
      <c r="AE1093" s="75"/>
      <c r="AF1093" s="75"/>
      <c r="AG1093" s="75"/>
    </row>
    <row r="1094" spans="1:33" ht="28.5" customHeight="1" x14ac:dyDescent="0.25">
      <c r="A1094" s="1381">
        <v>3</v>
      </c>
      <c r="B1094" s="2012" t="s">
        <v>1963</v>
      </c>
      <c r="C1094" s="2013"/>
      <c r="D1094" s="2013"/>
      <c r="E1094" s="2013"/>
      <c r="F1094" s="2014"/>
      <c r="G1094" s="1617" t="s">
        <v>245</v>
      </c>
      <c r="H1094" s="1487">
        <v>300</v>
      </c>
      <c r="I1094" s="1488">
        <v>1500</v>
      </c>
      <c r="J1094" s="1617">
        <f t="shared" ref="J1094:J1095" si="35">H1094*I1094</f>
        <v>450000</v>
      </c>
      <c r="K1094" s="75"/>
      <c r="L1094" s="1102"/>
      <c r="M1094" s="75"/>
      <c r="N1094" s="75"/>
      <c r="O1094" s="75"/>
      <c r="P1094" s="79"/>
      <c r="Q1094" s="1101"/>
      <c r="R1094" s="75"/>
      <c r="S1094" s="1602"/>
      <c r="T1094" s="2011"/>
      <c r="U1094" s="2011"/>
      <c r="V1094" s="2011"/>
      <c r="W1094" s="2011"/>
      <c r="X1094" s="2011"/>
      <c r="Y1094" s="2011"/>
      <c r="Z1094" s="1601"/>
      <c r="AA1094" s="1490"/>
      <c r="AB1094" s="1482"/>
      <c r="AC1094" s="97"/>
      <c r="AD1094" s="1489"/>
      <c r="AE1094" s="75"/>
      <c r="AF1094" s="75"/>
      <c r="AG1094" s="75"/>
    </row>
    <row r="1095" spans="1:33" x14ac:dyDescent="0.25">
      <c r="A1095" s="1141">
        <v>4</v>
      </c>
      <c r="B1095" s="2012" t="s">
        <v>1961</v>
      </c>
      <c r="C1095" s="2013"/>
      <c r="D1095" s="2013"/>
      <c r="E1095" s="2013"/>
      <c r="F1095" s="2014"/>
      <c r="G1095" s="1617" t="s">
        <v>245</v>
      </c>
      <c r="H1095" s="1487">
        <v>288</v>
      </c>
      <c r="I1095" s="1488">
        <v>1000</v>
      </c>
      <c r="J1095" s="1617">
        <f t="shared" si="35"/>
        <v>288000</v>
      </c>
      <c r="K1095" s="79"/>
      <c r="L1095" s="1102"/>
      <c r="M1095" s="1101"/>
      <c r="N1095" s="75"/>
      <c r="O1095" s="75"/>
      <c r="P1095" s="79"/>
      <c r="Q1095" s="1101"/>
      <c r="R1095" s="75"/>
      <c r="S1095" s="2015"/>
      <c r="T1095" s="2015"/>
      <c r="U1095" s="2015"/>
      <c r="V1095" s="2015"/>
      <c r="W1095" s="2015"/>
      <c r="X1095" s="2015"/>
      <c r="Y1095" s="2015"/>
      <c r="Z1095" s="2015"/>
      <c r="AA1095" s="2015"/>
      <c r="AB1095" s="2015"/>
      <c r="AC1095" s="741"/>
      <c r="AD1095" s="72"/>
      <c r="AE1095" s="1489"/>
      <c r="AF1095" s="75"/>
      <c r="AG1095" s="75"/>
    </row>
    <row r="1096" spans="1:33" x14ac:dyDescent="0.25">
      <c r="A1096" s="1141">
        <v>5</v>
      </c>
      <c r="B1096" s="2012" t="s">
        <v>1962</v>
      </c>
      <c r="C1096" s="2013"/>
      <c r="D1096" s="2013"/>
      <c r="E1096" s="2013"/>
      <c r="F1096" s="2014"/>
      <c r="G1096" s="1617" t="s">
        <v>245</v>
      </c>
      <c r="H1096" s="1487">
        <v>1000</v>
      </c>
      <c r="I1096" s="1488">
        <v>600</v>
      </c>
      <c r="J1096" s="1617">
        <f t="shared" ref="J1096" si="36">H1096*I1096</f>
        <v>600000</v>
      </c>
      <c r="K1096" s="75"/>
      <c r="L1096" s="1102"/>
      <c r="M1096" s="75"/>
      <c r="N1096" s="75"/>
      <c r="O1096" s="75"/>
      <c r="P1096" s="79"/>
      <c r="Q1096" s="1101"/>
      <c r="R1096" s="75"/>
      <c r="S1096" s="2015"/>
      <c r="T1096" s="2015"/>
      <c r="U1096" s="2015"/>
      <c r="V1096" s="2015"/>
      <c r="W1096" s="2015"/>
      <c r="X1096" s="2015"/>
      <c r="Y1096" s="2015"/>
      <c r="Z1096" s="2015"/>
      <c r="AA1096" s="2015"/>
      <c r="AB1096" s="2015"/>
      <c r="AC1096" s="741"/>
      <c r="AD1096" s="72"/>
      <c r="AE1096" s="1489"/>
      <c r="AF1096" s="75"/>
      <c r="AG1096" s="75"/>
    </row>
    <row r="1097" spans="1:33" x14ac:dyDescent="0.25">
      <c r="A1097" s="1993" t="s">
        <v>39</v>
      </c>
      <c r="B1097" s="1993"/>
      <c r="C1097" s="1993"/>
      <c r="D1097" s="1993"/>
      <c r="E1097" s="1993"/>
      <c r="F1097" s="1993"/>
      <c r="G1097" s="1993"/>
      <c r="H1097" s="1192" t="s">
        <v>5</v>
      </c>
      <c r="I1097" s="1192" t="s">
        <v>5</v>
      </c>
      <c r="J1097" s="1192">
        <f>SUM(J1092:J1096)</f>
        <v>1688000</v>
      </c>
      <c r="K1097" s="351"/>
      <c r="L1097" s="1102"/>
      <c r="M1097" s="1593"/>
      <c r="N1097" s="75"/>
      <c r="O1097" s="75"/>
      <c r="P1097" s="79"/>
      <c r="Q1097" s="1101"/>
      <c r="R1097" s="75"/>
      <c r="S1097" s="2016"/>
      <c r="T1097" s="2016"/>
      <c r="U1097" s="2016"/>
      <c r="V1097" s="2016"/>
      <c r="W1097" s="2016"/>
      <c r="X1097" s="2016"/>
      <c r="Y1097" s="2016"/>
      <c r="Z1097" s="2016"/>
      <c r="AA1097" s="2016"/>
      <c r="AB1097" s="2016"/>
      <c r="AC1097" s="97"/>
      <c r="AD1097" s="351"/>
      <c r="AE1097" s="392"/>
      <c r="AF1097" s="75"/>
      <c r="AG1097" s="75"/>
    </row>
    <row r="1098" spans="1:33" s="70" customFormat="1" x14ac:dyDescent="0.25">
      <c r="A1098" s="1210"/>
      <c r="B1098" s="1210"/>
      <c r="C1098" s="1210"/>
      <c r="D1098" s="1210"/>
      <c r="E1098" s="1210"/>
      <c r="F1098" s="1210"/>
      <c r="G1098" s="1210"/>
      <c r="H1098" s="1772"/>
      <c r="I1098" s="1772"/>
      <c r="J1098" s="64"/>
      <c r="K1098" s="344"/>
      <c r="L1098" s="1593"/>
      <c r="M1098" s="1593"/>
      <c r="N1098" s="1593"/>
      <c r="O1098" s="1593"/>
      <c r="P1098" s="79"/>
      <c r="Q1098" s="1101"/>
      <c r="R1098" s="79"/>
      <c r="S1098" s="79"/>
      <c r="T1098" s="79"/>
      <c r="U1098" s="79"/>
      <c r="V1098" s="79"/>
      <c r="W1098" s="79"/>
      <c r="X1098" s="79"/>
      <c r="Y1098" s="79"/>
      <c r="Z1098" s="79"/>
      <c r="AA1098" s="79"/>
      <c r="AB1098" s="79"/>
      <c r="AC1098" s="79"/>
      <c r="AD1098" s="79"/>
      <c r="AE1098" s="79"/>
      <c r="AF1098" s="79"/>
    </row>
    <row r="1099" spans="1:33" x14ac:dyDescent="0.25">
      <c r="A1099" s="1645" t="s">
        <v>147</v>
      </c>
      <c r="B1099" s="1645"/>
      <c r="C1099" s="1645"/>
      <c r="D1099" s="1645"/>
      <c r="E1099" s="94" t="s">
        <v>1725</v>
      </c>
      <c r="J1099" s="85">
        <f>J1101</f>
        <v>14486871.66</v>
      </c>
      <c r="K1099" s="61"/>
      <c r="L1099" s="714"/>
      <c r="M1099" s="1662"/>
      <c r="N1099" s="61"/>
      <c r="O1099" s="61"/>
      <c r="P1099" s="61"/>
      <c r="Q1099" s="61"/>
      <c r="R1099" s="61"/>
      <c r="S1099" s="61"/>
      <c r="T1099" s="61"/>
      <c r="U1099" s="61"/>
      <c r="V1099" s="61"/>
      <c r="W1099" s="61"/>
      <c r="X1099" s="61"/>
      <c r="Y1099" s="61"/>
      <c r="Z1099" s="61"/>
      <c r="AA1099" s="61"/>
      <c r="AB1099" s="61"/>
    </row>
    <row r="1100" spans="1:33" x14ac:dyDescent="0.25">
      <c r="A1100" s="63"/>
      <c r="B1100" s="63"/>
      <c r="C1100" s="63"/>
      <c r="D1100" s="63"/>
      <c r="E1100" s="63"/>
      <c r="F1100" s="63"/>
      <c r="G1100" s="64"/>
      <c r="H1100" s="64"/>
      <c r="I1100" s="64"/>
      <c r="J1100" s="64"/>
      <c r="K1100" s="61"/>
      <c r="L1100" s="714"/>
      <c r="M1100" s="1662"/>
      <c r="N1100" s="61"/>
      <c r="O1100" s="61"/>
      <c r="P1100" s="61"/>
      <c r="Q1100" s="61"/>
      <c r="R1100" s="61"/>
      <c r="S1100" s="61"/>
      <c r="T1100" s="61"/>
      <c r="U1100" s="61"/>
      <c r="V1100" s="61"/>
      <c r="W1100" s="61"/>
      <c r="X1100" s="61"/>
      <c r="Y1100" s="61"/>
      <c r="Z1100" s="61"/>
      <c r="AA1100" s="61"/>
      <c r="AB1100" s="61"/>
    </row>
    <row r="1101" spans="1:33" x14ac:dyDescent="0.25">
      <c r="A1101" s="1645" t="s">
        <v>63</v>
      </c>
      <c r="B1101" s="72"/>
      <c r="C1101" s="61"/>
      <c r="D1101" s="61"/>
      <c r="E1101" s="71" t="s">
        <v>77</v>
      </c>
      <c r="J1101" s="85">
        <f>J1102</f>
        <v>14486871.66</v>
      </c>
      <c r="L1101" s="714"/>
      <c r="M1101" s="1662"/>
      <c r="O1101" s="61"/>
      <c r="P1101" s="61"/>
      <c r="Q1101" s="61"/>
      <c r="R1101" s="61"/>
      <c r="S1101" s="61"/>
      <c r="T1101" s="61"/>
      <c r="U1101" s="61"/>
      <c r="V1101" s="61"/>
      <c r="W1101" s="61"/>
      <c r="X1101" s="61"/>
      <c r="Y1101" s="61"/>
      <c r="Z1101" s="61"/>
      <c r="AA1101" s="61"/>
      <c r="AB1101" s="61"/>
    </row>
    <row r="1102" spans="1:33" x14ac:dyDescent="0.25">
      <c r="A1102" s="1645" t="s">
        <v>26</v>
      </c>
      <c r="B1102" s="72"/>
      <c r="C1102" s="61"/>
      <c r="D1102" s="61"/>
      <c r="E1102" s="71" t="s">
        <v>624</v>
      </c>
      <c r="J1102" s="85">
        <f>J1110+J1122++J1146+J1156</f>
        <v>14486871.66</v>
      </c>
      <c r="K1102" s="70"/>
      <c r="L1102" s="714"/>
      <c r="M1102" s="1662"/>
      <c r="N1102" s="61"/>
      <c r="O1102" s="61"/>
      <c r="P1102" s="61"/>
      <c r="Q1102" s="61"/>
      <c r="R1102" s="61"/>
      <c r="S1102" s="61"/>
      <c r="T1102" s="61"/>
      <c r="U1102" s="61"/>
      <c r="V1102" s="61"/>
      <c r="W1102" s="61"/>
      <c r="X1102" s="61"/>
      <c r="Y1102" s="61"/>
      <c r="Z1102" s="61"/>
      <c r="AA1102" s="61"/>
      <c r="AB1102" s="61"/>
    </row>
    <row r="1103" spans="1:33" x14ac:dyDescent="0.25">
      <c r="A1103" s="1645" t="s">
        <v>27</v>
      </c>
      <c r="B1103" s="72"/>
      <c r="C1103" s="61"/>
      <c r="D1103" s="61"/>
      <c r="E1103" s="71" t="s">
        <v>1830</v>
      </c>
      <c r="K1103" s="87"/>
      <c r="L1103" s="714"/>
      <c r="M1103" s="1662"/>
      <c r="N1103" s="355"/>
      <c r="O1103" s="354"/>
      <c r="P1103" s="61"/>
      <c r="Q1103" s="61"/>
      <c r="R1103" s="61"/>
      <c r="S1103" s="61"/>
      <c r="T1103" s="61"/>
      <c r="U1103" s="61"/>
      <c r="V1103" s="61"/>
      <c r="W1103" s="61"/>
      <c r="X1103" s="61"/>
      <c r="Y1103" s="61"/>
      <c r="Z1103" s="61"/>
      <c r="AA1103" s="61"/>
      <c r="AB1103" s="61"/>
    </row>
    <row r="1104" spans="1:33" x14ac:dyDescent="0.25">
      <c r="A1104" s="1644" t="s">
        <v>306</v>
      </c>
      <c r="K1104" s="354" t="s">
        <v>1478</v>
      </c>
      <c r="L1104" s="81"/>
      <c r="M1104" s="1662"/>
      <c r="N1104" s="355"/>
      <c r="O1104" s="354"/>
      <c r="P1104" s="61"/>
      <c r="Q1104" s="61"/>
      <c r="R1104" s="61"/>
      <c r="S1104" s="61"/>
      <c r="T1104" s="61"/>
      <c r="U1104" s="61"/>
      <c r="V1104" s="61"/>
      <c r="W1104" s="61"/>
      <c r="X1104" s="61"/>
      <c r="Y1104" s="61"/>
      <c r="Z1104" s="61"/>
      <c r="AA1104" s="61"/>
      <c r="AB1104" s="61"/>
    </row>
    <row r="1105" spans="1:28" ht="15" customHeight="1" x14ac:dyDescent="0.25">
      <c r="A1105" s="1898" t="s">
        <v>8</v>
      </c>
      <c r="B1105" s="1898" t="s">
        <v>35</v>
      </c>
      <c r="C1105" s="1898"/>
      <c r="D1105" s="1898"/>
      <c r="E1105" s="1898"/>
      <c r="F1105" s="1898" t="s">
        <v>272</v>
      </c>
      <c r="G1105" s="1899" t="s">
        <v>1827</v>
      </c>
      <c r="H1105" s="1911"/>
      <c r="I1105" s="1911"/>
      <c r="J1105" s="1912"/>
      <c r="K1105" s="87"/>
      <c r="L1105" s="81"/>
      <c r="M1105" s="1744"/>
      <c r="N1105" s="354"/>
      <c r="O1105" s="354"/>
      <c r="P1105" s="61"/>
      <c r="Q1105" s="61"/>
      <c r="R1105" s="61"/>
      <c r="S1105" s="61"/>
      <c r="T1105" s="61"/>
      <c r="U1105" s="61"/>
      <c r="V1105" s="61"/>
      <c r="W1105" s="61"/>
      <c r="X1105" s="61"/>
      <c r="Y1105" s="61"/>
      <c r="Z1105" s="61"/>
      <c r="AA1105" s="61"/>
      <c r="AB1105" s="61"/>
    </row>
    <row r="1106" spans="1:28" ht="45" x14ac:dyDescent="0.25">
      <c r="A1106" s="1898"/>
      <c r="B1106" s="1898"/>
      <c r="C1106" s="1898"/>
      <c r="D1106" s="1898"/>
      <c r="E1106" s="1898"/>
      <c r="F1106" s="1898"/>
      <c r="G1106" s="1581" t="s">
        <v>515</v>
      </c>
      <c r="H1106" s="1581" t="s">
        <v>55</v>
      </c>
      <c r="I1106" s="1588" t="s">
        <v>265</v>
      </c>
      <c r="J1106" s="1588" t="s">
        <v>256</v>
      </c>
      <c r="K1106" s="87"/>
      <c r="L1106" s="174"/>
      <c r="M1106" s="1662"/>
      <c r="N1106" s="354"/>
      <c r="O1106" s="354"/>
      <c r="P1106" s="61"/>
      <c r="Q1106" s="61"/>
      <c r="R1106" s="61"/>
      <c r="S1106" s="61"/>
      <c r="T1106" s="61"/>
      <c r="U1106" s="61"/>
      <c r="V1106" s="61"/>
      <c r="W1106" s="61"/>
      <c r="X1106" s="61"/>
      <c r="Y1106" s="61"/>
      <c r="Z1106" s="61"/>
      <c r="AA1106" s="61"/>
      <c r="AB1106" s="61"/>
    </row>
    <row r="1107" spans="1:28" ht="30" customHeight="1" x14ac:dyDescent="0.25">
      <c r="A1107" s="2042">
        <v>1</v>
      </c>
      <c r="B1107" s="1953" t="s">
        <v>56</v>
      </c>
      <c r="C1107" s="1930"/>
      <c r="D1107" s="1930"/>
      <c r="E1107" s="1930"/>
      <c r="F1107" s="1175" t="s">
        <v>1679</v>
      </c>
      <c r="G1107" s="1612" t="s">
        <v>1842</v>
      </c>
      <c r="H1107" s="1239">
        <f>700-334.3499</f>
        <v>365.65010000000001</v>
      </c>
      <c r="I1107" s="1368">
        <v>2365.788</v>
      </c>
      <c r="J1107" s="1367">
        <f>H1107*I1107</f>
        <v>865050.62</v>
      </c>
      <c r="K1107" s="87"/>
      <c r="L1107" s="1044" t="s">
        <v>1486</v>
      </c>
      <c r="M1107" s="174">
        <v>865050.62</v>
      </c>
      <c r="N1107" s="1656"/>
      <c r="O1107" s="1696"/>
      <c r="P1107" s="61"/>
      <c r="Q1107" s="61"/>
      <c r="R1107" s="61"/>
      <c r="S1107" s="61"/>
      <c r="T1107" s="61"/>
      <c r="U1107" s="61"/>
      <c r="V1107" s="61"/>
      <c r="W1107" s="61"/>
      <c r="X1107" s="61"/>
      <c r="Y1107" s="61"/>
      <c r="Z1107" s="61"/>
      <c r="AA1107" s="61"/>
      <c r="AB1107" s="61"/>
    </row>
    <row r="1108" spans="1:28" ht="30" x14ac:dyDescent="0.25">
      <c r="A1108" s="2042"/>
      <c r="B1108" s="1930"/>
      <c r="C1108" s="1930"/>
      <c r="D1108" s="1930"/>
      <c r="E1108" s="1930"/>
      <c r="F1108" s="1175" t="s">
        <v>1679</v>
      </c>
      <c r="G1108" s="1620" t="s">
        <v>1843</v>
      </c>
      <c r="H1108" s="1176">
        <f>3720-935.69633-0.62558437+68.347747+334.3499</f>
        <v>3186.3757300000002</v>
      </c>
      <c r="I1108" s="1368">
        <v>2365.788</v>
      </c>
      <c r="J1108" s="1367">
        <f>H1108*I1108</f>
        <v>7538289.4699999997</v>
      </c>
      <c r="K1108" s="354"/>
      <c r="L1108" s="1538"/>
      <c r="M1108" s="1048"/>
      <c r="N1108" s="1656"/>
      <c r="O1108" s="1696"/>
      <c r="P1108" s="61"/>
      <c r="Q1108" s="61"/>
      <c r="R1108" s="61"/>
      <c r="S1108" s="61"/>
      <c r="T1108" s="61"/>
      <c r="U1108" s="61"/>
      <c r="V1108" s="61"/>
      <c r="W1108" s="61"/>
      <c r="X1108" s="61"/>
      <c r="Y1108" s="61"/>
      <c r="Z1108" s="61"/>
      <c r="AA1108" s="61"/>
      <c r="AB1108" s="61"/>
    </row>
    <row r="1109" spans="1:28" ht="30" hidden="1" x14ac:dyDescent="0.25">
      <c r="A1109" s="2042"/>
      <c r="B1109" s="1930"/>
      <c r="C1109" s="1930"/>
      <c r="D1109" s="1930"/>
      <c r="E1109" s="1930"/>
      <c r="F1109" s="1175" t="s">
        <v>1679</v>
      </c>
      <c r="G1109" s="1392" t="s">
        <v>1844</v>
      </c>
      <c r="H1109" s="1239"/>
      <c r="I1109" s="1368">
        <v>2602.3670000000002</v>
      </c>
      <c r="J1109" s="1367">
        <f>H1109*I1109</f>
        <v>0</v>
      </c>
      <c r="K1109" s="354"/>
      <c r="L1109" s="989"/>
      <c r="M1109" s="1048"/>
      <c r="N1109" s="1656"/>
      <c r="O1109" s="1696"/>
      <c r="P1109" s="61"/>
      <c r="Q1109" s="61"/>
      <c r="R1109" s="61"/>
      <c r="S1109" s="61"/>
      <c r="T1109" s="61"/>
      <c r="U1109" s="61"/>
      <c r="V1109" s="61"/>
      <c r="W1109" s="61"/>
      <c r="X1109" s="61"/>
      <c r="Y1109" s="61"/>
      <c r="Z1109" s="61"/>
      <c r="AA1109" s="61"/>
      <c r="AB1109" s="61"/>
    </row>
    <row r="1110" spans="1:28" ht="15" customHeight="1" x14ac:dyDescent="0.25">
      <c r="A1110" s="2035" t="s">
        <v>39</v>
      </c>
      <c r="B1110" s="2035"/>
      <c r="C1110" s="2035"/>
      <c r="D1110" s="2035"/>
      <c r="E1110" s="2035"/>
      <c r="F1110" s="2035"/>
      <c r="G1110" s="2035"/>
      <c r="H1110" s="2035"/>
      <c r="I1110" s="2035"/>
      <c r="J1110" s="1393">
        <f>SUM(J1107:J1109)</f>
        <v>8403340.0899999999</v>
      </c>
      <c r="K1110" s="344">
        <v>865050.62</v>
      </c>
      <c r="L1110" s="81">
        <f>J1110-K1110</f>
        <v>7538289.4699999997</v>
      </c>
      <c r="M1110" s="81"/>
      <c r="N1110" s="1048"/>
      <c r="O1110" s="1048"/>
      <c r="P1110" s="61"/>
      <c r="Q1110" s="61"/>
      <c r="R1110" s="61"/>
      <c r="S1110" s="61"/>
      <c r="T1110" s="61"/>
      <c r="U1110" s="61"/>
      <c r="V1110" s="61"/>
      <c r="W1110" s="61"/>
      <c r="X1110" s="61"/>
      <c r="Y1110" s="61"/>
      <c r="Z1110" s="61"/>
      <c r="AA1110" s="61"/>
      <c r="AB1110" s="61"/>
    </row>
    <row r="1111" spans="1:28" ht="15" hidden="1" customHeight="1" x14ac:dyDescent="0.25">
      <c r="A1111" s="1924" t="s">
        <v>514</v>
      </c>
      <c r="B1111" s="1925"/>
      <c r="C1111" s="1925"/>
      <c r="D1111" s="1925"/>
      <c r="E1111" s="1925"/>
      <c r="F1111" s="1925"/>
      <c r="G1111" s="1925"/>
      <c r="H1111" s="1925"/>
      <c r="I1111" s="1925"/>
      <c r="J1111" s="1925"/>
      <c r="K1111" s="355"/>
      <c r="L1111" s="87"/>
      <c r="M1111" s="354"/>
      <c r="N1111" s="354"/>
      <c r="O1111" s="354"/>
      <c r="P1111" s="61"/>
      <c r="Q1111" s="61"/>
      <c r="R1111" s="61"/>
      <c r="S1111" s="61"/>
      <c r="T1111" s="61"/>
      <c r="U1111" s="61"/>
      <c r="V1111" s="61"/>
      <c r="W1111" s="61"/>
      <c r="X1111" s="61"/>
      <c r="Y1111" s="61"/>
      <c r="Z1111" s="61"/>
      <c r="AA1111" s="61"/>
      <c r="AB1111" s="61"/>
    </row>
    <row r="1112" spans="1:28" hidden="1" x14ac:dyDescent="0.25">
      <c r="A1112" s="1913" t="s">
        <v>1134</v>
      </c>
      <c r="B1112" s="1913"/>
      <c r="C1112" s="1913"/>
      <c r="D1112" s="1913"/>
      <c r="E1112" s="1913"/>
      <c r="F1112" s="1913"/>
      <c r="G1112" s="1913"/>
      <c r="H1112" s="1913"/>
      <c r="I1112" s="1913"/>
      <c r="J1112" s="1594">
        <v>0</v>
      </c>
      <c r="K1112" s="344"/>
      <c r="L1112" s="81"/>
      <c r="N1112" s="354"/>
      <c r="O1112" s="354"/>
      <c r="P1112" s="61"/>
      <c r="Q1112" s="61"/>
      <c r="R1112" s="61"/>
      <c r="S1112" s="61"/>
      <c r="T1112" s="61"/>
      <c r="U1112" s="61"/>
      <c r="V1112" s="61"/>
      <c r="W1112" s="61"/>
      <c r="X1112" s="61"/>
      <c r="Y1112" s="61"/>
      <c r="Z1112" s="61"/>
      <c r="AA1112" s="61"/>
      <c r="AB1112" s="61"/>
    </row>
    <row r="1113" spans="1:28" ht="15" hidden="1" customHeight="1" x14ac:dyDescent="0.25">
      <c r="A1113" s="1913" t="s">
        <v>153</v>
      </c>
      <c r="B1113" s="1913"/>
      <c r="C1113" s="1913"/>
      <c r="D1113" s="1913"/>
      <c r="E1113" s="1913"/>
      <c r="F1113" s="1913"/>
      <c r="G1113" s="1913"/>
      <c r="H1113" s="1913"/>
      <c r="I1113" s="1913"/>
      <c r="J1113" s="1594">
        <f>1746810.36+5731050.48+1201092.5</f>
        <v>8678953.3399999999</v>
      </c>
      <c r="K1113" s="61"/>
      <c r="L1113" s="61"/>
      <c r="N1113" s="354"/>
      <c r="O1113" s="354"/>
      <c r="P1113" s="61"/>
      <c r="Q1113" s="61"/>
      <c r="R1113" s="61"/>
      <c r="S1113" s="61"/>
      <c r="T1113" s="61"/>
      <c r="U1113" s="61"/>
      <c r="V1113" s="61"/>
      <c r="W1113" s="61"/>
      <c r="X1113" s="61"/>
      <c r="Y1113" s="61"/>
      <c r="Z1113" s="61"/>
      <c r="AA1113" s="61"/>
      <c r="AB1113" s="61"/>
    </row>
    <row r="1114" spans="1:28" hidden="1" x14ac:dyDescent="0.25">
      <c r="A1114" s="1891" t="s">
        <v>619</v>
      </c>
      <c r="B1114" s="1891"/>
      <c r="C1114" s="1891"/>
      <c r="D1114" s="1891"/>
      <c r="E1114" s="1891"/>
      <c r="F1114" s="1891"/>
      <c r="G1114" s="1891"/>
      <c r="H1114" s="1891"/>
      <c r="I1114" s="1891"/>
      <c r="J1114" s="1588"/>
      <c r="K1114" s="344"/>
      <c r="L1114" s="81"/>
      <c r="N1114" s="354"/>
      <c r="O1114" s="354"/>
      <c r="P1114" s="61"/>
      <c r="Q1114" s="61"/>
      <c r="R1114" s="61"/>
      <c r="S1114" s="61"/>
      <c r="T1114" s="61"/>
      <c r="U1114" s="61"/>
      <c r="V1114" s="61"/>
      <c r="W1114" s="61"/>
      <c r="X1114" s="61"/>
      <c r="Y1114" s="61"/>
      <c r="Z1114" s="61"/>
      <c r="AA1114" s="61"/>
      <c r="AB1114" s="61"/>
    </row>
    <row r="1115" spans="1:28" hidden="1" x14ac:dyDescent="0.25">
      <c r="A1115" s="1891" t="s">
        <v>1147</v>
      </c>
      <c r="B1115" s="1891"/>
      <c r="C1115" s="1891"/>
      <c r="D1115" s="1891"/>
      <c r="E1115" s="1891"/>
      <c r="F1115" s="1891"/>
      <c r="G1115" s="1891"/>
      <c r="H1115" s="1891"/>
      <c r="I1115" s="1891"/>
      <c r="J1115" s="360"/>
      <c r="K1115" s="354"/>
      <c r="L1115" s="87"/>
      <c r="N1115" s="354"/>
      <c r="O1115" s="354"/>
      <c r="P1115" s="61"/>
      <c r="Q1115" s="61"/>
      <c r="R1115" s="61"/>
      <c r="S1115" s="61"/>
      <c r="T1115" s="61"/>
      <c r="U1115" s="61"/>
      <c r="V1115" s="61"/>
      <c r="W1115" s="61"/>
      <c r="X1115" s="61"/>
      <c r="Y1115" s="61"/>
      <c r="Z1115" s="61"/>
      <c r="AA1115" s="61"/>
      <c r="AB1115" s="61"/>
    </row>
    <row r="1116" spans="1:28" x14ac:dyDescent="0.25">
      <c r="A1116" s="1386"/>
      <c r="B1116" s="1387"/>
      <c r="C1116" s="1387"/>
      <c r="D1116" s="1387"/>
      <c r="E1116" s="1387"/>
      <c r="F1116" s="1387"/>
      <c r="G1116" s="1387"/>
      <c r="H1116" s="1387"/>
      <c r="I1116" s="1387"/>
      <c r="J1116" s="782"/>
      <c r="K1116" s="87"/>
      <c r="L1116" s="354"/>
      <c r="M1116" s="354"/>
      <c r="N1116" s="354"/>
      <c r="O1116" s="354"/>
      <c r="P1116" s="61"/>
      <c r="Q1116" s="61"/>
      <c r="R1116" s="61"/>
      <c r="S1116" s="61"/>
      <c r="T1116" s="61"/>
      <c r="U1116" s="61"/>
      <c r="V1116" s="61"/>
      <c r="W1116" s="61"/>
      <c r="X1116" s="61"/>
      <c r="Y1116" s="61"/>
      <c r="Z1116" s="61"/>
      <c r="AA1116" s="61"/>
      <c r="AB1116" s="61"/>
    </row>
    <row r="1117" spans="1:28" x14ac:dyDescent="0.25">
      <c r="A1117" s="1898" t="s">
        <v>8</v>
      </c>
      <c r="B1117" s="1898" t="s">
        <v>35</v>
      </c>
      <c r="C1117" s="1898"/>
      <c r="D1117" s="1898"/>
      <c r="E1117" s="1898"/>
      <c r="F1117" s="1898" t="s">
        <v>272</v>
      </c>
      <c r="G1117" s="1899" t="s">
        <v>1827</v>
      </c>
      <c r="H1117" s="1911"/>
      <c r="I1117" s="1911"/>
      <c r="J1117" s="1912"/>
      <c r="K1117" s="87"/>
      <c r="L1117" s="354"/>
      <c r="M1117" s="354"/>
      <c r="N1117" s="354"/>
      <c r="O1117" s="354"/>
      <c r="P1117" s="61"/>
      <c r="Q1117" s="61"/>
      <c r="R1117" s="61"/>
      <c r="S1117" s="61"/>
      <c r="T1117" s="61"/>
      <c r="U1117" s="61"/>
      <c r="V1117" s="61"/>
      <c r="W1117" s="61"/>
      <c r="X1117" s="61"/>
      <c r="Y1117" s="61"/>
      <c r="Z1117" s="61"/>
      <c r="AA1117" s="61"/>
      <c r="AB1117" s="61"/>
    </row>
    <row r="1118" spans="1:28" ht="45" x14ac:dyDescent="0.25">
      <c r="A1118" s="1898"/>
      <c r="B1118" s="1898"/>
      <c r="C1118" s="1898"/>
      <c r="D1118" s="1898"/>
      <c r="E1118" s="1898"/>
      <c r="F1118" s="1898"/>
      <c r="G1118" s="1581" t="s">
        <v>515</v>
      </c>
      <c r="H1118" s="1581" t="s">
        <v>55</v>
      </c>
      <c r="I1118" s="1588" t="s">
        <v>265</v>
      </c>
      <c r="J1118" s="1588" t="s">
        <v>256</v>
      </c>
      <c r="K1118" s="87"/>
      <c r="L1118" s="354"/>
      <c r="M1118" s="354"/>
      <c r="N1118" s="354"/>
      <c r="O1118" s="354"/>
      <c r="P1118" s="61"/>
      <c r="Q1118" s="61"/>
      <c r="R1118" s="61"/>
      <c r="S1118" s="61"/>
      <c r="T1118" s="61"/>
      <c r="U1118" s="61"/>
      <c r="V1118" s="61"/>
      <c r="W1118" s="61"/>
      <c r="X1118" s="61"/>
      <c r="Y1118" s="61"/>
      <c r="Z1118" s="61"/>
      <c r="AA1118" s="61"/>
      <c r="AB1118" s="61"/>
    </row>
    <row r="1119" spans="1:28" ht="30" customHeight="1" x14ac:dyDescent="0.25">
      <c r="A1119" s="2144">
        <v>2</v>
      </c>
      <c r="B1119" s="2148" t="s">
        <v>1941</v>
      </c>
      <c r="C1119" s="2149"/>
      <c r="D1119" s="2149"/>
      <c r="E1119" s="2149"/>
      <c r="F1119" s="1394" t="s">
        <v>1673</v>
      </c>
      <c r="G1119" s="1612" t="s">
        <v>1842</v>
      </c>
      <c r="H1119" s="1570">
        <v>9101.2608</v>
      </c>
      <c r="I1119" s="1239">
        <v>8.8597999999999999</v>
      </c>
      <c r="J1119" s="1397">
        <f>H1119*I1119</f>
        <v>80635.350000000006</v>
      </c>
      <c r="K1119" s="354"/>
      <c r="L1119" s="1044" t="s">
        <v>1486</v>
      </c>
      <c r="M1119" s="174">
        <v>80635.350000000006</v>
      </c>
      <c r="N1119" s="1047"/>
      <c r="O1119" s="354"/>
      <c r="P1119" s="61"/>
      <c r="Q1119" s="61"/>
      <c r="R1119" s="61"/>
      <c r="S1119" s="61"/>
      <c r="T1119" s="61"/>
      <c r="U1119" s="61"/>
      <c r="V1119" s="61"/>
      <c r="W1119" s="61"/>
      <c r="X1119" s="61"/>
      <c r="Y1119" s="61"/>
      <c r="Z1119" s="61"/>
      <c r="AA1119" s="61"/>
      <c r="AB1119" s="61"/>
    </row>
    <row r="1120" spans="1:28" ht="30" x14ac:dyDescent="0.25">
      <c r="A1120" s="2042"/>
      <c r="B1120" s="1930"/>
      <c r="C1120" s="1930"/>
      <c r="D1120" s="1930"/>
      <c r="E1120" s="1930"/>
      <c r="F1120" s="1175" t="s">
        <v>1673</v>
      </c>
      <c r="G1120" s="1620" t="s">
        <v>1843</v>
      </c>
      <c r="H1120" s="1398">
        <f>419150+83898.7392</f>
        <v>503048.73920000001</v>
      </c>
      <c r="I1120" s="1239">
        <v>8.8597999999999999</v>
      </c>
      <c r="J1120" s="1363">
        <f>H1120*I1120</f>
        <v>4456911.22</v>
      </c>
      <c r="K1120" s="814"/>
      <c r="L1120" s="1284"/>
      <c r="M1120" s="1047"/>
      <c r="N1120" s="1656"/>
      <c r="O1120" s="1696"/>
      <c r="P1120" s="61"/>
      <c r="Q1120" s="61"/>
      <c r="R1120" s="61"/>
      <c r="S1120" s="61"/>
      <c r="T1120" s="61"/>
      <c r="U1120" s="61"/>
      <c r="V1120" s="61"/>
      <c r="W1120" s="61"/>
      <c r="X1120" s="61"/>
      <c r="Y1120" s="61"/>
      <c r="Z1120" s="61"/>
      <c r="AA1120" s="61"/>
      <c r="AB1120" s="61"/>
    </row>
    <row r="1121" spans="1:28" ht="30" hidden="1" x14ac:dyDescent="0.25">
      <c r="A1121" s="2043"/>
      <c r="B1121" s="1930"/>
      <c r="C1121" s="1930"/>
      <c r="D1121" s="1930"/>
      <c r="E1121" s="1930"/>
      <c r="F1121" s="1175" t="s">
        <v>1673</v>
      </c>
      <c r="G1121" s="1392" t="s">
        <v>1844</v>
      </c>
      <c r="H1121" s="1398"/>
      <c r="I1121" s="1239">
        <v>9.7457999999999991</v>
      </c>
      <c r="J1121" s="1363">
        <f>H1121*I1121</f>
        <v>0</v>
      </c>
      <c r="K1121" s="87"/>
      <c r="L1121" s="1047"/>
      <c r="M1121" s="1047"/>
      <c r="N1121" s="1656"/>
      <c r="O1121" s="1696"/>
      <c r="P1121" s="61"/>
      <c r="Q1121" s="61"/>
      <c r="R1121" s="61"/>
      <c r="S1121" s="61"/>
      <c r="T1121" s="61"/>
      <c r="U1121" s="61"/>
      <c r="V1121" s="61"/>
      <c r="W1121" s="61"/>
      <c r="X1121" s="61"/>
      <c r="Y1121" s="61"/>
      <c r="Z1121" s="61"/>
      <c r="AA1121" s="61"/>
      <c r="AB1121" s="61"/>
    </row>
    <row r="1122" spans="1:28" ht="15" customHeight="1" x14ac:dyDescent="0.25">
      <c r="A1122" s="2035" t="s">
        <v>39</v>
      </c>
      <c r="B1122" s="2035"/>
      <c r="C1122" s="2035"/>
      <c r="D1122" s="2035"/>
      <c r="E1122" s="2035"/>
      <c r="F1122" s="2035"/>
      <c r="G1122" s="2035"/>
      <c r="H1122" s="2035"/>
      <c r="I1122" s="2035"/>
      <c r="J1122" s="1369">
        <f>SUM(J1119:J1121)</f>
        <v>4537546.57</v>
      </c>
      <c r="K1122" s="344">
        <f>80635.35+400765.96</f>
        <v>481401.31</v>
      </c>
      <c r="L1122" s="81">
        <f>J1122-K1122</f>
        <v>4056145.26</v>
      </c>
      <c r="M1122" s="61"/>
      <c r="N1122" s="1656"/>
      <c r="O1122" s="1696"/>
      <c r="P1122" s="61"/>
      <c r="Q1122" s="61"/>
      <c r="R1122" s="61"/>
      <c r="S1122" s="61"/>
      <c r="T1122" s="61"/>
      <c r="U1122" s="61"/>
      <c r="V1122" s="61"/>
      <c r="W1122" s="61"/>
      <c r="X1122" s="61"/>
      <c r="Y1122" s="61"/>
      <c r="Z1122" s="61"/>
      <c r="AA1122" s="61"/>
      <c r="AB1122" s="61"/>
    </row>
    <row r="1123" spans="1:28" ht="15" hidden="1" customHeight="1" x14ac:dyDescent="0.25">
      <c r="A1123" s="1924" t="s">
        <v>514</v>
      </c>
      <c r="B1123" s="1925"/>
      <c r="C1123" s="1925"/>
      <c r="D1123" s="1925"/>
      <c r="E1123" s="1925"/>
      <c r="F1123" s="1925"/>
      <c r="G1123" s="1925"/>
      <c r="H1123" s="1925"/>
      <c r="I1123" s="1925"/>
      <c r="J1123" s="1925"/>
      <c r="K1123" s="174"/>
      <c r="L1123" s="61"/>
      <c r="M1123" s="354"/>
      <c r="N1123" s="354"/>
      <c r="O1123" s="1047"/>
      <c r="P1123" s="61"/>
      <c r="Q1123" s="61"/>
      <c r="R1123" s="61"/>
      <c r="S1123" s="61"/>
      <c r="T1123" s="61"/>
      <c r="U1123" s="61"/>
      <c r="V1123" s="61"/>
      <c r="W1123" s="61"/>
      <c r="X1123" s="61"/>
      <c r="Y1123" s="61"/>
      <c r="Z1123" s="61"/>
      <c r="AA1123" s="61"/>
      <c r="AB1123" s="61"/>
    </row>
    <row r="1124" spans="1:28" ht="30.75" hidden="1" customHeight="1" x14ac:dyDescent="0.25">
      <c r="A1124" s="1953" t="s">
        <v>1789</v>
      </c>
      <c r="B1124" s="1953"/>
      <c r="C1124" s="1953"/>
      <c r="D1124" s="1953"/>
      <c r="E1124" s="1953"/>
      <c r="F1124" s="1953"/>
      <c r="G1124" s="1953"/>
      <c r="H1124" s="1953"/>
      <c r="I1124" s="1953"/>
      <c r="J1124" s="1594"/>
      <c r="K1124" s="344"/>
      <c r="L1124" s="81">
        <f>J1124-K1124</f>
        <v>0</v>
      </c>
      <c r="N1124" s="354"/>
      <c r="O1124" s="354"/>
      <c r="P1124" s="61"/>
      <c r="Q1124" s="61"/>
      <c r="R1124" s="61"/>
      <c r="S1124" s="61"/>
      <c r="T1124" s="61"/>
      <c r="U1124" s="61"/>
      <c r="V1124" s="61"/>
      <c r="W1124" s="61"/>
      <c r="X1124" s="61"/>
      <c r="Y1124" s="61"/>
      <c r="Z1124" s="61"/>
      <c r="AA1124" s="61"/>
      <c r="AB1124" s="61"/>
    </row>
    <row r="1125" spans="1:28" ht="29.25" hidden="1" customHeight="1" x14ac:dyDescent="0.25">
      <c r="A1125" s="1953" t="s">
        <v>1790</v>
      </c>
      <c r="B1125" s="1953"/>
      <c r="C1125" s="1953"/>
      <c r="D1125" s="1953"/>
      <c r="E1125" s="1953"/>
      <c r="F1125" s="1953"/>
      <c r="G1125" s="1953"/>
      <c r="H1125" s="1953"/>
      <c r="I1125" s="1953"/>
      <c r="J1125" s="1594"/>
      <c r="K1125" s="344"/>
      <c r="L1125" s="81">
        <f>J1125-K1125</f>
        <v>0</v>
      </c>
      <c r="M1125" s="81"/>
      <c r="N1125" s="354"/>
      <c r="O1125" s="354"/>
      <c r="P1125" s="61"/>
      <c r="Q1125" s="61"/>
      <c r="R1125" s="61"/>
      <c r="S1125" s="61"/>
      <c r="T1125" s="61"/>
      <c r="U1125" s="61"/>
      <c r="V1125" s="61"/>
      <c r="W1125" s="61"/>
      <c r="X1125" s="61"/>
      <c r="Y1125" s="61"/>
      <c r="Z1125" s="61"/>
      <c r="AA1125" s="61"/>
      <c r="AB1125" s="61"/>
    </row>
    <row r="1126" spans="1:28" hidden="1" x14ac:dyDescent="0.25">
      <c r="A1126" s="1891" t="s">
        <v>619</v>
      </c>
      <c r="B1126" s="1891"/>
      <c r="C1126" s="1891"/>
      <c r="D1126" s="1891"/>
      <c r="E1126" s="1891"/>
      <c r="F1126" s="1891"/>
      <c r="G1126" s="1891"/>
      <c r="H1126" s="1891"/>
      <c r="I1126" s="1891"/>
      <c r="J1126" s="1588"/>
      <c r="K1126" s="344">
        <v>0</v>
      </c>
      <c r="L1126" s="81">
        <f>J1126-K1126</f>
        <v>0</v>
      </c>
      <c r="N1126" s="354"/>
      <c r="O1126" s="354"/>
      <c r="P1126" s="61"/>
      <c r="Q1126" s="61"/>
      <c r="R1126" s="61"/>
      <c r="S1126" s="61"/>
      <c r="T1126" s="61"/>
      <c r="U1126" s="61"/>
      <c r="V1126" s="61"/>
      <c r="W1126" s="61"/>
      <c r="X1126" s="61"/>
      <c r="Y1126" s="61"/>
      <c r="Z1126" s="61"/>
      <c r="AA1126" s="61"/>
      <c r="AB1126" s="61"/>
    </row>
    <row r="1127" spans="1:28" hidden="1" x14ac:dyDescent="0.25">
      <c r="A1127" s="1891" t="s">
        <v>1147</v>
      </c>
      <c r="B1127" s="1891"/>
      <c r="C1127" s="1891"/>
      <c r="D1127" s="1891"/>
      <c r="E1127" s="1891"/>
      <c r="F1127" s="1891"/>
      <c r="G1127" s="1891"/>
      <c r="H1127" s="1891"/>
      <c r="I1127" s="1891"/>
      <c r="J1127" s="360"/>
      <c r="K1127" s="354"/>
      <c r="L1127" s="174"/>
      <c r="N1127" s="354"/>
      <c r="O1127" s="354"/>
      <c r="P1127" s="61"/>
      <c r="Q1127" s="61"/>
      <c r="R1127" s="61"/>
      <c r="S1127" s="61"/>
      <c r="T1127" s="61"/>
      <c r="U1127" s="61"/>
      <c r="V1127" s="61"/>
      <c r="W1127" s="61"/>
      <c r="X1127" s="61"/>
      <c r="Y1127" s="61"/>
      <c r="Z1127" s="61"/>
      <c r="AA1127" s="61"/>
      <c r="AB1127" s="61"/>
    </row>
    <row r="1128" spans="1:28" x14ac:dyDescent="0.25">
      <c r="A1128" s="1774"/>
      <c r="B1128" s="1635"/>
      <c r="C1128" s="1635"/>
      <c r="D1128" s="1635"/>
      <c r="E1128" s="1635"/>
      <c r="F1128" s="1635"/>
      <c r="G1128" s="1635"/>
      <c r="H1128" s="1635"/>
      <c r="I1128" s="1635"/>
      <c r="J1128" s="782"/>
      <c r="K1128" s="354"/>
      <c r="L1128" s="174"/>
      <c r="N1128" s="354"/>
      <c r="O1128" s="354"/>
      <c r="P1128" s="61"/>
      <c r="Q1128" s="61"/>
      <c r="R1128" s="61"/>
      <c r="S1128" s="61"/>
      <c r="T1128" s="61"/>
      <c r="U1128" s="61"/>
      <c r="V1128" s="61"/>
      <c r="W1128" s="61"/>
      <c r="X1128" s="61"/>
      <c r="Y1128" s="61"/>
      <c r="Z1128" s="61"/>
      <c r="AA1128" s="61"/>
      <c r="AB1128" s="61"/>
    </row>
    <row r="1129" spans="1:28" x14ac:dyDescent="0.25">
      <c r="A1129" s="1898" t="s">
        <v>8</v>
      </c>
      <c r="B1129" s="1898" t="s">
        <v>35</v>
      </c>
      <c r="C1129" s="1898"/>
      <c r="D1129" s="1898"/>
      <c r="E1129" s="1898"/>
      <c r="F1129" s="1898" t="s">
        <v>272</v>
      </c>
      <c r="G1129" s="1899" t="s">
        <v>1827</v>
      </c>
      <c r="H1129" s="1911"/>
      <c r="I1129" s="1911"/>
      <c r="J1129" s="1912"/>
      <c r="K1129" s="354"/>
      <c r="L1129" s="1663"/>
      <c r="N1129" s="354"/>
      <c r="O1129" s="354"/>
      <c r="P1129" s="61"/>
      <c r="Q1129" s="61"/>
      <c r="R1129" s="61"/>
      <c r="S1129" s="61"/>
      <c r="T1129" s="61"/>
      <c r="U1129" s="61"/>
      <c r="V1129" s="61"/>
      <c r="W1129" s="61"/>
      <c r="X1129" s="61"/>
      <c r="Y1129" s="61"/>
      <c r="Z1129" s="61"/>
      <c r="AA1129" s="61"/>
      <c r="AB1129" s="61"/>
    </row>
    <row r="1130" spans="1:28" ht="45" x14ac:dyDescent="0.25">
      <c r="A1130" s="1898"/>
      <c r="B1130" s="1898"/>
      <c r="C1130" s="1898"/>
      <c r="D1130" s="1898"/>
      <c r="E1130" s="1898"/>
      <c r="F1130" s="1898"/>
      <c r="G1130" s="1581" t="s">
        <v>515</v>
      </c>
      <c r="H1130" s="1581" t="s">
        <v>55</v>
      </c>
      <c r="I1130" s="1588" t="s">
        <v>265</v>
      </c>
      <c r="J1130" s="1588" t="s">
        <v>256</v>
      </c>
      <c r="K1130" s="354"/>
      <c r="L1130" s="174"/>
      <c r="N1130" s="354"/>
      <c r="O1130" s="354"/>
      <c r="P1130" s="61"/>
      <c r="Q1130" s="61"/>
      <c r="R1130" s="61"/>
      <c r="S1130" s="61"/>
      <c r="T1130" s="61"/>
      <c r="U1130" s="61"/>
      <c r="V1130" s="61"/>
      <c r="W1130" s="61"/>
      <c r="X1130" s="61"/>
      <c r="Y1130" s="61"/>
      <c r="Z1130" s="61"/>
      <c r="AA1130" s="61"/>
      <c r="AB1130" s="61"/>
    </row>
    <row r="1131" spans="1:28" x14ac:dyDescent="0.25">
      <c r="A1131" s="1926">
        <v>3</v>
      </c>
      <c r="B1131" s="1986" t="s">
        <v>57</v>
      </c>
      <c r="C1131" s="1930"/>
      <c r="D1131" s="1930"/>
      <c r="E1131" s="1930"/>
      <c r="F1131" s="1639" t="s">
        <v>1646</v>
      </c>
      <c r="G1131" s="2145" t="s">
        <v>1842</v>
      </c>
      <c r="H1131" s="65">
        <v>952.101</v>
      </c>
      <c r="I1131" s="65">
        <v>61.223999999999997</v>
      </c>
      <c r="J1131" s="1588">
        <f t="shared" ref="J1131:J1141" si="37">H1131*I1131</f>
        <v>58291.43</v>
      </c>
      <c r="K1131" s="1656"/>
      <c r="L1131" s="1044" t="s">
        <v>1486</v>
      </c>
      <c r="M1131" s="174">
        <v>204967.94</v>
      </c>
    </row>
    <row r="1132" spans="1:28" x14ac:dyDescent="0.25">
      <c r="A1132" s="1927"/>
      <c r="B1132" s="1986" t="s">
        <v>58</v>
      </c>
      <c r="C1132" s="1930"/>
      <c r="D1132" s="1930"/>
      <c r="E1132" s="1930"/>
      <c r="F1132" s="1639" t="s">
        <v>1646</v>
      </c>
      <c r="G1132" s="2146"/>
      <c r="H1132" s="103">
        <v>1312.7810999999999</v>
      </c>
      <c r="I1132" s="65">
        <v>65.603999999999999</v>
      </c>
      <c r="J1132" s="1588">
        <f>H1132*I1132</f>
        <v>86123.69</v>
      </c>
      <c r="K1132" s="1656"/>
      <c r="L1132" s="1044"/>
      <c r="M1132" s="174"/>
    </row>
    <row r="1133" spans="1:28" ht="30.75" customHeight="1" x14ac:dyDescent="0.25">
      <c r="A1133" s="1927"/>
      <c r="B1133" s="1986" t="s">
        <v>1481</v>
      </c>
      <c r="C1133" s="1930"/>
      <c r="D1133" s="1930"/>
      <c r="E1133" s="1930"/>
      <c r="F1133" s="1639" t="s">
        <v>1646</v>
      </c>
      <c r="G1133" s="2146"/>
      <c r="H1133" s="65">
        <v>307.44299999999998</v>
      </c>
      <c r="I1133" s="65">
        <v>14.868</v>
      </c>
      <c r="J1133" s="1588">
        <f>H1133*I1133</f>
        <v>4571.0600000000004</v>
      </c>
      <c r="K1133" s="1656"/>
      <c r="L1133" s="1044"/>
      <c r="M1133" s="174"/>
    </row>
    <row r="1134" spans="1:28" ht="31.5" customHeight="1" x14ac:dyDescent="0.25">
      <c r="A1134" s="1927"/>
      <c r="B1134" s="1986" t="s">
        <v>1482</v>
      </c>
      <c r="C1134" s="1930"/>
      <c r="D1134" s="1930"/>
      <c r="E1134" s="1930"/>
      <c r="F1134" s="1639" t="s">
        <v>1646</v>
      </c>
      <c r="G1134" s="2146"/>
      <c r="H1134" s="1301">
        <v>1005.338</v>
      </c>
      <c r="I1134" s="1301">
        <v>4.0919999999999996</v>
      </c>
      <c r="J1134" s="1588">
        <f>H1134*I1134</f>
        <v>4113.84</v>
      </c>
      <c r="K1134" s="1656"/>
      <c r="L1134" s="1044"/>
      <c r="M1134" s="174"/>
    </row>
    <row r="1135" spans="1:28" ht="28.5" customHeight="1" x14ac:dyDescent="0.25">
      <c r="A1135" s="1927"/>
      <c r="B1135" s="1986" t="s">
        <v>1485</v>
      </c>
      <c r="C1135" s="1930"/>
      <c r="D1135" s="1930"/>
      <c r="E1135" s="1930"/>
      <c r="F1135" s="1639" t="s">
        <v>1646</v>
      </c>
      <c r="G1135" s="2025"/>
      <c r="H1135" s="103">
        <v>790.62130000000002</v>
      </c>
      <c r="I1135" s="65">
        <v>65.603999999999999</v>
      </c>
      <c r="J1135" s="1588">
        <f>H1135*I1135</f>
        <v>51867.92</v>
      </c>
      <c r="K1135" s="1656"/>
      <c r="L1135" s="1044"/>
      <c r="M1135" s="174"/>
    </row>
    <row r="1136" spans="1:28" ht="30" customHeight="1" x14ac:dyDescent="0.25">
      <c r="A1136" s="2024">
        <v>4</v>
      </c>
      <c r="B1136" s="2071" t="s">
        <v>57</v>
      </c>
      <c r="C1136" s="2109"/>
      <c r="D1136" s="2109"/>
      <c r="E1136" s="2132"/>
      <c r="F1136" s="1639" t="s">
        <v>1646</v>
      </c>
      <c r="G1136" s="1620" t="s">
        <v>1843</v>
      </c>
      <c r="H1136" s="103">
        <v>4115</v>
      </c>
      <c r="I1136" s="1368">
        <v>61.223999999999997</v>
      </c>
      <c r="J1136" s="1588">
        <f t="shared" si="37"/>
        <v>251936.76</v>
      </c>
      <c r="K1136" s="1656"/>
      <c r="L1136" s="1696"/>
      <c r="M1136" s="1696"/>
    </row>
    <row r="1137" spans="1:28" ht="30" hidden="1" customHeight="1" x14ac:dyDescent="0.25">
      <c r="A1137" s="1906"/>
      <c r="B1137" s="2032"/>
      <c r="C1137" s="2033"/>
      <c r="D1137" s="2033"/>
      <c r="E1137" s="2034"/>
      <c r="F1137" s="1639" t="s">
        <v>1646</v>
      </c>
      <c r="G1137" s="1392" t="s">
        <v>1844</v>
      </c>
      <c r="H1137" s="103"/>
      <c r="I1137" s="1368">
        <v>67.346000000000004</v>
      </c>
      <c r="J1137" s="1588">
        <f t="shared" ref="J1137" si="38">H1137*I1137</f>
        <v>0</v>
      </c>
      <c r="K1137" s="1656"/>
      <c r="L1137" s="1696"/>
      <c r="M1137" s="1696"/>
    </row>
    <row r="1138" spans="1:28" ht="30" customHeight="1" x14ac:dyDescent="0.25">
      <c r="A1138" s="2024">
        <v>5</v>
      </c>
      <c r="B1138" s="2071" t="s">
        <v>58</v>
      </c>
      <c r="C1138" s="2109"/>
      <c r="D1138" s="2109"/>
      <c r="E1138" s="2132"/>
      <c r="F1138" s="1639" t="s">
        <v>1646</v>
      </c>
      <c r="G1138" s="1620" t="s">
        <v>1843</v>
      </c>
      <c r="H1138" s="103">
        <f>5560-403.7958</f>
        <v>5156.2042000000001</v>
      </c>
      <c r="I1138" s="1301">
        <v>65.603999999999999</v>
      </c>
      <c r="J1138" s="1588">
        <f t="shared" si="37"/>
        <v>338267.62</v>
      </c>
      <c r="K1138" s="1656"/>
      <c r="L1138" s="1696"/>
      <c r="M1138" s="1696"/>
      <c r="N1138" s="1658"/>
    </row>
    <row r="1139" spans="1:28" ht="30" hidden="1" customHeight="1" x14ac:dyDescent="0.25">
      <c r="A1139" s="1906"/>
      <c r="B1139" s="2032"/>
      <c r="C1139" s="2033"/>
      <c r="D1139" s="2033"/>
      <c r="E1139" s="2034"/>
      <c r="F1139" s="1639" t="s">
        <v>1646</v>
      </c>
      <c r="G1139" s="1587" t="s">
        <v>1844</v>
      </c>
      <c r="H1139" s="103"/>
      <c r="I1139" s="1368">
        <v>72.164000000000001</v>
      </c>
      <c r="J1139" s="1588">
        <f t="shared" ref="J1139" si="39">H1139*I1139</f>
        <v>0</v>
      </c>
      <c r="K1139" s="1656"/>
      <c r="L1139" s="1696"/>
      <c r="M1139" s="1696"/>
      <c r="N1139" s="1658"/>
    </row>
    <row r="1140" spans="1:28" ht="30" customHeight="1" x14ac:dyDescent="0.25">
      <c r="A1140" s="2024">
        <v>6</v>
      </c>
      <c r="B1140" s="2071" t="s">
        <v>1481</v>
      </c>
      <c r="C1140" s="2109"/>
      <c r="D1140" s="2109"/>
      <c r="E1140" s="2132"/>
      <c r="F1140" s="1639" t="s">
        <v>1646</v>
      </c>
      <c r="G1140" s="1620" t="s">
        <v>1843</v>
      </c>
      <c r="H1140" s="103">
        <v>1515</v>
      </c>
      <c r="I1140" s="65">
        <v>14.868</v>
      </c>
      <c r="J1140" s="1588">
        <f t="shared" si="37"/>
        <v>22525.02</v>
      </c>
      <c r="K1140" s="1656"/>
      <c r="L1140" s="1696"/>
      <c r="M1140" s="1696"/>
      <c r="N1140" s="1745"/>
      <c r="O1140" s="341"/>
    </row>
    <row r="1141" spans="1:28" ht="30" hidden="1" customHeight="1" x14ac:dyDescent="0.25">
      <c r="A1141" s="1906">
        <v>9</v>
      </c>
      <c r="B1141" s="2032"/>
      <c r="C1141" s="2033"/>
      <c r="D1141" s="2033"/>
      <c r="E1141" s="2034"/>
      <c r="F1141" s="1639" t="s">
        <v>1646</v>
      </c>
      <c r="G1141" s="1587" t="s">
        <v>1844</v>
      </c>
      <c r="H1141" s="1300"/>
      <c r="I1141" s="1301">
        <v>15.611000000000001</v>
      </c>
      <c r="J1141" s="1617">
        <f t="shared" si="37"/>
        <v>0</v>
      </c>
      <c r="K1141" s="1656"/>
      <c r="L1141" s="1696"/>
      <c r="M1141" s="1696"/>
      <c r="N1141" s="1379"/>
      <c r="O1141" s="341"/>
    </row>
    <row r="1142" spans="1:28" ht="30" customHeight="1" x14ac:dyDescent="0.25">
      <c r="A1142" s="2024">
        <v>5</v>
      </c>
      <c r="B1142" s="2071" t="s">
        <v>1482</v>
      </c>
      <c r="C1142" s="2109"/>
      <c r="D1142" s="2109"/>
      <c r="E1142" s="2132"/>
      <c r="F1142" s="1639" t="s">
        <v>1646</v>
      </c>
      <c r="G1142" s="1620" t="s">
        <v>1843</v>
      </c>
      <c r="H1142" s="103">
        <v>1635</v>
      </c>
      <c r="I1142" s="65">
        <v>4.0919999999999996</v>
      </c>
      <c r="J1142" s="1588">
        <f t="shared" ref="J1142:J1145" si="40">H1142*I1142</f>
        <v>6690.42</v>
      </c>
      <c r="K1142" s="1656"/>
      <c r="L1142" s="1696"/>
      <c r="M1142" s="1746"/>
      <c r="N1142" s="1379"/>
      <c r="O1142" s="341"/>
    </row>
    <row r="1143" spans="1:28" ht="30" hidden="1" customHeight="1" x14ac:dyDescent="0.25">
      <c r="A1143" s="1906">
        <v>11</v>
      </c>
      <c r="B1143" s="2032"/>
      <c r="C1143" s="2033"/>
      <c r="D1143" s="2033"/>
      <c r="E1143" s="2034"/>
      <c r="F1143" s="1639" t="s">
        <v>1646</v>
      </c>
      <c r="G1143" s="1587" t="s">
        <v>1844</v>
      </c>
      <c r="H1143" s="103"/>
      <c r="I1143" s="65">
        <v>4.3</v>
      </c>
      <c r="J1143" s="1588">
        <f t="shared" si="40"/>
        <v>0</v>
      </c>
      <c r="K1143" s="1656"/>
      <c r="L1143" s="1696"/>
      <c r="M1143" s="1696"/>
      <c r="N1143" s="1379"/>
      <c r="O1143" s="341"/>
    </row>
    <row r="1144" spans="1:28" ht="30" customHeight="1" x14ac:dyDescent="0.25">
      <c r="A1144" s="2024">
        <v>7</v>
      </c>
      <c r="B1144" s="2071" t="s">
        <v>1485</v>
      </c>
      <c r="C1144" s="2109"/>
      <c r="D1144" s="2109"/>
      <c r="E1144" s="2132"/>
      <c r="F1144" s="1639" t="s">
        <v>1646</v>
      </c>
      <c r="G1144" s="1620" t="s">
        <v>1843</v>
      </c>
      <c r="H1144" s="103">
        <v>2080</v>
      </c>
      <c r="I1144" s="65">
        <f>I1138</f>
        <v>65.603999999999999</v>
      </c>
      <c r="J1144" s="1588">
        <f t="shared" si="40"/>
        <v>136456.32000000001</v>
      </c>
      <c r="K1144" s="1656"/>
      <c r="L1144" s="1696"/>
      <c r="M1144" s="1696"/>
      <c r="N1144" s="1379"/>
      <c r="O1144" s="341"/>
    </row>
    <row r="1145" spans="1:28" ht="30" hidden="1" customHeight="1" x14ac:dyDescent="0.25">
      <c r="A1145" s="1906">
        <v>14</v>
      </c>
      <c r="B1145" s="2032"/>
      <c r="C1145" s="2033"/>
      <c r="D1145" s="2033"/>
      <c r="E1145" s="2034"/>
      <c r="F1145" s="1639" t="s">
        <v>1646</v>
      </c>
      <c r="G1145" s="1587" t="s">
        <v>1844</v>
      </c>
      <c r="H1145" s="1300"/>
      <c r="I1145" s="65">
        <f>I1139</f>
        <v>72.164000000000001</v>
      </c>
      <c r="J1145" s="1617">
        <f t="shared" si="40"/>
        <v>0</v>
      </c>
      <c r="K1145" s="1656"/>
      <c r="L1145" s="1696"/>
      <c r="M1145" s="1696"/>
      <c r="N1145" s="1379"/>
      <c r="O1145" s="341"/>
    </row>
    <row r="1146" spans="1:28" ht="15" customHeight="1" x14ac:dyDescent="0.25">
      <c r="A1146" s="2069" t="s">
        <v>39</v>
      </c>
      <c r="B1146" s="2069"/>
      <c r="C1146" s="2069"/>
      <c r="D1146" s="2069"/>
      <c r="E1146" s="2069"/>
      <c r="F1146" s="2069"/>
      <c r="G1146" s="1927"/>
      <c r="H1146" s="1192" t="s">
        <v>82</v>
      </c>
      <c r="I1146" s="1192" t="s">
        <v>82</v>
      </c>
      <c r="J1146" s="1192">
        <f>SUM(J1131:J1145)</f>
        <v>960844.08</v>
      </c>
      <c r="K1146" s="344">
        <f>204967.94+61490.32</f>
        <v>266458.26</v>
      </c>
      <c r="L1146" s="81">
        <f>J1146-K1146</f>
        <v>694385.82</v>
      </c>
      <c r="M1146" s="972"/>
      <c r="N1146" s="1747"/>
      <c r="O1146" s="1741"/>
    </row>
    <row r="1147" spans="1:28" x14ac:dyDescent="0.25">
      <c r="A1147" s="1774"/>
      <c r="B1147" s="1635"/>
      <c r="C1147" s="1635"/>
      <c r="D1147" s="1635"/>
      <c r="E1147" s="1635"/>
      <c r="F1147" s="1635"/>
      <c r="G1147" s="1635"/>
      <c r="H1147" s="1635"/>
      <c r="I1147" s="1635"/>
      <c r="J1147" s="782"/>
      <c r="K1147" s="354"/>
      <c r="L1147" s="174"/>
      <c r="N1147" s="354"/>
      <c r="O1147" s="354"/>
      <c r="P1147" s="61"/>
      <c r="Q1147" s="61"/>
      <c r="R1147" s="61"/>
      <c r="S1147" s="61"/>
      <c r="T1147" s="61"/>
      <c r="U1147" s="61"/>
      <c r="V1147" s="61"/>
      <c r="W1147" s="61"/>
      <c r="X1147" s="61"/>
      <c r="Y1147" s="61"/>
      <c r="Z1147" s="61"/>
      <c r="AA1147" s="61"/>
      <c r="AB1147" s="61"/>
    </row>
    <row r="1148" spans="1:28" x14ac:dyDescent="0.25">
      <c r="A1148" s="1898" t="s">
        <v>8</v>
      </c>
      <c r="B1148" s="1898" t="s">
        <v>35</v>
      </c>
      <c r="C1148" s="1898"/>
      <c r="D1148" s="1898"/>
      <c r="E1148" s="1898"/>
      <c r="F1148" s="1898" t="s">
        <v>272</v>
      </c>
      <c r="G1148" s="1899" t="s">
        <v>1827</v>
      </c>
      <c r="H1148" s="1911"/>
      <c r="I1148" s="1911"/>
      <c r="J1148" s="1912"/>
      <c r="K1148" s="354"/>
      <c r="L1148" s="1663"/>
      <c r="N1148" s="354"/>
      <c r="O1148" s="354"/>
      <c r="P1148" s="61"/>
      <c r="Q1148" s="61"/>
      <c r="R1148" s="61"/>
      <c r="S1148" s="61"/>
      <c r="T1148" s="61"/>
      <c r="U1148" s="61"/>
      <c r="V1148" s="61"/>
      <c r="W1148" s="61"/>
      <c r="X1148" s="61"/>
      <c r="Y1148" s="61"/>
      <c r="Z1148" s="61"/>
      <c r="AA1148" s="61"/>
      <c r="AB1148" s="61"/>
    </row>
    <row r="1149" spans="1:28" ht="45" x14ac:dyDescent="0.25">
      <c r="A1149" s="1898"/>
      <c r="B1149" s="1898"/>
      <c r="C1149" s="1898"/>
      <c r="D1149" s="1898"/>
      <c r="E1149" s="1898"/>
      <c r="F1149" s="1898"/>
      <c r="G1149" s="1581" t="s">
        <v>515</v>
      </c>
      <c r="H1149" s="1581" t="s">
        <v>55</v>
      </c>
      <c r="I1149" s="1588" t="s">
        <v>265</v>
      </c>
      <c r="J1149" s="1588" t="s">
        <v>256</v>
      </c>
      <c r="K1149" s="354"/>
      <c r="L1149" s="87"/>
      <c r="M1149" s="354"/>
      <c r="N1149" s="354"/>
      <c r="O1149" s="354"/>
      <c r="P1149" s="61"/>
      <c r="Q1149" s="61"/>
      <c r="R1149" s="61"/>
      <c r="S1149" s="61"/>
      <c r="T1149" s="61"/>
      <c r="U1149" s="61"/>
      <c r="V1149" s="61"/>
      <c r="W1149" s="61"/>
      <c r="X1149" s="61"/>
      <c r="Y1149" s="61"/>
      <c r="Z1149" s="61"/>
      <c r="AA1149" s="61"/>
      <c r="AB1149" s="61"/>
    </row>
    <row r="1150" spans="1:28" ht="30" x14ac:dyDescent="0.25">
      <c r="A1150" s="2042">
        <v>5</v>
      </c>
      <c r="B1150" s="1953" t="s">
        <v>59</v>
      </c>
      <c r="C1150" s="1930"/>
      <c r="D1150" s="1930"/>
      <c r="E1150" s="1930"/>
      <c r="F1150" s="1175" t="s">
        <v>1646</v>
      </c>
      <c r="G1150" s="1612" t="s">
        <v>1842</v>
      </c>
      <c r="H1150" s="1368">
        <v>379.084</v>
      </c>
      <c r="I1150" s="1368">
        <v>61.223999999999997</v>
      </c>
      <c r="J1150" s="1363">
        <f>H1150*I1150</f>
        <v>23209.040000000001</v>
      </c>
      <c r="K1150" s="87"/>
      <c r="L1150" s="1044" t="s">
        <v>1486</v>
      </c>
      <c r="M1150" s="174">
        <v>102377.78</v>
      </c>
      <c r="N1150" s="354"/>
      <c r="O1150" s="354"/>
      <c r="P1150" s="61"/>
      <c r="Q1150" s="61"/>
      <c r="R1150" s="61"/>
      <c r="S1150" s="61"/>
      <c r="T1150" s="61"/>
      <c r="U1150" s="61"/>
      <c r="V1150" s="61"/>
      <c r="W1150" s="61"/>
      <c r="X1150" s="61"/>
      <c r="Y1150" s="61"/>
      <c r="Z1150" s="61"/>
      <c r="AA1150" s="61"/>
      <c r="AB1150" s="61"/>
    </row>
    <row r="1151" spans="1:28" ht="30" customHeight="1" x14ac:dyDescent="0.25">
      <c r="A1151" s="2042"/>
      <c r="B1151" s="1930"/>
      <c r="C1151" s="1930"/>
      <c r="D1151" s="1930"/>
      <c r="E1151" s="1930"/>
      <c r="F1151" s="1175" t="s">
        <v>1646</v>
      </c>
      <c r="G1151" s="1620" t="s">
        <v>1843</v>
      </c>
      <c r="H1151" s="1239">
        <f>1590-3.3722</f>
        <v>1586.6278</v>
      </c>
      <c r="I1151" s="1368">
        <v>61.223999999999997</v>
      </c>
      <c r="J1151" s="1363">
        <f t="shared" ref="J1151:J1152" si="41">H1151*I1151</f>
        <v>97139.7</v>
      </c>
      <c r="K1151" s="87"/>
      <c r="L1151" s="990"/>
      <c r="M1151" s="354"/>
      <c r="N1151" s="354"/>
      <c r="O1151" s="354"/>
      <c r="P1151" s="61"/>
      <c r="Q1151" s="61"/>
      <c r="R1151" s="61"/>
      <c r="S1151" s="61"/>
      <c r="T1151" s="61"/>
      <c r="U1151" s="61"/>
      <c r="V1151" s="61"/>
      <c r="W1151" s="61"/>
      <c r="X1151" s="61"/>
      <c r="Y1151" s="61"/>
      <c r="Z1151" s="61"/>
      <c r="AA1151" s="61"/>
      <c r="AB1151" s="61"/>
    </row>
    <row r="1152" spans="1:28" ht="30" hidden="1" customHeight="1" x14ac:dyDescent="0.25">
      <c r="A1152" s="2043"/>
      <c r="B1152" s="1930"/>
      <c r="C1152" s="1930"/>
      <c r="D1152" s="1930"/>
      <c r="E1152" s="1930"/>
      <c r="F1152" s="1175" t="s">
        <v>1646</v>
      </c>
      <c r="G1152" s="1392" t="s">
        <v>1844</v>
      </c>
      <c r="H1152" s="1363"/>
      <c r="I1152" s="1368">
        <v>67.346000000000004</v>
      </c>
      <c r="J1152" s="1363">
        <f t="shared" si="41"/>
        <v>0</v>
      </c>
      <c r="K1152" s="87"/>
      <c r="L1152" s="990"/>
      <c r="M1152" s="722"/>
      <c r="N1152" s="354"/>
      <c r="O1152" s="354"/>
      <c r="P1152" s="61"/>
      <c r="Q1152" s="61"/>
      <c r="R1152" s="61"/>
      <c r="S1152" s="61"/>
      <c r="T1152" s="61"/>
      <c r="U1152" s="61"/>
      <c r="V1152" s="61"/>
      <c r="W1152" s="61"/>
      <c r="X1152" s="61"/>
      <c r="Y1152" s="61"/>
      <c r="Z1152" s="61"/>
      <c r="AA1152" s="61"/>
      <c r="AB1152" s="61"/>
    </row>
    <row r="1153" spans="1:28" ht="30" customHeight="1" x14ac:dyDescent="0.25">
      <c r="A1153" s="2042">
        <v>6</v>
      </c>
      <c r="B1153" s="1953" t="s">
        <v>84</v>
      </c>
      <c r="C1153" s="1930"/>
      <c r="D1153" s="1930"/>
      <c r="E1153" s="1930"/>
      <c r="F1153" s="1175" t="s">
        <v>1679</v>
      </c>
      <c r="G1153" s="1612" t="s">
        <v>1842</v>
      </c>
      <c r="H1153" s="1205">
        <v>33.464004000000003</v>
      </c>
      <c r="I1153" s="1368">
        <v>2365.788</v>
      </c>
      <c r="J1153" s="1363">
        <f>H1153*I1153</f>
        <v>79168.740000000005</v>
      </c>
      <c r="K1153" s="354"/>
      <c r="L1153" s="1196"/>
      <c r="M1153" s="722"/>
      <c r="N1153" s="722"/>
      <c r="O1153" s="354"/>
      <c r="P1153" s="61"/>
      <c r="Q1153" s="61"/>
      <c r="R1153" s="61"/>
      <c r="S1153" s="61"/>
      <c r="T1153" s="61"/>
      <c r="U1153" s="61"/>
      <c r="V1153" s="61"/>
      <c r="W1153" s="61"/>
      <c r="X1153" s="61"/>
      <c r="Y1153" s="61"/>
      <c r="Z1153" s="61"/>
      <c r="AA1153" s="61"/>
      <c r="AB1153" s="61"/>
    </row>
    <row r="1154" spans="1:28" ht="30" customHeight="1" x14ac:dyDescent="0.25">
      <c r="A1154" s="2042"/>
      <c r="B1154" s="1930"/>
      <c r="C1154" s="1930"/>
      <c r="D1154" s="1930"/>
      <c r="E1154" s="1930"/>
      <c r="F1154" s="1175" t="s">
        <v>1679</v>
      </c>
      <c r="G1154" s="1620" t="s">
        <v>1843</v>
      </c>
      <c r="H1154" s="1239">
        <f>165-2</f>
        <v>163</v>
      </c>
      <c r="I1154" s="1368">
        <v>2365.788</v>
      </c>
      <c r="J1154" s="1363">
        <f t="shared" ref="J1154:J1155" si="42">H1154*I1154</f>
        <v>385623.44</v>
      </c>
      <c r="K1154" s="354"/>
      <c r="L1154" s="1196"/>
      <c r="M1154" s="722"/>
      <c r="N1154" s="722"/>
      <c r="O1154" s="354"/>
      <c r="P1154" s="61"/>
      <c r="Q1154" s="61"/>
      <c r="R1154" s="61"/>
      <c r="S1154" s="61"/>
      <c r="T1154" s="61"/>
      <c r="U1154" s="61"/>
      <c r="V1154" s="61"/>
      <c r="W1154" s="61"/>
      <c r="X1154" s="61"/>
      <c r="Y1154" s="61"/>
      <c r="Z1154" s="61"/>
      <c r="AA1154" s="61"/>
      <c r="AB1154" s="61"/>
    </row>
    <row r="1155" spans="1:28" ht="30" hidden="1" customHeight="1" x14ac:dyDescent="0.25">
      <c r="A1155" s="2043"/>
      <c r="B1155" s="1930"/>
      <c r="C1155" s="1930"/>
      <c r="D1155" s="1930"/>
      <c r="E1155" s="1930"/>
      <c r="F1155" s="1175" t="s">
        <v>1679</v>
      </c>
      <c r="G1155" s="1392" t="s">
        <v>1844</v>
      </c>
      <c r="H1155" s="1363"/>
      <c r="I1155" s="1368">
        <v>2602.3670000000002</v>
      </c>
      <c r="J1155" s="1363">
        <f t="shared" si="42"/>
        <v>0</v>
      </c>
      <c r="K1155" s="354"/>
      <c r="L1155" s="1196"/>
      <c r="M1155" s="722"/>
      <c r="N1155" s="722"/>
      <c r="O1155" s="354"/>
      <c r="P1155" s="61"/>
      <c r="Q1155" s="61"/>
      <c r="R1155" s="61"/>
      <c r="S1155" s="61"/>
      <c r="T1155" s="61"/>
      <c r="U1155" s="61"/>
      <c r="V1155" s="61"/>
      <c r="W1155" s="61"/>
      <c r="X1155" s="61"/>
      <c r="Y1155" s="61"/>
      <c r="Z1155" s="61"/>
      <c r="AA1155" s="61"/>
      <c r="AB1155" s="61"/>
    </row>
    <row r="1156" spans="1:28" ht="15" customHeight="1" x14ac:dyDescent="0.25">
      <c r="A1156" s="2035" t="s">
        <v>39</v>
      </c>
      <c r="B1156" s="2035"/>
      <c r="C1156" s="2035"/>
      <c r="D1156" s="2035"/>
      <c r="E1156" s="2035"/>
      <c r="F1156" s="2035"/>
      <c r="G1156" s="2035"/>
      <c r="H1156" s="2035"/>
      <c r="I1156" s="2035"/>
      <c r="J1156" s="1369">
        <f>SUM(J1150:J1155)</f>
        <v>585140.92000000004</v>
      </c>
      <c r="K1156" s="344">
        <v>102377.78</v>
      </c>
      <c r="L1156" s="81">
        <f>J1156-K1156</f>
        <v>482763.14</v>
      </c>
      <c r="M1156" s="81"/>
      <c r="N1156" s="340"/>
      <c r="O1156" s="1047"/>
      <c r="P1156" s="61"/>
      <c r="Q1156" s="61"/>
      <c r="R1156" s="61"/>
      <c r="S1156" s="61"/>
      <c r="T1156" s="61"/>
      <c r="U1156" s="61"/>
      <c r="V1156" s="61"/>
      <c r="W1156" s="61"/>
      <c r="X1156" s="61"/>
      <c r="Y1156" s="61"/>
      <c r="Z1156" s="61"/>
      <c r="AA1156" s="61"/>
      <c r="AB1156" s="61"/>
    </row>
    <row r="1157" spans="1:28" hidden="1" x14ac:dyDescent="0.25">
      <c r="A1157" s="1924" t="s">
        <v>514</v>
      </c>
      <c r="B1157" s="1925"/>
      <c r="C1157" s="1925"/>
      <c r="D1157" s="1925"/>
      <c r="E1157" s="1925"/>
      <c r="F1157" s="1925"/>
      <c r="G1157" s="1925"/>
      <c r="H1157" s="1925"/>
      <c r="I1157" s="1925"/>
      <c r="J1157" s="1925"/>
      <c r="K1157" s="87"/>
      <c r="L1157" s="87"/>
      <c r="M1157" s="354"/>
      <c r="N1157" s="354"/>
      <c r="O1157" s="1048"/>
      <c r="P1157" s="61"/>
      <c r="Q1157" s="61"/>
      <c r="R1157" s="61"/>
      <c r="S1157" s="61"/>
      <c r="T1157" s="61"/>
      <c r="U1157" s="61"/>
      <c r="V1157" s="61"/>
      <c r="W1157" s="61"/>
      <c r="X1157" s="61"/>
      <c r="Y1157" s="61"/>
      <c r="Z1157" s="61"/>
      <c r="AA1157" s="61"/>
      <c r="AB1157" s="61"/>
    </row>
    <row r="1158" spans="1:28" hidden="1" x14ac:dyDescent="0.25">
      <c r="A1158" s="1913" t="s">
        <v>1134</v>
      </c>
      <c r="B1158" s="1913"/>
      <c r="C1158" s="1913"/>
      <c r="D1158" s="1913"/>
      <c r="E1158" s="1913"/>
      <c r="F1158" s="1913"/>
      <c r="G1158" s="1913"/>
      <c r="H1158" s="1913"/>
      <c r="I1158" s="1913"/>
      <c r="J1158" s="1594">
        <v>0</v>
      </c>
      <c r="K1158" s="344"/>
      <c r="L1158" s="81"/>
      <c r="N1158" s="354"/>
      <c r="O1158" s="354"/>
      <c r="P1158" s="61"/>
      <c r="Q1158" s="61"/>
      <c r="R1158" s="61"/>
      <c r="S1158" s="61"/>
      <c r="T1158" s="61"/>
      <c r="U1158" s="61"/>
      <c r="V1158" s="61"/>
      <c r="W1158" s="61"/>
      <c r="X1158" s="61"/>
      <c r="Y1158" s="61"/>
      <c r="Z1158" s="61"/>
      <c r="AA1158" s="61"/>
      <c r="AB1158" s="61"/>
    </row>
    <row r="1159" spans="1:28" hidden="1" x14ac:dyDescent="0.25">
      <c r="A1159" s="1913" t="s">
        <v>153</v>
      </c>
      <c r="B1159" s="1913"/>
      <c r="C1159" s="1913"/>
      <c r="D1159" s="1913"/>
      <c r="E1159" s="1913"/>
      <c r="F1159" s="1913"/>
      <c r="G1159" s="1913"/>
      <c r="H1159" s="1913"/>
      <c r="I1159" s="1913"/>
      <c r="J1159" s="1594">
        <f>76383.19+297762.15+73363.12</f>
        <v>447508.46</v>
      </c>
      <c r="K1159" s="61"/>
      <c r="L1159" s="61"/>
      <c r="N1159" s="354"/>
      <c r="O1159" s="354"/>
      <c r="P1159" s="61"/>
      <c r="Q1159" s="61"/>
      <c r="R1159" s="61"/>
      <c r="S1159" s="61"/>
      <c r="T1159" s="61"/>
      <c r="U1159" s="61"/>
      <c r="V1159" s="61"/>
      <c r="W1159" s="61"/>
      <c r="X1159" s="61"/>
      <c r="Y1159" s="61"/>
      <c r="Z1159" s="61"/>
      <c r="AA1159" s="61"/>
      <c r="AB1159" s="61"/>
    </row>
    <row r="1160" spans="1:28" hidden="1" x14ac:dyDescent="0.25">
      <c r="A1160" s="1891" t="s">
        <v>619</v>
      </c>
      <c r="B1160" s="1891"/>
      <c r="C1160" s="1891"/>
      <c r="D1160" s="1891"/>
      <c r="E1160" s="1891"/>
      <c r="F1160" s="1891"/>
      <c r="G1160" s="1891"/>
      <c r="H1160" s="1891"/>
      <c r="I1160" s="1891"/>
      <c r="J1160" s="1588"/>
      <c r="K1160" s="344"/>
      <c r="L1160" s="81"/>
      <c r="N1160" s="354"/>
      <c r="O1160" s="354"/>
      <c r="P1160" s="61"/>
      <c r="Q1160" s="61"/>
      <c r="R1160" s="61"/>
      <c r="S1160" s="61"/>
      <c r="T1160" s="61"/>
      <c r="U1160" s="61"/>
      <c r="V1160" s="61"/>
      <c r="W1160" s="61"/>
      <c r="X1160" s="61"/>
      <c r="Y1160" s="61"/>
      <c r="Z1160" s="61"/>
      <c r="AA1160" s="61"/>
      <c r="AB1160" s="61"/>
    </row>
    <row r="1161" spans="1:28" ht="15" hidden="1" customHeight="1" x14ac:dyDescent="0.25">
      <c r="A1161" s="1891" t="s">
        <v>1147</v>
      </c>
      <c r="B1161" s="1891"/>
      <c r="C1161" s="1891"/>
      <c r="D1161" s="1891"/>
      <c r="E1161" s="1891"/>
      <c r="F1161" s="1891"/>
      <c r="G1161" s="1891"/>
      <c r="H1161" s="1891"/>
      <c r="I1161" s="1891"/>
      <c r="J1161" s="360"/>
      <c r="K1161" s="87"/>
      <c r="L1161" s="87"/>
      <c r="N1161" s="354"/>
      <c r="O1161" s="354"/>
      <c r="P1161" s="61"/>
      <c r="Q1161" s="61"/>
      <c r="R1161" s="61"/>
      <c r="S1161" s="61"/>
      <c r="T1161" s="61"/>
      <c r="U1161" s="61"/>
      <c r="V1161" s="61"/>
      <c r="W1161" s="61"/>
      <c r="X1161" s="61"/>
      <c r="Y1161" s="61"/>
      <c r="Z1161" s="61"/>
      <c r="AA1161" s="61"/>
      <c r="AB1161" s="61"/>
    </row>
    <row r="1162" spans="1:28" ht="15" customHeight="1" x14ac:dyDescent="0.25">
      <c r="A1162" s="1386"/>
      <c r="B1162" s="1387"/>
      <c r="C1162" s="1387"/>
      <c r="D1162" s="1387"/>
      <c r="E1162" s="1387"/>
      <c r="F1162" s="1387"/>
      <c r="G1162" s="1387"/>
      <c r="H1162" s="1387"/>
      <c r="I1162" s="1387"/>
      <c r="J1162" s="782"/>
      <c r="K1162" s="344">
        <f>K1110+K1122+K1146+K1156</f>
        <v>1715287.97</v>
      </c>
      <c r="L1162" s="354"/>
      <c r="M1162" s="1047"/>
      <c r="N1162" s="354"/>
      <c r="O1162" s="354"/>
      <c r="P1162" s="61"/>
      <c r="Q1162" s="61"/>
      <c r="R1162" s="61"/>
      <c r="S1162" s="61"/>
      <c r="T1162" s="61"/>
      <c r="U1162" s="61"/>
      <c r="V1162" s="61"/>
      <c r="W1162" s="61"/>
      <c r="X1162" s="61"/>
      <c r="Y1162" s="61"/>
      <c r="Z1162" s="61"/>
      <c r="AA1162" s="61"/>
      <c r="AB1162" s="61"/>
    </row>
    <row r="1163" spans="1:28" ht="30" hidden="1" x14ac:dyDescent="0.25">
      <c r="A1163" s="1630">
        <v>9</v>
      </c>
      <c r="B1163" s="1986" t="s">
        <v>1266</v>
      </c>
      <c r="C1163" s="1930"/>
      <c r="D1163" s="1930"/>
      <c r="E1163" s="1930"/>
      <c r="F1163" s="1175" t="s">
        <v>1679</v>
      </c>
      <c r="G1163" s="1612" t="s">
        <v>1645</v>
      </c>
      <c r="H1163" s="1176"/>
      <c r="I1163" s="1655">
        <v>2158.5720000000001</v>
      </c>
      <c r="J1163" s="1588">
        <f>H1163*I1163</f>
        <v>0</v>
      </c>
      <c r="K1163" s="87"/>
      <c r="L1163" s="87"/>
      <c r="M1163" s="1048"/>
      <c r="N1163" s="354"/>
      <c r="O1163" s="354"/>
      <c r="P1163" s="61"/>
      <c r="Q1163" s="61"/>
      <c r="R1163" s="61"/>
      <c r="S1163" s="61"/>
      <c r="T1163" s="61"/>
      <c r="U1163" s="61"/>
      <c r="V1163" s="61"/>
      <c r="W1163" s="61"/>
      <c r="X1163" s="61"/>
      <c r="Y1163" s="61"/>
      <c r="Z1163" s="61"/>
      <c r="AA1163" s="61"/>
      <c r="AB1163" s="61"/>
    </row>
    <row r="1164" spans="1:28" ht="15" hidden="1" customHeight="1" x14ac:dyDescent="0.25">
      <c r="A1164" s="2069" t="s">
        <v>39</v>
      </c>
      <c r="B1164" s="2069"/>
      <c r="C1164" s="2069"/>
      <c r="D1164" s="2069"/>
      <c r="E1164" s="2069"/>
      <c r="F1164" s="2069"/>
      <c r="G1164" s="1927" t="s">
        <v>82</v>
      </c>
      <c r="H1164" s="1704">
        <f>H1163</f>
        <v>0</v>
      </c>
      <c r="I1164" s="1192" t="s">
        <v>82</v>
      </c>
      <c r="J1164" s="1192">
        <f>SUM(J1163:J1163)</f>
        <v>0</v>
      </c>
      <c r="K1164" s="87"/>
      <c r="L1164" s="87"/>
      <c r="M1164" s="354"/>
      <c r="N1164" s="354"/>
      <c r="O1164" s="354"/>
      <c r="P1164" s="61"/>
      <c r="Q1164" s="61"/>
      <c r="R1164" s="61"/>
      <c r="S1164" s="61"/>
      <c r="T1164" s="61"/>
      <c r="U1164" s="61"/>
      <c r="V1164" s="61"/>
      <c r="W1164" s="61"/>
      <c r="X1164" s="61"/>
      <c r="Y1164" s="61"/>
      <c r="Z1164" s="61"/>
      <c r="AA1164" s="61"/>
      <c r="AB1164" s="61"/>
    </row>
    <row r="1165" spans="1:28" ht="15" hidden="1" customHeight="1" x14ac:dyDescent="0.25">
      <c r="A1165" s="1924" t="s">
        <v>514</v>
      </c>
      <c r="B1165" s="1925"/>
      <c r="C1165" s="1925"/>
      <c r="D1165" s="1925"/>
      <c r="E1165" s="1925"/>
      <c r="F1165" s="1925"/>
      <c r="G1165" s="1925"/>
      <c r="H1165" s="1925"/>
      <c r="I1165" s="1925"/>
      <c r="J1165" s="1925"/>
      <c r="K1165" s="87"/>
      <c r="L1165" s="87"/>
      <c r="M1165" s="354"/>
      <c r="N1165" s="354"/>
      <c r="O1165" s="354"/>
      <c r="P1165" s="61"/>
      <c r="Q1165" s="61"/>
      <c r="R1165" s="61"/>
      <c r="S1165" s="61"/>
      <c r="T1165" s="61"/>
      <c r="U1165" s="61"/>
      <c r="V1165" s="61"/>
      <c r="W1165" s="61"/>
      <c r="X1165" s="61"/>
      <c r="Y1165" s="61"/>
      <c r="Z1165" s="61"/>
      <c r="AA1165" s="61"/>
      <c r="AB1165" s="61"/>
    </row>
    <row r="1166" spans="1:28" ht="15" hidden="1" customHeight="1" x14ac:dyDescent="0.25">
      <c r="A1166" s="1913" t="s">
        <v>1134</v>
      </c>
      <c r="B1166" s="1913"/>
      <c r="C1166" s="1913"/>
      <c r="D1166" s="1913"/>
      <c r="E1166" s="1913"/>
      <c r="F1166" s="1913"/>
      <c r="G1166" s="1913"/>
      <c r="H1166" s="1913"/>
      <c r="I1166" s="1913"/>
      <c r="J1166" s="1594">
        <v>0</v>
      </c>
      <c r="K1166" s="87"/>
      <c r="L1166" s="87"/>
      <c r="M1166" s="354"/>
      <c r="N1166" s="354"/>
      <c r="O1166" s="354"/>
      <c r="P1166" s="61"/>
      <c r="Q1166" s="61"/>
      <c r="R1166" s="61"/>
      <c r="S1166" s="61"/>
      <c r="T1166" s="61"/>
      <c r="U1166" s="61"/>
      <c r="V1166" s="61"/>
      <c r="W1166" s="61"/>
      <c r="X1166" s="61"/>
      <c r="Y1166" s="61"/>
      <c r="Z1166" s="61"/>
      <c r="AA1166" s="61"/>
      <c r="AB1166" s="61"/>
    </row>
    <row r="1167" spans="1:28" ht="15" hidden="1" customHeight="1" x14ac:dyDescent="0.25">
      <c r="A1167" s="1953" t="s">
        <v>153</v>
      </c>
      <c r="B1167" s="1953"/>
      <c r="C1167" s="1953"/>
      <c r="D1167" s="1953"/>
      <c r="E1167" s="1953"/>
      <c r="F1167" s="1953"/>
      <c r="G1167" s="1953"/>
      <c r="H1167" s="1953"/>
      <c r="I1167" s="1953"/>
      <c r="J1167" s="1617">
        <v>321951.49</v>
      </c>
      <c r="K1167" s="87"/>
      <c r="L1167" s="354"/>
      <c r="M1167" s="354"/>
      <c r="N1167" s="354"/>
      <c r="O1167" s="354"/>
      <c r="P1167" s="61"/>
      <c r="Q1167" s="61"/>
      <c r="R1167" s="61"/>
      <c r="S1167" s="61"/>
      <c r="T1167" s="61"/>
      <c r="U1167" s="61"/>
      <c r="V1167" s="61"/>
      <c r="W1167" s="61"/>
      <c r="X1167" s="61"/>
      <c r="Y1167" s="61"/>
      <c r="Z1167" s="61"/>
      <c r="AA1167" s="61"/>
      <c r="AB1167" s="61"/>
    </row>
    <row r="1168" spans="1:28" ht="15" hidden="1" customHeight="1" x14ac:dyDescent="0.25">
      <c r="A1168" s="1775"/>
      <c r="B1168" s="1601"/>
      <c r="C1168" s="1601"/>
      <c r="D1168" s="1601"/>
      <c r="E1168" s="1601"/>
      <c r="F1168" s="1601"/>
      <c r="G1168" s="1601"/>
      <c r="H1168" s="1601"/>
      <c r="I1168" s="1601"/>
      <c r="J1168" s="98"/>
      <c r="K1168" s="87"/>
      <c r="L1168" s="354"/>
      <c r="M1168" s="354"/>
      <c r="N1168" s="354"/>
      <c r="O1168" s="354"/>
      <c r="P1168" s="61"/>
      <c r="Q1168" s="61"/>
      <c r="R1168" s="61"/>
      <c r="S1168" s="61"/>
      <c r="T1168" s="61"/>
      <c r="U1168" s="61"/>
      <c r="V1168" s="61"/>
      <c r="W1168" s="61"/>
      <c r="X1168" s="61"/>
      <c r="Y1168" s="61"/>
      <c r="Z1168" s="61"/>
      <c r="AA1168" s="61"/>
      <c r="AB1168" s="61"/>
    </row>
    <row r="1169" spans="1:28" ht="23.25" x14ac:dyDescent="0.25">
      <c r="A1169" s="1935" t="s">
        <v>118</v>
      </c>
      <c r="B1169" s="1935"/>
      <c r="C1169" s="1935"/>
      <c r="D1169" s="1935"/>
      <c r="E1169" s="1935"/>
      <c r="F1169" s="1935"/>
      <c r="G1169" s="1935"/>
      <c r="H1169" s="1935"/>
      <c r="I1169" s="1935"/>
      <c r="J1169" s="716">
        <f>J1156+J1146+J1122+J1110+J1097+J1074+J1066+J1040+J1007+J908+J895+J878+J865+J835+J802+J764+J744+J736+J722+J645+J636+J627+J614+J582+J573+J563+J554+J545+J536+J530+J524+J515+J506+J486+J470+J464+J444+J424+J410+J396+J389+J377+J366+J345+J333+J327+J321+J314+J304+J272+J261+J246+J234+J205+J191+J173+J164+J153+J143+J117+J98+J75+J67+J57+J44+J1085+J1030+J1019+J729+J713+J686+J669+J588</f>
        <v>391884218.75999999</v>
      </c>
      <c r="K1169" s="81" t="b">
        <f>J1169=J7</f>
        <v>1</v>
      </c>
      <c r="L1169" s="81">
        <f>J7</f>
        <v>391884218.75999999</v>
      </c>
      <c r="M1169" s="1776">
        <f>L1169-J1169</f>
        <v>0</v>
      </c>
      <c r="N1169" s="61"/>
      <c r="O1169" s="61"/>
      <c r="P1169" s="61"/>
      <c r="Q1169" s="61"/>
      <c r="R1169" s="61"/>
      <c r="S1169" s="61"/>
      <c r="T1169" s="61"/>
      <c r="U1169" s="61"/>
      <c r="V1169" s="61"/>
      <c r="W1169" s="61"/>
      <c r="X1169" s="61"/>
      <c r="Y1169" s="61"/>
      <c r="Z1169" s="61"/>
      <c r="AA1169" s="61"/>
      <c r="AB1169" s="61"/>
    </row>
    <row r="1170" spans="1:28" x14ac:dyDescent="0.25">
      <c r="K1170" s="70"/>
      <c r="M1170" s="61"/>
      <c r="N1170" s="61"/>
      <c r="O1170" s="61"/>
      <c r="P1170" s="61"/>
      <c r="Q1170" s="61"/>
      <c r="R1170" s="61"/>
      <c r="S1170" s="61"/>
      <c r="T1170" s="61"/>
      <c r="U1170" s="61"/>
      <c r="V1170" s="61"/>
      <c r="W1170" s="61"/>
      <c r="X1170" s="61"/>
      <c r="Y1170" s="61"/>
      <c r="Z1170" s="61"/>
      <c r="AA1170" s="61"/>
      <c r="AB1170" s="61"/>
    </row>
    <row r="1171" spans="1:28" hidden="1" x14ac:dyDescent="0.25">
      <c r="A1171" s="715" t="s">
        <v>610</v>
      </c>
      <c r="I1171" s="1931" t="s">
        <v>357</v>
      </c>
      <c r="J1171" s="1931"/>
      <c r="K1171" s="343"/>
      <c r="M1171" s="61"/>
      <c r="N1171" s="61"/>
      <c r="O1171" s="61"/>
      <c r="P1171" s="61"/>
      <c r="Q1171" s="61"/>
      <c r="R1171" s="61"/>
      <c r="S1171" s="61"/>
      <c r="T1171" s="61"/>
      <c r="U1171" s="61"/>
      <c r="V1171" s="61"/>
      <c r="W1171" s="61"/>
      <c r="X1171" s="61"/>
      <c r="Y1171" s="61"/>
      <c r="Z1171" s="61"/>
      <c r="AA1171" s="61"/>
      <c r="AB1171" s="61"/>
    </row>
    <row r="1172" spans="1:28" x14ac:dyDescent="0.25">
      <c r="A1172" s="715"/>
      <c r="J1172" s="1584"/>
      <c r="K1172" s="70"/>
      <c r="L1172" s="61"/>
      <c r="M1172" s="61"/>
      <c r="N1172" s="61"/>
      <c r="O1172" s="61"/>
      <c r="P1172" s="61"/>
      <c r="Q1172" s="61"/>
      <c r="R1172" s="61"/>
      <c r="S1172" s="61"/>
      <c r="T1172" s="61"/>
      <c r="U1172" s="61"/>
      <c r="V1172" s="61"/>
      <c r="W1172" s="61"/>
      <c r="X1172" s="61"/>
      <c r="Y1172" s="61"/>
      <c r="Z1172" s="61"/>
      <c r="AA1172" s="61"/>
      <c r="AB1172" s="61"/>
    </row>
    <row r="1173" spans="1:28" x14ac:dyDescent="0.25">
      <c r="A1173" s="715" t="s">
        <v>156</v>
      </c>
      <c r="I1173" s="1936" t="s">
        <v>729</v>
      </c>
      <c r="J1173" s="1936"/>
      <c r="K1173" s="61"/>
      <c r="L1173" s="61"/>
      <c r="M1173" s="61"/>
      <c r="N1173" s="61"/>
      <c r="O1173" s="61"/>
      <c r="P1173" s="61"/>
      <c r="Q1173" s="61"/>
      <c r="R1173" s="61"/>
      <c r="S1173" s="61"/>
      <c r="T1173" s="61"/>
      <c r="U1173" s="61"/>
      <c r="V1173" s="61"/>
      <c r="W1173" s="61"/>
      <c r="X1173" s="61"/>
      <c r="Y1173" s="61"/>
      <c r="Z1173" s="61"/>
      <c r="AA1173" s="61"/>
      <c r="AB1173" s="61"/>
    </row>
    <row r="1174" spans="1:28" x14ac:dyDescent="0.25">
      <c r="A1174" s="715"/>
      <c r="J1174" s="1583"/>
      <c r="K1174" s="61"/>
      <c r="L1174" s="61"/>
      <c r="M1174" s="61"/>
      <c r="N1174" s="61"/>
      <c r="O1174" s="61"/>
      <c r="P1174" s="61"/>
      <c r="Q1174" s="61"/>
      <c r="R1174" s="61"/>
      <c r="S1174" s="61"/>
      <c r="T1174" s="61"/>
      <c r="U1174" s="61"/>
      <c r="V1174" s="61"/>
      <c r="W1174" s="61"/>
      <c r="X1174" s="61"/>
      <c r="Y1174" s="61"/>
      <c r="Z1174" s="61"/>
      <c r="AA1174" s="61"/>
      <c r="AB1174" s="61"/>
    </row>
    <row r="1175" spans="1:28" x14ac:dyDescent="0.25">
      <c r="A1175" s="715" t="s">
        <v>117</v>
      </c>
      <c r="J1175" s="1583"/>
      <c r="K1175" s="61"/>
      <c r="L1175" s="61"/>
      <c r="M1175" s="61"/>
      <c r="N1175" s="61"/>
      <c r="O1175" s="61"/>
      <c r="P1175" s="61"/>
      <c r="Q1175" s="61"/>
      <c r="R1175" s="61"/>
      <c r="S1175" s="61"/>
      <c r="T1175" s="61"/>
      <c r="U1175" s="61"/>
      <c r="V1175" s="61"/>
      <c r="W1175" s="61"/>
      <c r="X1175" s="61"/>
      <c r="Y1175" s="61"/>
      <c r="Z1175" s="61"/>
      <c r="AA1175" s="61"/>
      <c r="AB1175" s="61"/>
    </row>
    <row r="1176" spans="1:28" ht="15" customHeight="1" x14ac:dyDescent="0.25">
      <c r="A1176" s="715" t="s">
        <v>1681</v>
      </c>
      <c r="I1176" s="1931" t="s">
        <v>243</v>
      </c>
      <c r="J1176" s="1931"/>
      <c r="K1176" s="61"/>
      <c r="L1176" s="61"/>
      <c r="M1176" s="61"/>
      <c r="N1176" s="61"/>
      <c r="O1176" s="61"/>
      <c r="P1176" s="61"/>
      <c r="Q1176" s="61"/>
      <c r="R1176" s="61"/>
      <c r="S1176" s="61"/>
      <c r="T1176" s="61"/>
      <c r="U1176" s="61"/>
      <c r="V1176" s="61"/>
      <c r="W1176" s="61"/>
      <c r="X1176" s="61"/>
      <c r="Y1176" s="61"/>
      <c r="Z1176" s="61"/>
      <c r="AA1176" s="61"/>
      <c r="AB1176" s="61"/>
    </row>
  </sheetData>
  <sheetProtection insertRows="0" deleteRows="0" autoFilter="0"/>
  <dataConsolidate link="1"/>
  <customSheetViews>
    <customSheetView guid="{D48DDD22-50B2-4457-BF85-D480CA857DEF}" scale="55" showPageBreaks="1" printArea="1" view="pageBreakPreview" topLeftCell="A194">
      <selection activeCell="P211" sqref="P211"/>
      <rowBreaks count="1" manualBreakCount="1">
        <brk id="84" max="11" man="1"/>
      </rowBreaks>
      <pageMargins left="0.39370078740157483" right="0.39370078740157483" top="0.39370078740157483" bottom="0.39370078740157483" header="0.31496062992125984" footer="0.31496062992125984"/>
      <printOptions horizontalCentered="1"/>
      <pageSetup paperSize="9" scale="20" fitToHeight="50" orientation="landscape" horizontalDpi="180" verticalDpi="180" r:id="rId1"/>
    </customSheetView>
    <customSheetView guid="{72E753B7-D2D9-4DC9-A137-A3016C33161E}" scale="70" showPageBreaks="1" fitToPage="1" printArea="1" view="pageBreakPreview" topLeftCell="A13">
      <selection activeCell="A30" sqref="A30:H31"/>
      <rowBreaks count="5" manualBreakCount="5">
        <brk id="27" max="16383" man="1"/>
        <brk id="145" max="16383" man="1"/>
        <brk id="162" max="16383" man="1"/>
        <brk id="178" max="16383" man="1"/>
        <brk id="240" max="16383" man="1"/>
      </rowBreaks>
      <pageMargins left="0.39370078740157483" right="0.39370078740157483" top="0.39370078740157483" bottom="0.39370078740157483" header="0.31496062992125984" footer="0.31496062992125984"/>
      <printOptions horizontalCentered="1"/>
      <pageSetup paperSize="9" scale="47" fitToHeight="50" orientation="portrait" horizontalDpi="180" verticalDpi="180" r:id="rId2"/>
    </customSheetView>
  </customSheetViews>
  <mergeCells count="1018">
    <mergeCell ref="A1080:A1081"/>
    <mergeCell ref="G1080:G1081"/>
    <mergeCell ref="H1080:J1080"/>
    <mergeCell ref="A1082:J1082"/>
    <mergeCell ref="B1083:F1083"/>
    <mergeCell ref="B1084:F1084"/>
    <mergeCell ref="A1085:G1085"/>
    <mergeCell ref="B1080:F1081"/>
    <mergeCell ref="A1117:A1118"/>
    <mergeCell ref="B1117:E1118"/>
    <mergeCell ref="F1117:F1118"/>
    <mergeCell ref="G1117:J1117"/>
    <mergeCell ref="A1126:I1126"/>
    <mergeCell ref="B1105:E1106"/>
    <mergeCell ref="F1105:F1106"/>
    <mergeCell ref="A1112:I1112"/>
    <mergeCell ref="B1119:E1121"/>
    <mergeCell ref="A1148:A1149"/>
    <mergeCell ref="B1148:E1149"/>
    <mergeCell ref="F1148:F1149"/>
    <mergeCell ref="G1148:J1148"/>
    <mergeCell ref="A1107:A1109"/>
    <mergeCell ref="A1110:I1110"/>
    <mergeCell ref="A1119:A1121"/>
    <mergeCell ref="A1122:I1122"/>
    <mergeCell ref="G1131:G1135"/>
    <mergeCell ref="A1131:A1135"/>
    <mergeCell ref="B1134:E1134"/>
    <mergeCell ref="B1131:E1131"/>
    <mergeCell ref="B1132:E1132"/>
    <mergeCell ref="B1133:E1133"/>
    <mergeCell ref="B1136:E1137"/>
    <mergeCell ref="B1138:E1139"/>
    <mergeCell ref="B1140:E1141"/>
    <mergeCell ref="B1142:E1143"/>
    <mergeCell ref="B1144:E1145"/>
    <mergeCell ref="A1129:A1130"/>
    <mergeCell ref="A1146:G1146"/>
    <mergeCell ref="A1127:I1127"/>
    <mergeCell ref="A1115:I1115"/>
    <mergeCell ref="B1135:E1135"/>
    <mergeCell ref="B1129:E1130"/>
    <mergeCell ref="F1129:F1130"/>
    <mergeCell ref="A884:J884"/>
    <mergeCell ref="A837:J837"/>
    <mergeCell ref="H819:J819"/>
    <mergeCell ref="A807:A808"/>
    <mergeCell ref="B760:F760"/>
    <mergeCell ref="G756:G757"/>
    <mergeCell ref="B756:F757"/>
    <mergeCell ref="B758:F758"/>
    <mergeCell ref="B742:F742"/>
    <mergeCell ref="G739:G740"/>
    <mergeCell ref="H780:J780"/>
    <mergeCell ref="A788:I788"/>
    <mergeCell ref="A787:I787"/>
    <mergeCell ref="A780:A781"/>
    <mergeCell ref="A786:I786"/>
    <mergeCell ref="B832:F832"/>
    <mergeCell ref="B833:F833"/>
    <mergeCell ref="B834:F834"/>
    <mergeCell ref="A813:G813"/>
    <mergeCell ref="H807:J807"/>
    <mergeCell ref="B811:F811"/>
    <mergeCell ref="G807:G808"/>
    <mergeCell ref="G819:G820"/>
    <mergeCell ref="A821:I821"/>
    <mergeCell ref="B830:F830"/>
    <mergeCell ref="B741:F741"/>
    <mergeCell ref="B762:F762"/>
    <mergeCell ref="A770:A771"/>
    <mergeCell ref="B770:F771"/>
    <mergeCell ref="G770:G771"/>
    <mergeCell ref="A794:A795"/>
    <mergeCell ref="B794:F795"/>
    <mergeCell ref="A414:I414"/>
    <mergeCell ref="A428:I428"/>
    <mergeCell ref="A274:I274"/>
    <mergeCell ref="A170:A171"/>
    <mergeCell ref="B170:G171"/>
    <mergeCell ref="G716:G717"/>
    <mergeCell ref="H770:J770"/>
    <mergeCell ref="B772:F772"/>
    <mergeCell ref="A736:G736"/>
    <mergeCell ref="B418:D419"/>
    <mergeCell ref="E418:E419"/>
    <mergeCell ref="B422:D422"/>
    <mergeCell ref="A447:A448"/>
    <mergeCell ref="B761:F761"/>
    <mergeCell ref="B749:F749"/>
    <mergeCell ref="B759:F759"/>
    <mergeCell ref="B810:F810"/>
    <mergeCell ref="B562:I562"/>
    <mergeCell ref="B572:I572"/>
    <mergeCell ref="A902:A903"/>
    <mergeCell ref="B916:F916"/>
    <mergeCell ref="A895:G895"/>
    <mergeCell ref="B854:F854"/>
    <mergeCell ref="B855:F855"/>
    <mergeCell ref="B856:F856"/>
    <mergeCell ref="A896:I896"/>
    <mergeCell ref="B809:F809"/>
    <mergeCell ref="B37:I37"/>
    <mergeCell ref="A44:I44"/>
    <mergeCell ref="A64:A65"/>
    <mergeCell ref="B64:F65"/>
    <mergeCell ref="G64:J64"/>
    <mergeCell ref="B66:F66"/>
    <mergeCell ref="B54:I54"/>
    <mergeCell ref="B55:I55"/>
    <mergeCell ref="B56:I56"/>
    <mergeCell ref="B53:I53"/>
    <mergeCell ref="B39:I39"/>
    <mergeCell ref="B40:I40"/>
    <mergeCell ref="B41:I41"/>
    <mergeCell ref="B42:I42"/>
    <mergeCell ref="B43:I43"/>
    <mergeCell ref="A93:A94"/>
    <mergeCell ref="A114:A115"/>
    <mergeCell ref="B105:F106"/>
    <mergeCell ref="A131:A132"/>
    <mergeCell ref="B801:F801"/>
    <mergeCell ref="A802:G802"/>
    <mergeCell ref="H170:J170"/>
    <mergeCell ref="A173:I173"/>
    <mergeCell ref="B632:F632"/>
    <mergeCell ref="B876:F876"/>
    <mergeCell ref="B877:F877"/>
    <mergeCell ref="A878:I878"/>
    <mergeCell ref="B822:F822"/>
    <mergeCell ref="B857:F857"/>
    <mergeCell ref="B858:F858"/>
    <mergeCell ref="B859:F859"/>
    <mergeCell ref="B875:F875"/>
    <mergeCell ref="A819:A820"/>
    <mergeCell ref="B819:F820"/>
    <mergeCell ref="B735:F735"/>
    <mergeCell ref="B807:F808"/>
    <mergeCell ref="A764:G764"/>
    <mergeCell ref="G780:G781"/>
    <mergeCell ref="A753:G753"/>
    <mergeCell ref="B752:F752"/>
    <mergeCell ref="H756:J756"/>
    <mergeCell ref="H739:J739"/>
    <mergeCell ref="G794:G795"/>
    <mergeCell ref="H794:J794"/>
    <mergeCell ref="B796:F796"/>
    <mergeCell ref="B797:F797"/>
    <mergeCell ref="B798:F798"/>
    <mergeCell ref="B799:F799"/>
    <mergeCell ref="B800:F800"/>
    <mergeCell ref="B812:F812"/>
    <mergeCell ref="B455:E455"/>
    <mergeCell ref="B457:E457"/>
    <mergeCell ref="B451:E451"/>
    <mergeCell ref="B452:E452"/>
    <mergeCell ref="B491:F492"/>
    <mergeCell ref="A545:I545"/>
    <mergeCell ref="A466:H466"/>
    <mergeCell ref="A467:A468"/>
    <mergeCell ref="B467:E468"/>
    <mergeCell ref="F467:F468"/>
    <mergeCell ref="G467:J467"/>
    <mergeCell ref="B469:E469"/>
    <mergeCell ref="A470:I470"/>
    <mergeCell ref="A518:A519"/>
    <mergeCell ref="G491:G492"/>
    <mergeCell ref="H491:J491"/>
    <mergeCell ref="A476:A477"/>
    <mergeCell ref="B476:F477"/>
    <mergeCell ref="G476:J476"/>
    <mergeCell ref="B480:F480"/>
    <mergeCell ref="B523:F523"/>
    <mergeCell ref="A527:A528"/>
    <mergeCell ref="B527:F528"/>
    <mergeCell ref="G527:G528"/>
    <mergeCell ref="H527:J527"/>
    <mergeCell ref="A496:J496"/>
    <mergeCell ref="B521:F521"/>
    <mergeCell ref="B522:F522"/>
    <mergeCell ref="A483:I483"/>
    <mergeCell ref="B447:E448"/>
    <mergeCell ref="F447:F448"/>
    <mergeCell ref="B454:E454"/>
    <mergeCell ref="A443:F443"/>
    <mergeCell ref="B435:F435"/>
    <mergeCell ref="B460:E460"/>
    <mergeCell ref="H597:J597"/>
    <mergeCell ref="B551:F551"/>
    <mergeCell ref="A582:G582"/>
    <mergeCell ref="B552:F552"/>
    <mergeCell ref="B462:E462"/>
    <mergeCell ref="H502:J502"/>
    <mergeCell ref="B504:F504"/>
    <mergeCell ref="B463:E463"/>
    <mergeCell ref="A491:A492"/>
    <mergeCell ref="A464:I464"/>
    <mergeCell ref="B578:F579"/>
    <mergeCell ref="A592:I592"/>
    <mergeCell ref="A563:G563"/>
    <mergeCell ref="A578:A579"/>
    <mergeCell ref="B461:E461"/>
    <mergeCell ref="A479:A480"/>
    <mergeCell ref="B450:E450"/>
    <mergeCell ref="A484:J484"/>
    <mergeCell ref="A486:I486"/>
    <mergeCell ref="A488:I488"/>
    <mergeCell ref="A533:A534"/>
    <mergeCell ref="B533:E534"/>
    <mergeCell ref="F533:F534"/>
    <mergeCell ref="G533:J533"/>
    <mergeCell ref="A502:A503"/>
    <mergeCell ref="G447:J447"/>
    <mergeCell ref="A273:J273"/>
    <mergeCell ref="A295:J295"/>
    <mergeCell ref="G354:H354"/>
    <mergeCell ref="A346:J346"/>
    <mergeCell ref="A349:I349"/>
    <mergeCell ref="A281:J281"/>
    <mergeCell ref="A280:G280"/>
    <mergeCell ref="B312:F312"/>
    <mergeCell ref="F330:F331"/>
    <mergeCell ref="A317:A318"/>
    <mergeCell ref="B309:F309"/>
    <mergeCell ref="A327:I327"/>
    <mergeCell ref="G330:J330"/>
    <mergeCell ref="B310:F310"/>
    <mergeCell ref="B296:E296"/>
    <mergeCell ref="F299:F300"/>
    <mergeCell ref="A301:J301"/>
    <mergeCell ref="A299:A300"/>
    <mergeCell ref="B303:E303"/>
    <mergeCell ref="A293:A294"/>
    <mergeCell ref="F293:J293"/>
    <mergeCell ref="A282:I282"/>
    <mergeCell ref="A287:I287"/>
    <mergeCell ref="B279:E279"/>
    <mergeCell ref="A341:A342"/>
    <mergeCell ref="A333:I333"/>
    <mergeCell ref="B332:E332"/>
    <mergeCell ref="A334:J334"/>
    <mergeCell ref="A276:I276"/>
    <mergeCell ref="A275:I275"/>
    <mergeCell ref="B311:F311"/>
    <mergeCell ref="B293:E294"/>
    <mergeCell ref="A1:J1"/>
    <mergeCell ref="A158:A159"/>
    <mergeCell ref="A3:J3"/>
    <mergeCell ref="A120:J120"/>
    <mergeCell ref="A12:I12"/>
    <mergeCell ref="A13:I13"/>
    <mergeCell ref="A16:I16"/>
    <mergeCell ref="A17:I17"/>
    <mergeCell ref="A18:I18"/>
    <mergeCell ref="E22:I22"/>
    <mergeCell ref="B107:F107"/>
    <mergeCell ref="B50:I50"/>
    <mergeCell ref="B93:G94"/>
    <mergeCell ref="A104:J104"/>
    <mergeCell ref="B96:G96"/>
    <mergeCell ref="B52:I52"/>
    <mergeCell ref="H93:J93"/>
    <mergeCell ref="A123:J123"/>
    <mergeCell ref="A79:J79"/>
    <mergeCell ref="A98:G98"/>
    <mergeCell ref="H158:J158"/>
    <mergeCell ref="A92:J92"/>
    <mergeCell ref="A143:I143"/>
    <mergeCell ref="B38:I38"/>
    <mergeCell ref="A67:I67"/>
    <mergeCell ref="A147:A148"/>
    <mergeCell ref="B147:G148"/>
    <mergeCell ref="B72:F73"/>
    <mergeCell ref="A72:A73"/>
    <mergeCell ref="A35:A36"/>
    <mergeCell ref="B35:I36"/>
    <mergeCell ref="J35:J36"/>
    <mergeCell ref="A121:J121"/>
    <mergeCell ref="B140:G141"/>
    <mergeCell ref="A140:A141"/>
    <mergeCell ref="A119:J119"/>
    <mergeCell ref="A117:I117"/>
    <mergeCell ref="H114:J114"/>
    <mergeCell ref="B114:G115"/>
    <mergeCell ref="A412:I412"/>
    <mergeCell ref="A413:I413"/>
    <mergeCell ref="A429:I429"/>
    <mergeCell ref="B453:E453"/>
    <mergeCell ref="G418:J418"/>
    <mergeCell ref="B440:F440"/>
    <mergeCell ref="A444:F444"/>
    <mergeCell ref="A425:J425"/>
    <mergeCell ref="A427:I427"/>
    <mergeCell ref="A418:A419"/>
    <mergeCell ref="F418:F419"/>
    <mergeCell ref="A420:J420"/>
    <mergeCell ref="A415:I415"/>
    <mergeCell ref="A438:F438"/>
    <mergeCell ref="A439:I439"/>
    <mergeCell ref="B437:F437"/>
    <mergeCell ref="A432:A433"/>
    <mergeCell ref="B432:F433"/>
    <mergeCell ref="G432:J432"/>
    <mergeCell ref="A434:I434"/>
    <mergeCell ref="A426:I426"/>
    <mergeCell ref="B436:F436"/>
    <mergeCell ref="B441:F441"/>
    <mergeCell ref="B442:F442"/>
    <mergeCell ref="A235:J235"/>
    <mergeCell ref="A449:F449"/>
    <mergeCell ref="B423:D423"/>
    <mergeCell ref="A401:I401"/>
    <mergeCell ref="A403:I403"/>
    <mergeCell ref="A411:J411"/>
    <mergeCell ref="B374:E375"/>
    <mergeCell ref="A371:I371"/>
    <mergeCell ref="A384:H384"/>
    <mergeCell ref="B393:E394"/>
    <mergeCell ref="B385:E386"/>
    <mergeCell ref="F393:F394"/>
    <mergeCell ref="A392:H392"/>
    <mergeCell ref="A397:J397"/>
    <mergeCell ref="A396:I396"/>
    <mergeCell ref="A400:I400"/>
    <mergeCell ref="A399:I399"/>
    <mergeCell ref="B395:E395"/>
    <mergeCell ref="A398:I398"/>
    <mergeCell ref="A410:I410"/>
    <mergeCell ref="A377:I377"/>
    <mergeCell ref="B387:E387"/>
    <mergeCell ref="B388:E388"/>
    <mergeCell ref="B405:D406"/>
    <mergeCell ref="E405:E406"/>
    <mergeCell ref="B409:D409"/>
    <mergeCell ref="F405:F406"/>
    <mergeCell ref="A407:J407"/>
    <mergeCell ref="A405:A406"/>
    <mergeCell ref="G405:J405"/>
    <mergeCell ref="A373:H373"/>
    <mergeCell ref="A424:I424"/>
    <mergeCell ref="A374:A375"/>
    <mergeCell ref="I1176:J1176"/>
    <mergeCell ref="A882:A883"/>
    <mergeCell ref="I1171:J1171"/>
    <mergeCell ref="A1169:I1169"/>
    <mergeCell ref="I1173:J1173"/>
    <mergeCell ref="H992:J992"/>
    <mergeCell ref="G992:G993"/>
    <mergeCell ref="A1007:G1007"/>
    <mergeCell ref="A992:A993"/>
    <mergeCell ref="B992:F993"/>
    <mergeCell ref="B938:F938"/>
    <mergeCell ref="B939:F939"/>
    <mergeCell ref="A908:I908"/>
    <mergeCell ref="B981:F981"/>
    <mergeCell ref="B973:F973"/>
    <mergeCell ref="B970:F970"/>
    <mergeCell ref="B980:F980"/>
    <mergeCell ref="B1163:E1163"/>
    <mergeCell ref="B1001:F1001"/>
    <mergeCell ref="B1057:F1057"/>
    <mergeCell ref="B1050:F1050"/>
    <mergeCell ref="B1051:F1051"/>
    <mergeCell ref="B963:F963"/>
    <mergeCell ref="B936:F936"/>
    <mergeCell ref="B931:F931"/>
    <mergeCell ref="B932:F932"/>
    <mergeCell ref="A904:I904"/>
    <mergeCell ref="H968:J968"/>
    <mergeCell ref="B952:F952"/>
    <mergeCell ref="B927:F927"/>
    <mergeCell ref="B929:F929"/>
    <mergeCell ref="B930:F930"/>
    <mergeCell ref="F362:F363"/>
    <mergeCell ref="A368:I368"/>
    <mergeCell ref="G362:J362"/>
    <mergeCell ref="B364:E364"/>
    <mergeCell ref="B330:E331"/>
    <mergeCell ref="A350:I350"/>
    <mergeCell ref="A335:I335"/>
    <mergeCell ref="A348:I348"/>
    <mergeCell ref="B341:E342"/>
    <mergeCell ref="A352:H352"/>
    <mergeCell ref="A345:I345"/>
    <mergeCell ref="A330:A331"/>
    <mergeCell ref="A353:A354"/>
    <mergeCell ref="A338:I338"/>
    <mergeCell ref="A336:I336"/>
    <mergeCell ref="H201:J201"/>
    <mergeCell ref="B267:E268"/>
    <mergeCell ref="F267:F268"/>
    <mergeCell ref="A251:I251"/>
    <mergeCell ref="A234:I234"/>
    <mergeCell ref="A337:I337"/>
    <mergeCell ref="A242:A243"/>
    <mergeCell ref="B233:I233"/>
    <mergeCell ref="A236:I236"/>
    <mergeCell ref="A277:I277"/>
    <mergeCell ref="A205:G205"/>
    <mergeCell ref="G213:J213"/>
    <mergeCell ref="B215:F216"/>
    <mergeCell ref="B213:F214"/>
    <mergeCell ref="G267:J267"/>
    <mergeCell ref="A217:G217"/>
    <mergeCell ref="A213:A214"/>
    <mergeCell ref="A361:H361"/>
    <mergeCell ref="A359:I359"/>
    <mergeCell ref="A357:J357"/>
    <mergeCell ref="A191:I191"/>
    <mergeCell ref="A237:I237"/>
    <mergeCell ref="A356:I356"/>
    <mergeCell ref="F341:F342"/>
    <mergeCell ref="A347:I347"/>
    <mergeCell ref="A358:I358"/>
    <mergeCell ref="B343:E343"/>
    <mergeCell ref="A393:A394"/>
    <mergeCell ref="G393:J393"/>
    <mergeCell ref="A378:J378"/>
    <mergeCell ref="G355:H355"/>
    <mergeCell ref="B376:E376"/>
    <mergeCell ref="A366:I366"/>
    <mergeCell ref="A367:J367"/>
    <mergeCell ref="A369:I369"/>
    <mergeCell ref="A382:I382"/>
    <mergeCell ref="A379:I379"/>
    <mergeCell ref="A380:I380"/>
    <mergeCell ref="B355:E355"/>
    <mergeCell ref="A362:A363"/>
    <mergeCell ref="A370:I370"/>
    <mergeCell ref="B365:E365"/>
    <mergeCell ref="A340:H340"/>
    <mergeCell ref="G341:J341"/>
    <mergeCell ref="B353:E354"/>
    <mergeCell ref="B344:E344"/>
    <mergeCell ref="F353:F354"/>
    <mergeCell ref="G353:J353"/>
    <mergeCell ref="B324:E325"/>
    <mergeCell ref="P4:P5"/>
    <mergeCell ref="F183:J183"/>
    <mergeCell ref="A14:I14"/>
    <mergeCell ref="B51:I51"/>
    <mergeCell ref="A15:I15"/>
    <mergeCell ref="P9:P13"/>
    <mergeCell ref="B131:I132"/>
    <mergeCell ref="B133:I133"/>
    <mergeCell ref="A134:I134"/>
    <mergeCell ref="G105:J105"/>
    <mergeCell ref="A10:I10"/>
    <mergeCell ref="A11:I11"/>
    <mergeCell ref="B49:I49"/>
    <mergeCell ref="K120:M120"/>
    <mergeCell ref="K122:M122"/>
    <mergeCell ref="B158:G159"/>
    <mergeCell ref="B95:G95"/>
    <mergeCell ref="A105:A106"/>
    <mergeCell ref="H147:J147"/>
    <mergeCell ref="B149:G149"/>
    <mergeCell ref="B150:G150"/>
    <mergeCell ref="B151:G151"/>
    <mergeCell ref="B152:G152"/>
    <mergeCell ref="A57:I57"/>
    <mergeCell ref="A108:F108"/>
    <mergeCell ref="A122:J122"/>
    <mergeCell ref="G72:J72"/>
    <mergeCell ref="H140:J140"/>
    <mergeCell ref="A75:I75"/>
    <mergeCell ref="A153:I153"/>
    <mergeCell ref="B97:G97"/>
    <mergeCell ref="A9:I9"/>
    <mergeCell ref="A304:I304"/>
    <mergeCell ref="G324:J324"/>
    <mergeCell ref="A307:A308"/>
    <mergeCell ref="B307:F308"/>
    <mergeCell ref="A285:I285"/>
    <mergeCell ref="B185:E185"/>
    <mergeCell ref="A186:E186"/>
    <mergeCell ref="F185:G185"/>
    <mergeCell ref="B245:E245"/>
    <mergeCell ref="A246:I246"/>
    <mergeCell ref="A247:J247"/>
    <mergeCell ref="A248:I248"/>
    <mergeCell ref="A250:I250"/>
    <mergeCell ref="G299:G300"/>
    <mergeCell ref="A314:I314"/>
    <mergeCell ref="A324:A325"/>
    <mergeCell ref="A283:I283"/>
    <mergeCell ref="A284:I284"/>
    <mergeCell ref="A201:A202"/>
    <mergeCell ref="F242:F243"/>
    <mergeCell ref="G229:J229"/>
    <mergeCell ref="A249:I249"/>
    <mergeCell ref="A231:J231"/>
    <mergeCell ref="F229:F230"/>
    <mergeCell ref="A244:J244"/>
    <mergeCell ref="G242:J242"/>
    <mergeCell ref="A238:I238"/>
    <mergeCell ref="A229:A230"/>
    <mergeCell ref="A288:I288"/>
    <mergeCell ref="B269:E271"/>
    <mergeCell ref="A269:A271"/>
    <mergeCell ref="A272:I272"/>
    <mergeCell ref="A495:I495"/>
    <mergeCell ref="B493:F493"/>
    <mergeCell ref="A506:G506"/>
    <mergeCell ref="A509:A510"/>
    <mergeCell ref="B509:F510"/>
    <mergeCell ref="G509:G510"/>
    <mergeCell ref="H509:J509"/>
    <mergeCell ref="A511:I511"/>
    <mergeCell ref="B512:F512"/>
    <mergeCell ref="G502:G503"/>
    <mergeCell ref="B494:F494"/>
    <mergeCell ref="A530:I530"/>
    <mergeCell ref="B505:F505"/>
    <mergeCell ref="B529:F529"/>
    <mergeCell ref="B630:F631"/>
    <mergeCell ref="G630:G631"/>
    <mergeCell ref="B633:F633"/>
    <mergeCell ref="B611:F611"/>
    <mergeCell ref="H621:J621"/>
    <mergeCell ref="A603:I603"/>
    <mergeCell ref="B612:F612"/>
    <mergeCell ref="A597:A598"/>
    <mergeCell ref="A630:A631"/>
    <mergeCell ref="B502:F503"/>
    <mergeCell ref="B600:F600"/>
    <mergeCell ref="B599:F599"/>
    <mergeCell ref="G609:J609"/>
    <mergeCell ref="B597:F598"/>
    <mergeCell ref="A609:A610"/>
    <mergeCell ref="A602:J602"/>
    <mergeCell ref="A568:A569"/>
    <mergeCell ref="H747:J747"/>
    <mergeCell ref="G732:G733"/>
    <mergeCell ref="A785:I785"/>
    <mergeCell ref="B782:F782"/>
    <mergeCell ref="A783:G783"/>
    <mergeCell ref="B780:F781"/>
    <mergeCell ref="A784:J784"/>
    <mergeCell ref="B561:D561"/>
    <mergeCell ref="B553:I553"/>
    <mergeCell ref="B560:D560"/>
    <mergeCell ref="G549:G550"/>
    <mergeCell ref="H549:J549"/>
    <mergeCell ref="A554:G554"/>
    <mergeCell ref="H518:J518"/>
    <mergeCell ref="A520:I520"/>
    <mergeCell ref="A614:G614"/>
    <mergeCell ref="A549:A550"/>
    <mergeCell ref="B549:F550"/>
    <mergeCell ref="B641:F641"/>
    <mergeCell ref="B672:F673"/>
    <mergeCell ref="B558:D559"/>
    <mergeCell ref="E558:J558"/>
    <mergeCell ref="A635:F635"/>
    <mergeCell ref="A650:I650"/>
    <mergeCell ref="A524:I524"/>
    <mergeCell ref="G689:G690"/>
    <mergeCell ref="H689:J689"/>
    <mergeCell ref="B639:F640"/>
    <mergeCell ref="A672:A673"/>
    <mergeCell ref="A639:A640"/>
    <mergeCell ref="G639:G640"/>
    <mergeCell ref="B651:F651"/>
    <mergeCell ref="B642:F642"/>
    <mergeCell ref="B644:F644"/>
    <mergeCell ref="A645:G645"/>
    <mergeCell ref="B643:F643"/>
    <mergeCell ref="G672:G673"/>
    <mergeCell ref="G578:G579"/>
    <mergeCell ref="G597:G598"/>
    <mergeCell ref="A601:G601"/>
    <mergeCell ref="A621:A622"/>
    <mergeCell ref="B621:F622"/>
    <mergeCell ref="A627:G627"/>
    <mergeCell ref="A623:I623"/>
    <mergeCell ref="B625:F625"/>
    <mergeCell ref="A604:I604"/>
    <mergeCell ref="B624:F624"/>
    <mergeCell ref="B654:F654"/>
    <mergeCell ref="B655:F655"/>
    <mergeCell ref="B652:F652"/>
    <mergeCell ref="A636:G636"/>
    <mergeCell ref="B1107:E1109"/>
    <mergeCell ref="A1074:I1074"/>
    <mergeCell ref="A1071:I1071"/>
    <mergeCell ref="B1072:F1072"/>
    <mergeCell ref="B1073:F1073"/>
    <mergeCell ref="A1068:J1068"/>
    <mergeCell ref="A1069:A1070"/>
    <mergeCell ref="B1035:F1035"/>
    <mergeCell ref="A1033:A1034"/>
    <mergeCell ref="B1033:F1034"/>
    <mergeCell ref="H977:J977"/>
    <mergeCell ref="B979:F979"/>
    <mergeCell ref="A985:A986"/>
    <mergeCell ref="O568:Q568"/>
    <mergeCell ref="O569:Q569"/>
    <mergeCell ref="O570:Q570"/>
    <mergeCell ref="N571:V571"/>
    <mergeCell ref="B570:D570"/>
    <mergeCell ref="B571:D571"/>
    <mergeCell ref="B568:D569"/>
    <mergeCell ref="A573:G573"/>
    <mergeCell ref="G621:G622"/>
    <mergeCell ref="A725:A726"/>
    <mergeCell ref="B725:F726"/>
    <mergeCell ref="G725:G726"/>
    <mergeCell ref="H725:J725"/>
    <mergeCell ref="A727:I727"/>
    <mergeCell ref="B919:F919"/>
    <mergeCell ref="B958:F958"/>
    <mergeCell ref="B920:F920"/>
    <mergeCell ref="B959:F959"/>
    <mergeCell ref="B961:F961"/>
    <mergeCell ref="B479:F479"/>
    <mergeCell ref="A1159:I1159"/>
    <mergeCell ref="A1123:J1123"/>
    <mergeCell ref="A497:I497"/>
    <mergeCell ref="A498:I498"/>
    <mergeCell ref="A499:I499"/>
    <mergeCell ref="G882:G883"/>
    <mergeCell ref="A982:I982"/>
    <mergeCell ref="G985:G986"/>
    <mergeCell ref="H985:J985"/>
    <mergeCell ref="B987:F987"/>
    <mergeCell ref="B955:F955"/>
    <mergeCell ref="B918:F918"/>
    <mergeCell ref="B922:F922"/>
    <mergeCell ref="B1065:F1065"/>
    <mergeCell ref="A558:A559"/>
    <mergeCell ref="B613:F613"/>
    <mergeCell ref="E568:J568"/>
    <mergeCell ref="B580:F580"/>
    <mergeCell ref="H578:J578"/>
    <mergeCell ref="B609:F610"/>
    <mergeCell ref="A590:J590"/>
    <mergeCell ref="A591:I591"/>
    <mergeCell ref="H630:J630"/>
    <mergeCell ref="B626:F626"/>
    <mergeCell ref="B581:F581"/>
    <mergeCell ref="H1033:J1033"/>
    <mergeCell ref="B1052:F1052"/>
    <mergeCell ref="B1059:F1059"/>
    <mergeCell ref="B1053:F1053"/>
    <mergeCell ref="B1054:F1054"/>
    <mergeCell ref="B1055:F1055"/>
    <mergeCell ref="A1160:I1160"/>
    <mergeCell ref="A1161:I1161"/>
    <mergeCell ref="A1113:I1113"/>
    <mergeCell ref="A1157:J1157"/>
    <mergeCell ref="A965:I965"/>
    <mergeCell ref="B960:F960"/>
    <mergeCell ref="A1158:I1158"/>
    <mergeCell ref="H902:J902"/>
    <mergeCell ref="H639:J639"/>
    <mergeCell ref="G1033:G1034"/>
    <mergeCell ref="B1036:F1036"/>
    <mergeCell ref="A1105:A1106"/>
    <mergeCell ref="G1105:J1105"/>
    <mergeCell ref="A1040:G1040"/>
    <mergeCell ref="A1114:I1114"/>
    <mergeCell ref="A1039:F1039"/>
    <mergeCell ref="A1111:J1111"/>
    <mergeCell ref="B675:F675"/>
    <mergeCell ref="A722:G722"/>
    <mergeCell ref="B721:F721"/>
    <mergeCell ref="B734:F734"/>
    <mergeCell ref="H716:J716"/>
    <mergeCell ref="B720:F720"/>
    <mergeCell ref="H732:J732"/>
    <mergeCell ref="B676:F676"/>
    <mergeCell ref="B677:F677"/>
    <mergeCell ref="B716:F717"/>
    <mergeCell ref="A689:A690"/>
    <mergeCell ref="B689:F690"/>
    <mergeCell ref="B827:F827"/>
    <mergeCell ref="H672:J672"/>
    <mergeCell ref="A669:G669"/>
    <mergeCell ref="A1167:I1167"/>
    <mergeCell ref="A1164:G1164"/>
    <mergeCell ref="A1165:J1165"/>
    <mergeCell ref="A1124:I1124"/>
    <mergeCell ref="A1125:I1125"/>
    <mergeCell ref="B956:F956"/>
    <mergeCell ref="B957:F957"/>
    <mergeCell ref="B937:F937"/>
    <mergeCell ref="B940:F940"/>
    <mergeCell ref="B941:F941"/>
    <mergeCell ref="B942:F942"/>
    <mergeCell ref="B943:F943"/>
    <mergeCell ref="B944:F944"/>
    <mergeCell ref="B962:F962"/>
    <mergeCell ref="B947:F947"/>
    <mergeCell ref="B948:F948"/>
    <mergeCell ref="B995:F995"/>
    <mergeCell ref="B996:F996"/>
    <mergeCell ref="B997:F997"/>
    <mergeCell ref="B998:F998"/>
    <mergeCell ref="B999:F999"/>
    <mergeCell ref="B1000:F1000"/>
    <mergeCell ref="B1002:F1002"/>
    <mergeCell ref="A1166:I1166"/>
    <mergeCell ref="A977:A978"/>
    <mergeCell ref="B1037:F1037"/>
    <mergeCell ref="B1038:F1038"/>
    <mergeCell ref="A1022:A1023"/>
    <mergeCell ref="B1022:F1023"/>
    <mergeCell ref="G1022:G1023"/>
    <mergeCell ref="H1022:J1022"/>
    <mergeCell ref="A1024:I1024"/>
    <mergeCell ref="M772:N772"/>
    <mergeCell ref="B773:F773"/>
    <mergeCell ref="A774:G774"/>
    <mergeCell ref="B840:F840"/>
    <mergeCell ref="B841:F841"/>
    <mergeCell ref="B945:F945"/>
    <mergeCell ref="B971:F971"/>
    <mergeCell ref="B842:F842"/>
    <mergeCell ref="B843:F843"/>
    <mergeCell ref="B844:F844"/>
    <mergeCell ref="B845:F845"/>
    <mergeCell ref="B846:F846"/>
    <mergeCell ref="B847:F847"/>
    <mergeCell ref="B848:F848"/>
    <mergeCell ref="B849:F849"/>
    <mergeCell ref="B850:F850"/>
    <mergeCell ref="B851:F851"/>
    <mergeCell ref="B852:F852"/>
    <mergeCell ref="B853:F853"/>
    <mergeCell ref="B874:F874"/>
    <mergeCell ref="A911:A912"/>
    <mergeCell ref="B954:F954"/>
    <mergeCell ref="B823:F823"/>
    <mergeCell ref="B824:F824"/>
    <mergeCell ref="B882:F883"/>
    <mergeCell ref="B831:F831"/>
    <mergeCell ref="B921:F921"/>
    <mergeCell ref="A897:I897"/>
    <mergeCell ref="B905:F905"/>
    <mergeCell ref="B913:F913"/>
    <mergeCell ref="B914:F914"/>
    <mergeCell ref="B935:F935"/>
    <mergeCell ref="B911:F912"/>
    <mergeCell ref="G1069:G1070"/>
    <mergeCell ref="H1069:J1069"/>
    <mergeCell ref="A1042:J1042"/>
    <mergeCell ref="A1043:A1044"/>
    <mergeCell ref="B1043:F1044"/>
    <mergeCell ref="G1043:G1044"/>
    <mergeCell ref="H1043:J1043"/>
    <mergeCell ref="B1045:F1045"/>
    <mergeCell ref="B1046:F1046"/>
    <mergeCell ref="B1047:F1047"/>
    <mergeCell ref="B1048:F1048"/>
    <mergeCell ref="B1058:F1058"/>
    <mergeCell ref="B1062:F1062"/>
    <mergeCell ref="B1063:F1063"/>
    <mergeCell ref="B1064:F1064"/>
    <mergeCell ref="A1066:I1066"/>
    <mergeCell ref="B1049:F1049"/>
    <mergeCell ref="B1056:F1056"/>
    <mergeCell ref="B950:F950"/>
    <mergeCell ref="B951:F951"/>
    <mergeCell ref="B926:F926"/>
    <mergeCell ref="B949:F949"/>
    <mergeCell ref="B917:F917"/>
    <mergeCell ref="B968:F969"/>
    <mergeCell ref="G968:G969"/>
    <mergeCell ref="B1005:F1005"/>
    <mergeCell ref="B925:F925"/>
    <mergeCell ref="B923:F923"/>
    <mergeCell ref="G385:J385"/>
    <mergeCell ref="F385:F386"/>
    <mergeCell ref="A390:I390"/>
    <mergeCell ref="A389:I389"/>
    <mergeCell ref="B362:E363"/>
    <mergeCell ref="F374:F375"/>
    <mergeCell ref="G374:J374"/>
    <mergeCell ref="B317:G318"/>
    <mergeCell ref="H317:J317"/>
    <mergeCell ref="B763:F763"/>
    <mergeCell ref="B319:G319"/>
    <mergeCell ref="B320:G320"/>
    <mergeCell ref="A321:I321"/>
    <mergeCell ref="B458:E458"/>
    <mergeCell ref="B459:E459"/>
    <mergeCell ref="B535:E535"/>
    <mergeCell ref="A536:I536"/>
    <mergeCell ref="A539:A540"/>
    <mergeCell ref="B539:F540"/>
    <mergeCell ref="G539:J539"/>
    <mergeCell ref="B541:F541"/>
    <mergeCell ref="B542:F542"/>
    <mergeCell ref="B482:F482"/>
    <mergeCell ref="A515:I515"/>
    <mergeCell ref="A485:I485"/>
    <mergeCell ref="A487:I487"/>
    <mergeCell ref="B513:F513"/>
    <mergeCell ref="B685:F685"/>
    <mergeCell ref="A686:G686"/>
    <mergeCell ref="A716:A717"/>
    <mergeCell ref="B653:F653"/>
    <mergeCell ref="A744:G744"/>
    <mergeCell ref="A258:A259"/>
    <mergeCell ref="B258:D259"/>
    <mergeCell ref="B188:F189"/>
    <mergeCell ref="G188:J188"/>
    <mergeCell ref="B190:F190"/>
    <mergeCell ref="B161:G161"/>
    <mergeCell ref="B160:G160"/>
    <mergeCell ref="A183:A184"/>
    <mergeCell ref="A188:A189"/>
    <mergeCell ref="E258:E259"/>
    <mergeCell ref="F258:F259"/>
    <mergeCell ref="G258:J258"/>
    <mergeCell ref="B260:D260"/>
    <mergeCell ref="A261:F261"/>
    <mergeCell ref="B162:G162"/>
    <mergeCell ref="F184:G184"/>
    <mergeCell ref="B204:G204"/>
    <mergeCell ref="F186:G186"/>
    <mergeCell ref="B201:G202"/>
    <mergeCell ref="B183:E184"/>
    <mergeCell ref="B163:G163"/>
    <mergeCell ref="A164:I164"/>
    <mergeCell ref="B203:G203"/>
    <mergeCell ref="A239:I239"/>
    <mergeCell ref="B242:E243"/>
    <mergeCell ref="B229:E230"/>
    <mergeCell ref="B232:E232"/>
    <mergeCell ref="A267:A268"/>
    <mergeCell ref="B299:E300"/>
    <mergeCell ref="A1156:I1156"/>
    <mergeCell ref="B861:F861"/>
    <mergeCell ref="B862:F862"/>
    <mergeCell ref="B863:F863"/>
    <mergeCell ref="B864:F864"/>
    <mergeCell ref="A865:I865"/>
    <mergeCell ref="A867:J867"/>
    <mergeCell ref="A868:A869"/>
    <mergeCell ref="B868:F869"/>
    <mergeCell ref="G868:J868"/>
    <mergeCell ref="B870:F870"/>
    <mergeCell ref="B871:F871"/>
    <mergeCell ref="B872:F872"/>
    <mergeCell ref="B873:F873"/>
    <mergeCell ref="A1136:A1137"/>
    <mergeCell ref="A1138:A1139"/>
    <mergeCell ref="A1140:A1141"/>
    <mergeCell ref="A1142:A1143"/>
    <mergeCell ref="G1129:J1129"/>
    <mergeCell ref="A974:I974"/>
    <mergeCell ref="A968:A969"/>
    <mergeCell ref="B924:F924"/>
    <mergeCell ref="B972:F972"/>
    <mergeCell ref="A1144:A1145"/>
    <mergeCell ref="A1150:A1152"/>
    <mergeCell ref="B1150:E1152"/>
    <mergeCell ref="A1153:A1155"/>
    <mergeCell ref="B1153:E1155"/>
    <mergeCell ref="B915:F915"/>
    <mergeCell ref="B1069:F1070"/>
    <mergeCell ref="B313:F313"/>
    <mergeCell ref="T1094:Y1094"/>
    <mergeCell ref="B1094:F1094"/>
    <mergeCell ref="B1095:F1095"/>
    <mergeCell ref="S1095:AB1095"/>
    <mergeCell ref="S1096:AB1096"/>
    <mergeCell ref="A1097:G1097"/>
    <mergeCell ref="S1097:AB1097"/>
    <mergeCell ref="T1093:Y1093"/>
    <mergeCell ref="B1093:F1093"/>
    <mergeCell ref="B1096:F1096"/>
    <mergeCell ref="S1076:S1088"/>
    <mergeCell ref="T1076:Y1088"/>
    <mergeCell ref="S1089:AB1089"/>
    <mergeCell ref="A1090:A1091"/>
    <mergeCell ref="B1090:F1091"/>
    <mergeCell ref="G1090:G1091"/>
    <mergeCell ref="H1090:J1090"/>
    <mergeCell ref="S1091:AB1091"/>
    <mergeCell ref="B1092:F1092"/>
    <mergeCell ref="S1092:AC1092"/>
    <mergeCell ref="B326:E326"/>
    <mergeCell ref="B1029:F1029"/>
    <mergeCell ref="B700:F700"/>
    <mergeCell ref="B701:F701"/>
    <mergeCell ref="B705:F705"/>
    <mergeCell ref="B706:F706"/>
    <mergeCell ref="B707:F707"/>
    <mergeCell ref="B708:F708"/>
    <mergeCell ref="B709:F709"/>
    <mergeCell ref="B710:F710"/>
    <mergeCell ref="B711:F711"/>
    <mergeCell ref="B302:E302"/>
    <mergeCell ref="B1027:F1027"/>
    <mergeCell ref="B1028:F1028"/>
    <mergeCell ref="A1010:A1011"/>
    <mergeCell ref="B1010:F1011"/>
    <mergeCell ref="G1010:G1011"/>
    <mergeCell ref="H1010:J1010"/>
    <mergeCell ref="B1013:F1013"/>
    <mergeCell ref="B1014:F1014"/>
    <mergeCell ref="B1015:F1015"/>
    <mergeCell ref="A1019:G1019"/>
    <mergeCell ref="B1016:F1016"/>
    <mergeCell ref="B1017:F1017"/>
    <mergeCell ref="B1018:F1018"/>
    <mergeCell ref="A1012:I1012"/>
    <mergeCell ref="A838:A839"/>
    <mergeCell ref="B838:F839"/>
    <mergeCell ref="G838:J838"/>
    <mergeCell ref="B985:F986"/>
    <mergeCell ref="B946:F946"/>
    <mergeCell ref="H882:J882"/>
    <mergeCell ref="B953:F953"/>
    <mergeCell ref="B928:F928"/>
    <mergeCell ref="H911:J911"/>
    <mergeCell ref="B994:F994"/>
    <mergeCell ref="B988:F988"/>
    <mergeCell ref="G307:J307"/>
    <mergeCell ref="F324:F325"/>
    <mergeCell ref="B456:E456"/>
    <mergeCell ref="A381:I381"/>
    <mergeCell ref="A385:A386"/>
    <mergeCell ref="B699:F699"/>
    <mergeCell ref="B860:F860"/>
    <mergeCell ref="B902:F903"/>
    <mergeCell ref="G902:G903"/>
    <mergeCell ref="B825:F825"/>
    <mergeCell ref="B826:F826"/>
    <mergeCell ref="B514:F514"/>
    <mergeCell ref="B518:F519"/>
    <mergeCell ref="G518:G519"/>
    <mergeCell ref="B543:F543"/>
    <mergeCell ref="B544:F544"/>
    <mergeCell ref="B1025:F1025"/>
    <mergeCell ref="B1026:F1026"/>
    <mergeCell ref="B977:F978"/>
    <mergeCell ref="G977:G978"/>
    <mergeCell ref="B1006:F1006"/>
    <mergeCell ref="A989:G989"/>
    <mergeCell ref="B1003:F1003"/>
    <mergeCell ref="A756:A757"/>
    <mergeCell ref="A747:A748"/>
    <mergeCell ref="G747:G748"/>
    <mergeCell ref="B747:F748"/>
    <mergeCell ref="B712:F712"/>
    <mergeCell ref="A713:G713"/>
    <mergeCell ref="B692:F692"/>
    <mergeCell ref="B693:F693"/>
    <mergeCell ref="B694:F694"/>
    <mergeCell ref="B697:F697"/>
    <mergeCell ref="B698:F698"/>
    <mergeCell ref="G911:G912"/>
    <mergeCell ref="B933:F933"/>
    <mergeCell ref="B934:F934"/>
    <mergeCell ref="B964:F964"/>
    <mergeCell ref="A691:I691"/>
    <mergeCell ref="B695:F695"/>
    <mergeCell ref="B696:F696"/>
    <mergeCell ref="A585:A586"/>
    <mergeCell ref="B585:F586"/>
    <mergeCell ref="G585:G586"/>
    <mergeCell ref="H585:J585"/>
    <mergeCell ref="B587:F587"/>
    <mergeCell ref="A588:G588"/>
    <mergeCell ref="B678:F678"/>
    <mergeCell ref="B679:F679"/>
    <mergeCell ref="B680:F680"/>
    <mergeCell ref="B751:F751"/>
    <mergeCell ref="A739:A740"/>
    <mergeCell ref="B739:F740"/>
    <mergeCell ref="B743:F743"/>
    <mergeCell ref="A729:G729"/>
    <mergeCell ref="A732:A733"/>
    <mergeCell ref="B732:F733"/>
    <mergeCell ref="B750:F750"/>
    <mergeCell ref="A674:I674"/>
    <mergeCell ref="B728:F728"/>
    <mergeCell ref="A648:A649"/>
    <mergeCell ref="B648:F649"/>
    <mergeCell ref="G648:G649"/>
    <mergeCell ref="H648:J648"/>
    <mergeCell ref="B634:F634"/>
    <mergeCell ref="B828:F828"/>
    <mergeCell ref="A835:I835"/>
    <mergeCell ref="B829:F829"/>
    <mergeCell ref="A1060:A1061"/>
    <mergeCell ref="B1060:F1061"/>
    <mergeCell ref="G1060:G1061"/>
    <mergeCell ref="H1060:J1060"/>
    <mergeCell ref="A1030:G1030"/>
    <mergeCell ref="B656:F656"/>
    <mergeCell ref="B657:F657"/>
    <mergeCell ref="B658:F658"/>
    <mergeCell ref="B659:F659"/>
    <mergeCell ref="B660:F660"/>
    <mergeCell ref="B661:F661"/>
    <mergeCell ref="B662:F662"/>
    <mergeCell ref="B663:F663"/>
    <mergeCell ref="B664:F664"/>
    <mergeCell ref="B665:F665"/>
    <mergeCell ref="B666:F666"/>
    <mergeCell ref="B667:F667"/>
    <mergeCell ref="B668:F668"/>
    <mergeCell ref="B681:F681"/>
    <mergeCell ref="B682:F682"/>
    <mergeCell ref="B683:F683"/>
    <mergeCell ref="B684:F684"/>
    <mergeCell ref="B718:F718"/>
    <mergeCell ref="B719:F719"/>
    <mergeCell ref="B906:F906"/>
    <mergeCell ref="B907:F907"/>
    <mergeCell ref="B703:F703"/>
    <mergeCell ref="B704:F704"/>
    <mergeCell ref="B702:F702"/>
  </mergeCells>
  <printOptions horizontalCentered="1"/>
  <pageMargins left="0.78740157480314965" right="0.19685039370078741" top="0.19685039370078741" bottom="0.19685039370078741" header="0" footer="0"/>
  <pageSetup paperSize="9" scale="63" fitToHeight="0" orientation="portrait" r:id="rId3"/>
  <rowBreaks count="12" manualBreakCount="12">
    <brk id="68" max="9" man="1"/>
    <brk id="154" max="9" man="1"/>
    <brk id="246" max="9" man="1"/>
    <brk id="339" max="9" man="1"/>
    <brk id="444" max="9" man="1"/>
    <brk id="524" max="9" man="1"/>
    <brk id="592" max="9" man="1"/>
    <brk id="687" max="9" man="1"/>
    <brk id="814" max="9" man="1"/>
    <brk id="898" max="9" man="1"/>
    <brk id="1059" max="9" man="1"/>
    <brk id="1128" max="9" man="1"/>
  </rowBreak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Z28"/>
  <sheetViews>
    <sheetView workbookViewId="0">
      <selection activeCell="F14" sqref="F14"/>
    </sheetView>
  </sheetViews>
  <sheetFormatPr defaultRowHeight="15.75" x14ac:dyDescent="0.25"/>
  <cols>
    <col min="1" max="5" width="9.140625" style="807"/>
    <col min="6" max="6" width="19.85546875" style="807" customWidth="1"/>
    <col min="7" max="7" width="20.42578125" style="807" customWidth="1"/>
    <col min="8" max="8" width="9.5703125" style="807" bestFit="1" customWidth="1"/>
    <col min="9" max="9" width="13.140625" style="807" bestFit="1" customWidth="1"/>
    <col min="10" max="11" width="11.28515625" style="807" bestFit="1" customWidth="1"/>
    <col min="12" max="12" width="18.140625" style="807" customWidth="1"/>
    <col min="13" max="13" width="10.140625" style="807" bestFit="1" customWidth="1"/>
    <col min="14" max="14" width="9.140625" style="807"/>
    <col min="15" max="18" width="13.140625" style="807" bestFit="1" customWidth="1"/>
    <col min="19" max="19" width="11.28515625" style="807" bestFit="1" customWidth="1"/>
    <col min="20" max="22" width="13.140625" style="807" bestFit="1" customWidth="1"/>
    <col min="23" max="23" width="11.28515625" style="807" bestFit="1" customWidth="1"/>
    <col min="24" max="24" width="13.140625" style="807" bestFit="1" customWidth="1"/>
    <col min="25" max="16384" width="9.140625" style="807"/>
  </cols>
  <sheetData>
    <row r="2" spans="5:26" x14ac:dyDescent="0.25">
      <c r="G2" s="808" t="s">
        <v>1733</v>
      </c>
      <c r="H2" s="808" t="s">
        <v>677</v>
      </c>
      <c r="I2" s="808" t="s">
        <v>678</v>
      </c>
      <c r="J2" s="808" t="s">
        <v>679</v>
      </c>
      <c r="K2" s="808" t="s">
        <v>680</v>
      </c>
    </row>
    <row r="3" spans="5:26" x14ac:dyDescent="0.25">
      <c r="E3" s="349" t="s">
        <v>1263</v>
      </c>
      <c r="F3" s="349">
        <v>2400010000</v>
      </c>
      <c r="G3" s="350">
        <f>4790613.31+8733678.47+2973309.52+7836544.22+1022391.61+1947480+7731231.3</f>
        <v>35035248.43</v>
      </c>
      <c r="H3" s="350"/>
      <c r="I3" s="350">
        <f>5148937-1947480</f>
        <v>3201457</v>
      </c>
      <c r="J3" s="809">
        <f>557100.63-557100.63</f>
        <v>0</v>
      </c>
      <c r="K3" s="809">
        <f>299736.27-299736.27</f>
        <v>0</v>
      </c>
      <c r="L3" s="811">
        <f>SUM(G3:K3)</f>
        <v>38236705.43</v>
      </c>
      <c r="M3" s="807" t="b">
        <f>L3='4 (2025)'!L3</f>
        <v>0</v>
      </c>
    </row>
    <row r="4" spans="5:26" x14ac:dyDescent="0.25">
      <c r="F4" s="807">
        <v>291</v>
      </c>
      <c r="G4" s="809">
        <f>'4 (2025)'!K205+'4 (2025)'!K217</f>
        <v>0</v>
      </c>
      <c r="H4" s="809"/>
      <c r="I4" s="809"/>
      <c r="O4" s="809"/>
      <c r="P4" s="809"/>
      <c r="Q4" s="809"/>
      <c r="R4" s="809"/>
      <c r="S4" s="809"/>
      <c r="T4" s="809"/>
      <c r="U4" s="809"/>
      <c r="V4" s="809"/>
      <c r="W4" s="809"/>
      <c r="X4" s="809"/>
      <c r="Y4" s="809"/>
      <c r="Z4" s="809"/>
    </row>
    <row r="5" spans="5:26" x14ac:dyDescent="0.25">
      <c r="F5" s="807">
        <v>221</v>
      </c>
      <c r="G5" s="809">
        <f>'4 (2025)'!K252</f>
        <v>0</v>
      </c>
      <c r="H5" s="809"/>
      <c r="I5" s="809"/>
      <c r="X5" s="809"/>
    </row>
    <row r="6" spans="5:26" x14ac:dyDescent="0.25">
      <c r="F6" s="807">
        <v>244.22300000000001</v>
      </c>
      <c r="G6" s="809" t="e">
        <f>'4 (2025)'!#REF!</f>
        <v>#REF!</v>
      </c>
      <c r="H6" s="809"/>
      <c r="I6" s="809"/>
    </row>
    <row r="7" spans="5:26" x14ac:dyDescent="0.25">
      <c r="F7" s="807">
        <v>225</v>
      </c>
      <c r="G7" s="809" t="e">
        <f>'4 (2025)'!#REF!</f>
        <v>#REF!</v>
      </c>
      <c r="H7" s="809"/>
      <c r="I7" s="809"/>
    </row>
    <row r="8" spans="5:26" x14ac:dyDescent="0.25">
      <c r="F8" s="807">
        <v>226</v>
      </c>
      <c r="G8" s="809" t="e">
        <f>'4 (2025)'!#REF!</f>
        <v>#REF!</v>
      </c>
      <c r="H8" s="809"/>
      <c r="I8" s="809"/>
    </row>
    <row r="9" spans="5:26" x14ac:dyDescent="0.25">
      <c r="F9" s="807">
        <v>227</v>
      </c>
      <c r="G9" s="809">
        <f>'4 (2025)'!K605</f>
        <v>0</v>
      </c>
      <c r="H9" s="809"/>
      <c r="I9" s="809"/>
    </row>
    <row r="10" spans="5:26" x14ac:dyDescent="0.25">
      <c r="F10" s="807">
        <v>343</v>
      </c>
      <c r="G10" s="809">
        <f>'4 (2025)'!K789</f>
        <v>0</v>
      </c>
      <c r="H10" s="809"/>
      <c r="I10" s="809"/>
    </row>
    <row r="11" spans="5:26" x14ac:dyDescent="0.25">
      <c r="F11" s="807">
        <v>346</v>
      </c>
      <c r="G11" s="809"/>
      <c r="H11" s="809"/>
      <c r="I11" s="809"/>
    </row>
    <row r="12" spans="5:26" x14ac:dyDescent="0.25">
      <c r="F12" s="807">
        <v>247.22300000000001</v>
      </c>
      <c r="G12" s="809" t="e">
        <f>'4 (2025)'!#REF!</f>
        <v>#REF!</v>
      </c>
      <c r="H12" s="809"/>
      <c r="I12" s="809"/>
    </row>
    <row r="13" spans="5:26" x14ac:dyDescent="0.25">
      <c r="E13" s="810" t="s">
        <v>1264</v>
      </c>
      <c r="G13" s="811" t="e">
        <f>SUM(G4:G12)</f>
        <v>#REF!</v>
      </c>
      <c r="H13" s="811"/>
      <c r="I13" s="811"/>
    </row>
    <row r="14" spans="5:26" x14ac:dyDescent="0.25">
      <c r="F14" s="812" t="s">
        <v>1265</v>
      </c>
      <c r="G14" s="813" t="e">
        <f>G3-G13</f>
        <v>#REF!</v>
      </c>
      <c r="H14" s="813"/>
      <c r="I14" s="813"/>
    </row>
    <row r="15" spans="5:26" x14ac:dyDescent="0.25">
      <c r="F15" s="807" t="s">
        <v>1603</v>
      </c>
      <c r="G15" s="809"/>
      <c r="H15" s="809"/>
      <c r="I15" s="809"/>
    </row>
    <row r="16" spans="5:26" x14ac:dyDescent="0.25">
      <c r="G16" s="350"/>
      <c r="H16" s="350"/>
      <c r="I16" s="350"/>
    </row>
    <row r="17" spans="6:13" x14ac:dyDescent="0.25">
      <c r="G17" s="809"/>
      <c r="H17" s="809"/>
      <c r="I17" s="809"/>
    </row>
    <row r="18" spans="6:13" x14ac:dyDescent="0.25">
      <c r="G18" s="350"/>
      <c r="H18" s="350"/>
      <c r="I18" s="350"/>
    </row>
    <row r="19" spans="6:13" x14ac:dyDescent="0.25">
      <c r="G19" s="809"/>
      <c r="H19" s="809"/>
      <c r="I19" s="809"/>
    </row>
    <row r="20" spans="6:13" x14ac:dyDescent="0.25">
      <c r="G20" s="809"/>
      <c r="H20" s="809"/>
      <c r="I20" s="809"/>
    </row>
    <row r="21" spans="6:13" x14ac:dyDescent="0.25">
      <c r="F21" s="807" t="s">
        <v>1328</v>
      </c>
      <c r="G21" s="857"/>
      <c r="H21" s="857"/>
      <c r="I21" s="857"/>
    </row>
    <row r="22" spans="6:13" x14ac:dyDescent="0.25">
      <c r="F22" s="808"/>
      <c r="G22" s="871"/>
      <c r="H22" s="871"/>
      <c r="I22" s="871"/>
    </row>
    <row r="24" spans="6:13" x14ac:dyDescent="0.25">
      <c r="F24" s="807" t="s">
        <v>1351</v>
      </c>
      <c r="G24" s="857">
        <f>400000+800000+503611.2</f>
        <v>1703611.2</v>
      </c>
      <c r="H24" s="857"/>
      <c r="I24" s="857"/>
      <c r="L24" s="811">
        <f>SUM(G24:K24)</f>
        <v>1703611.2</v>
      </c>
      <c r="M24" s="807" t="b">
        <f>L24='4 (2025)'!L7</f>
        <v>0</v>
      </c>
    </row>
    <row r="25" spans="6:13" x14ac:dyDescent="0.25">
      <c r="F25" s="807" t="s">
        <v>1350</v>
      </c>
      <c r="G25" s="809">
        <f>G3+G24</f>
        <v>36738859.630000003</v>
      </c>
      <c r="H25" s="809"/>
      <c r="I25" s="809"/>
      <c r="J25" s="809"/>
      <c r="K25" s="809"/>
    </row>
    <row r="26" spans="6:13" x14ac:dyDescent="0.25">
      <c r="G26" s="809"/>
      <c r="H26" s="809"/>
      <c r="I26" s="809"/>
    </row>
    <row r="27" spans="6:13" x14ac:dyDescent="0.25">
      <c r="F27" s="807" t="s">
        <v>1349</v>
      </c>
      <c r="G27" s="811">
        <v>37380245.329999998</v>
      </c>
      <c r="H27" s="811"/>
      <c r="I27" s="811"/>
    </row>
    <row r="28" spans="6:13" x14ac:dyDescent="0.25">
      <c r="G28" s="858">
        <f>G26-G27</f>
        <v>-37380245.329999998</v>
      </c>
      <c r="H28" s="858"/>
      <c r="I28" s="858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957"/>
  <sheetViews>
    <sheetView view="pageBreakPreview" zoomScale="80" zoomScaleNormal="70" zoomScaleSheetLayoutView="80" workbookViewId="0">
      <selection activeCell="K14" sqref="K14"/>
    </sheetView>
  </sheetViews>
  <sheetFormatPr defaultColWidth="8.7109375" defaultRowHeight="15" x14ac:dyDescent="0.25"/>
  <cols>
    <col min="1" max="1" width="4.28515625" style="1449" customWidth="1"/>
    <col min="2" max="2" width="14.140625" style="1449" customWidth="1"/>
    <col min="3" max="3" width="15.85546875" style="1449" customWidth="1"/>
    <col min="4" max="4" width="21.5703125" style="1449" customWidth="1"/>
    <col min="5" max="5" width="14.140625" style="1449" customWidth="1"/>
    <col min="6" max="6" width="11.42578125" style="1449" customWidth="1"/>
    <col min="7" max="7" width="13.42578125" style="1449" customWidth="1"/>
    <col min="8" max="8" width="15.7109375" style="505" customWidth="1"/>
    <col min="9" max="9" width="16.7109375" style="506" customWidth="1"/>
    <col min="10" max="10" width="18.85546875" style="506" customWidth="1"/>
    <col min="11" max="11" width="24.28515625" style="552" customWidth="1"/>
    <col min="12" max="12" width="27.140625" style="565" customWidth="1"/>
    <col min="13" max="13" width="43.85546875" style="565" customWidth="1"/>
    <col min="14" max="14" width="18.85546875" style="565" customWidth="1"/>
    <col min="15" max="15" width="13.140625" style="565" customWidth="1"/>
    <col min="16" max="16" width="13.28515625" style="565" bestFit="1" customWidth="1"/>
    <col min="17" max="17" width="12.7109375" style="565" bestFit="1" customWidth="1"/>
    <col min="18" max="18" width="12.5703125" style="565" bestFit="1" customWidth="1"/>
    <col min="19" max="19" width="12" style="565" customWidth="1"/>
    <col min="20" max="20" width="9.140625" style="565" bestFit="1" customWidth="1"/>
    <col min="21" max="21" width="11.5703125" style="565" customWidth="1"/>
    <col min="22" max="22" width="8.5703125" style="565" customWidth="1"/>
    <col min="23" max="23" width="14.42578125" style="565" customWidth="1"/>
    <col min="24" max="28" width="8.7109375" style="565"/>
    <col min="29" max="109" width="8.7109375" style="551"/>
    <col min="110" max="110" width="13.42578125" style="551" bestFit="1" customWidth="1"/>
    <col min="111" max="16384" width="8.7109375" style="551"/>
  </cols>
  <sheetData>
    <row r="1" spans="1:28" ht="19.5" customHeight="1" x14ac:dyDescent="0.25">
      <c r="A1" s="2150" t="s">
        <v>2040</v>
      </c>
      <c r="B1" s="2150"/>
      <c r="C1" s="2150"/>
      <c r="D1" s="2150"/>
      <c r="E1" s="2150"/>
      <c r="F1" s="2150"/>
      <c r="G1" s="2150"/>
      <c r="H1" s="2150"/>
      <c r="I1" s="2150"/>
      <c r="J1" s="2150"/>
      <c r="L1" s="553" t="s">
        <v>2041</v>
      </c>
      <c r="M1" s="553" t="s">
        <v>1334</v>
      </c>
    </row>
    <row r="2" spans="1:28" ht="14.25" customHeight="1" x14ac:dyDescent="0.25">
      <c r="A2" s="1429"/>
      <c r="B2" s="1429"/>
      <c r="C2" s="1429"/>
      <c r="D2" s="1429"/>
      <c r="E2" s="1429"/>
      <c r="F2" s="1429"/>
      <c r="G2" s="1429"/>
      <c r="H2" s="1429"/>
      <c r="I2" s="588"/>
      <c r="J2" s="588"/>
      <c r="K2" s="725" t="s">
        <v>621</v>
      </c>
      <c r="L2" s="617">
        <f>370701215.22-L6</f>
        <v>363287190.92000002</v>
      </c>
      <c r="M2" s="617">
        <f>J46+J69+J155+J180</f>
        <v>363287190.92000002</v>
      </c>
      <c r="N2" s="617">
        <f t="shared" ref="N2:N7" si="0">L2-M2</f>
        <v>0</v>
      </c>
      <c r="O2" s="617" t="b">
        <f t="shared" ref="O2:O7" si="1">L2=M2</f>
        <v>1</v>
      </c>
    </row>
    <row r="3" spans="1:28" ht="40.5" customHeight="1" x14ac:dyDescent="0.25">
      <c r="A3" s="2151" t="s">
        <v>609</v>
      </c>
      <c r="B3" s="2151"/>
      <c r="C3" s="2151"/>
      <c r="D3" s="2151"/>
      <c r="E3" s="2151"/>
      <c r="F3" s="2151"/>
      <c r="G3" s="2151"/>
      <c r="H3" s="2151"/>
      <c r="I3" s="2151"/>
      <c r="J3" s="2151"/>
      <c r="K3" s="726" t="s">
        <v>335</v>
      </c>
      <c r="L3" s="617">
        <f>46892064.21-L7</f>
        <v>43837893.32</v>
      </c>
      <c r="M3" s="617">
        <f>J32+J61+J111+J153+J167+J198+J226+J255+J264+J290+J474+J644+J670+J883+J858</f>
        <v>43837893.32</v>
      </c>
      <c r="N3" s="617">
        <f t="shared" si="0"/>
        <v>0</v>
      </c>
      <c r="O3" s="617" t="b">
        <f t="shared" si="1"/>
        <v>1</v>
      </c>
      <c r="P3" s="565">
        <f>N7+N3</f>
        <v>0</v>
      </c>
    </row>
    <row r="4" spans="1:28" ht="19.5" customHeight="1" x14ac:dyDescent="0.25">
      <c r="A4" s="589"/>
      <c r="B4" s="589"/>
      <c r="C4" s="589"/>
      <c r="D4" s="589"/>
      <c r="E4" s="589"/>
      <c r="F4" s="589"/>
      <c r="G4" s="589"/>
      <c r="H4" s="589"/>
      <c r="I4" s="590"/>
      <c r="J4" s="590"/>
      <c r="K4" s="725" t="s">
        <v>641</v>
      </c>
      <c r="L4" s="617">
        <v>1400100</v>
      </c>
      <c r="M4" s="617">
        <f>J564</f>
        <v>1400100</v>
      </c>
      <c r="N4" s="617">
        <f t="shared" si="0"/>
        <v>0</v>
      </c>
      <c r="O4" s="617" t="b">
        <f t="shared" si="1"/>
        <v>1</v>
      </c>
      <c r="P4" s="2152"/>
    </row>
    <row r="5" spans="1:28" ht="15.75" x14ac:dyDescent="0.25">
      <c r="A5" s="637" t="s">
        <v>21</v>
      </c>
      <c r="B5" s="583"/>
      <c r="C5" s="583"/>
      <c r="D5" s="583"/>
      <c r="E5" s="583"/>
      <c r="F5" s="583"/>
      <c r="G5" s="583"/>
      <c r="H5" s="584"/>
      <c r="I5" s="585"/>
      <c r="J5" s="585"/>
      <c r="K5" s="725" t="s">
        <v>642</v>
      </c>
      <c r="L5" s="617">
        <v>1060895</v>
      </c>
      <c r="M5" s="617">
        <f>J547+J556+J597+J733</f>
        <v>1060895</v>
      </c>
      <c r="N5" s="617">
        <f t="shared" si="0"/>
        <v>0</v>
      </c>
      <c r="O5" s="617" t="b">
        <f t="shared" si="1"/>
        <v>1</v>
      </c>
      <c r="P5" s="2152"/>
    </row>
    <row r="6" spans="1:28" ht="15.75" x14ac:dyDescent="0.25">
      <c r="A6" s="583"/>
      <c r="B6" s="583"/>
      <c r="C6" s="583"/>
      <c r="D6" s="583"/>
      <c r="E6" s="583"/>
      <c r="F6" s="583"/>
      <c r="G6" s="583"/>
      <c r="H6" s="584"/>
      <c r="I6" s="585"/>
      <c r="J6" s="585"/>
      <c r="K6" s="727" t="s">
        <v>622</v>
      </c>
      <c r="L6" s="728">
        <v>7414024.2999999998</v>
      </c>
      <c r="M6" s="728">
        <f>J573+J609+J752+J620+J868</f>
        <v>7414024.2999999998</v>
      </c>
      <c r="N6" s="728">
        <f t="shared" si="0"/>
        <v>0</v>
      </c>
      <c r="O6" s="728" t="b">
        <f t="shared" si="1"/>
        <v>1</v>
      </c>
    </row>
    <row r="7" spans="1:28" ht="24" customHeight="1" x14ac:dyDescent="0.25">
      <c r="A7" s="637" t="s">
        <v>23</v>
      </c>
      <c r="B7" s="637"/>
      <c r="C7" s="637"/>
      <c r="D7" s="637"/>
      <c r="E7" s="637"/>
      <c r="F7" s="637"/>
      <c r="G7" s="637"/>
      <c r="H7" s="651"/>
      <c r="I7" s="591"/>
      <c r="J7" s="591">
        <f>J9</f>
        <v>420054274.43000001</v>
      </c>
      <c r="K7" s="726" t="s">
        <v>623</v>
      </c>
      <c r="L7" s="728">
        <v>3054170.89</v>
      </c>
      <c r="M7" s="728">
        <f>J98+J143</f>
        <v>3054170.89</v>
      </c>
      <c r="N7" s="728">
        <f t="shared" si="0"/>
        <v>0</v>
      </c>
      <c r="O7" s="728" t="b">
        <f t="shared" si="1"/>
        <v>1</v>
      </c>
      <c r="Q7" s="579"/>
    </row>
    <row r="8" spans="1:28" ht="24" customHeight="1" x14ac:dyDescent="0.25">
      <c r="A8" s="637" t="s">
        <v>504</v>
      </c>
      <c r="B8" s="637"/>
      <c r="C8" s="637"/>
      <c r="D8" s="637"/>
      <c r="E8" s="637"/>
      <c r="F8" s="637"/>
      <c r="G8" s="637"/>
      <c r="H8" s="651"/>
      <c r="I8" s="591"/>
      <c r="J8" s="591"/>
      <c r="K8" s="729"/>
      <c r="L8" s="750">
        <v>420054274.43000001</v>
      </c>
      <c r="M8" s="1431"/>
      <c r="N8" s="1431"/>
      <c r="O8" s="1431"/>
    </row>
    <row r="9" spans="1:28" ht="24" customHeight="1" x14ac:dyDescent="0.25">
      <c r="A9" s="637" t="s">
        <v>283</v>
      </c>
      <c r="B9" s="637"/>
      <c r="C9" s="637"/>
      <c r="D9" s="637"/>
      <c r="E9" s="637"/>
      <c r="F9" s="637"/>
      <c r="G9" s="637"/>
      <c r="H9" s="651"/>
      <c r="I9" s="591"/>
      <c r="J9" s="591">
        <f>J14+J15+J17+J18+J11+J12</f>
        <v>420054274.43000001</v>
      </c>
      <c r="K9" s="592" t="b">
        <f>J9=L8</f>
        <v>1</v>
      </c>
      <c r="L9" s="749" t="b">
        <f>L2+L3+L4+L5+L6+L7=L8</f>
        <v>1</v>
      </c>
      <c r="M9" s="1431"/>
      <c r="N9" s="1431"/>
      <c r="O9" s="1431"/>
      <c r="P9" s="2152"/>
    </row>
    <row r="10" spans="1:28" ht="30" hidden="1" customHeight="1" x14ac:dyDescent="0.25">
      <c r="A10" s="2153" t="s">
        <v>336</v>
      </c>
      <c r="B10" s="2153"/>
      <c r="C10" s="2153"/>
      <c r="D10" s="2153"/>
      <c r="E10" s="2153"/>
      <c r="F10" s="2153"/>
      <c r="G10" s="2153"/>
      <c r="H10" s="2153"/>
      <c r="I10" s="2153"/>
      <c r="J10" s="591"/>
      <c r="K10" s="1431"/>
      <c r="L10" s="1431"/>
      <c r="M10" s="1431"/>
      <c r="N10" s="1431"/>
      <c r="O10" s="1431"/>
      <c r="P10" s="2152"/>
    </row>
    <row r="11" spans="1:28" ht="19.5" hidden="1" customHeight="1" x14ac:dyDescent="0.25">
      <c r="A11" s="2154" t="s">
        <v>834</v>
      </c>
      <c r="B11" s="2154"/>
      <c r="C11" s="2154"/>
      <c r="D11" s="2154"/>
      <c r="E11" s="2154"/>
      <c r="F11" s="2154"/>
      <c r="G11" s="2154"/>
      <c r="H11" s="2154"/>
      <c r="I11" s="2154"/>
      <c r="J11" s="591"/>
      <c r="P11" s="2152"/>
    </row>
    <row r="12" spans="1:28" ht="45" hidden="1" customHeight="1" x14ac:dyDescent="0.25">
      <c r="A12" s="2155" t="s">
        <v>526</v>
      </c>
      <c r="B12" s="2155"/>
      <c r="C12" s="2155"/>
      <c r="D12" s="2155"/>
      <c r="E12" s="2155"/>
      <c r="F12" s="2155"/>
      <c r="G12" s="2155"/>
      <c r="H12" s="2155"/>
      <c r="I12" s="2155"/>
      <c r="J12" s="591"/>
      <c r="P12" s="2152"/>
    </row>
    <row r="13" spans="1:28" ht="27" customHeight="1" x14ac:dyDescent="0.25">
      <c r="A13" s="2156" t="s">
        <v>284</v>
      </c>
      <c r="B13" s="2156"/>
      <c r="C13" s="2156"/>
      <c r="D13" s="2156"/>
      <c r="E13" s="2156"/>
      <c r="F13" s="2156"/>
      <c r="G13" s="2156"/>
      <c r="H13" s="2156"/>
      <c r="I13" s="2156"/>
      <c r="J13" s="591"/>
      <c r="K13" s="729"/>
      <c r="L13" s="1431"/>
      <c r="M13" s="1431"/>
      <c r="N13" s="1431"/>
      <c r="O13" s="1431"/>
      <c r="P13" s="2152"/>
    </row>
    <row r="14" spans="1:28" s="595" customFormat="1" ht="33.75" customHeight="1" x14ac:dyDescent="0.25">
      <c r="A14" s="2112" t="s">
        <v>1150</v>
      </c>
      <c r="B14" s="2112"/>
      <c r="C14" s="2112"/>
      <c r="D14" s="2112"/>
      <c r="E14" s="2112"/>
      <c r="F14" s="2112"/>
      <c r="G14" s="2112"/>
      <c r="H14" s="2112"/>
      <c r="I14" s="2112"/>
      <c r="J14" s="591">
        <f>M3+M7</f>
        <v>46892064.210000001</v>
      </c>
      <c r="K14" s="552" t="b">
        <f>L3+L7=J14</f>
        <v>1</v>
      </c>
      <c r="L14" s="594">
        <f>L2-J191-J75</f>
        <v>362196463.81999999</v>
      </c>
      <c r="M14" s="594"/>
      <c r="N14" s="594"/>
      <c r="O14" s="594"/>
      <c r="P14" s="594"/>
      <c r="Q14" s="594"/>
      <c r="R14" s="594"/>
      <c r="S14" s="594"/>
      <c r="T14" s="594"/>
      <c r="U14" s="594"/>
      <c r="V14" s="594"/>
      <c r="W14" s="594"/>
      <c r="X14" s="594"/>
      <c r="Y14" s="594"/>
      <c r="Z14" s="594"/>
      <c r="AA14" s="594"/>
      <c r="AB14" s="594"/>
    </row>
    <row r="15" spans="1:28" ht="63" customHeight="1" x14ac:dyDescent="0.25">
      <c r="A15" s="2112" t="s">
        <v>1151</v>
      </c>
      <c r="B15" s="2112"/>
      <c r="C15" s="2112"/>
      <c r="D15" s="2112"/>
      <c r="E15" s="2112"/>
      <c r="F15" s="2112"/>
      <c r="G15" s="2112"/>
      <c r="H15" s="2112"/>
      <c r="I15" s="2112"/>
      <c r="J15" s="591">
        <f>M2+M6</f>
        <v>370701215.22000003</v>
      </c>
      <c r="K15" s="552" t="b">
        <f>J15=L2+L6</f>
        <v>1</v>
      </c>
    </row>
    <row r="16" spans="1:28" ht="19.5" customHeight="1" x14ac:dyDescent="0.25">
      <c r="A16" s="2156" t="s">
        <v>286</v>
      </c>
      <c r="B16" s="2156"/>
      <c r="C16" s="2156"/>
      <c r="D16" s="2156"/>
      <c r="E16" s="2156"/>
      <c r="F16" s="2156"/>
      <c r="G16" s="2156"/>
      <c r="H16" s="2156"/>
      <c r="I16" s="2156"/>
      <c r="J16" s="591"/>
      <c r="K16" s="592"/>
    </row>
    <row r="17" spans="1:110" ht="33" customHeight="1" x14ac:dyDescent="0.25">
      <c r="A17" s="2112" t="s">
        <v>1150</v>
      </c>
      <c r="B17" s="2112"/>
      <c r="C17" s="2112"/>
      <c r="D17" s="2112"/>
      <c r="E17" s="2112"/>
      <c r="F17" s="2112"/>
      <c r="G17" s="2112"/>
      <c r="H17" s="2112"/>
      <c r="I17" s="2112"/>
      <c r="J17" s="591">
        <f>M5</f>
        <v>1060895</v>
      </c>
      <c r="K17" s="552" t="b">
        <f>J17=L5</f>
        <v>1</v>
      </c>
    </row>
    <row r="18" spans="1:110" ht="49.5" customHeight="1" x14ac:dyDescent="0.25">
      <c r="A18" s="2112" t="s">
        <v>1152</v>
      </c>
      <c r="B18" s="2112"/>
      <c r="C18" s="2112"/>
      <c r="D18" s="2112"/>
      <c r="E18" s="2112"/>
      <c r="F18" s="2112"/>
      <c r="G18" s="2112"/>
      <c r="H18" s="2112"/>
      <c r="I18" s="2112"/>
      <c r="J18" s="591">
        <f>M4</f>
        <v>1400100</v>
      </c>
      <c r="K18" s="552" t="b">
        <f>J18=L4</f>
        <v>1</v>
      </c>
      <c r="L18" s="108" t="s">
        <v>305</v>
      </c>
      <c r="M18" s="108" t="s">
        <v>236</v>
      </c>
    </row>
    <row r="19" spans="1:110" x14ac:dyDescent="0.25">
      <c r="H19" s="506"/>
      <c r="L19" s="108">
        <f>J28+J87+J124+J177+J195+J207+J223+J880</f>
        <v>420054274.43000001</v>
      </c>
      <c r="M19" s="108">
        <f>J30+J59+J89+J110+J135+J166+J179+J197+J209+J225+J263+J289+J472+J584+J608+J668+J882+J619+J254+J643+J857</f>
        <v>420054274.43000001</v>
      </c>
    </row>
    <row r="20" spans="1:110" x14ac:dyDescent="0.25">
      <c r="A20" s="507" t="s">
        <v>25</v>
      </c>
      <c r="L20" s="108" t="b">
        <f>L19=J7</f>
        <v>1</v>
      </c>
      <c r="M20" s="108" t="b">
        <f>M19=J7</f>
        <v>1</v>
      </c>
    </row>
    <row r="21" spans="1:110" x14ac:dyDescent="0.25">
      <c r="A21" s="507"/>
    </row>
    <row r="22" spans="1:110" ht="32.25" customHeight="1" x14ac:dyDescent="0.25">
      <c r="A22" s="507" t="s">
        <v>145</v>
      </c>
      <c r="E22" s="2166" t="s">
        <v>285</v>
      </c>
      <c r="F22" s="2167"/>
      <c r="G22" s="2167"/>
      <c r="H22" s="2167"/>
      <c r="I22" s="2167"/>
      <c r="J22" s="511">
        <f>J23</f>
        <v>420054274.43000001</v>
      </c>
      <c r="K22" s="592"/>
    </row>
    <row r="23" spans="1:110" x14ac:dyDescent="0.25">
      <c r="A23" s="507" t="s">
        <v>29</v>
      </c>
      <c r="B23" s="507"/>
      <c r="C23" s="507"/>
      <c r="D23" s="507"/>
      <c r="E23" s="618">
        <v>4</v>
      </c>
      <c r="J23" s="511">
        <f>J25+J175+J193+J220+J221</f>
        <v>420054274.43000001</v>
      </c>
    </row>
    <row r="24" spans="1:110" ht="12.75" customHeight="1" x14ac:dyDescent="0.25"/>
    <row r="25" spans="1:110" x14ac:dyDescent="0.25">
      <c r="A25" s="652" t="s">
        <v>158</v>
      </c>
      <c r="B25" s="652"/>
      <c r="C25" s="652"/>
      <c r="D25" s="652"/>
      <c r="E25" s="652"/>
      <c r="F25" s="652"/>
      <c r="G25" s="652"/>
      <c r="H25" s="653"/>
      <c r="I25" s="654"/>
      <c r="J25" s="654">
        <f>J28+J87+J124</f>
        <v>369910279.30000001</v>
      </c>
    </row>
    <row r="26" spans="1:110" x14ac:dyDescent="0.25">
      <c r="A26" s="1449" t="s">
        <v>312</v>
      </c>
    </row>
    <row r="28" spans="1:110" s="556" customFormat="1" ht="14.25" x14ac:dyDescent="0.25">
      <c r="A28" s="507" t="s">
        <v>147</v>
      </c>
      <c r="B28" s="507"/>
      <c r="C28" s="507"/>
      <c r="D28" s="507"/>
      <c r="E28" s="587" t="s">
        <v>65</v>
      </c>
      <c r="F28" s="507"/>
      <c r="G28" s="507"/>
      <c r="H28" s="562"/>
      <c r="I28" s="511"/>
      <c r="J28" s="511">
        <f>J30+J59</f>
        <v>281933267.04000002</v>
      </c>
      <c r="K28" s="582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DF28" s="579" t="e">
        <f>#REF!</f>
        <v>#REF!</v>
      </c>
    </row>
    <row r="29" spans="1:110" x14ac:dyDescent="0.25">
      <c r="A29" s="507"/>
      <c r="J29" s="511"/>
    </row>
    <row r="30" spans="1:110" x14ac:dyDescent="0.25">
      <c r="A30" s="507" t="s">
        <v>63</v>
      </c>
      <c r="E30" s="587" t="s">
        <v>64</v>
      </c>
      <c r="J30" s="510">
        <f>J46+J32</f>
        <v>280854659.13</v>
      </c>
    </row>
    <row r="31" spans="1:110" x14ac:dyDescent="0.25">
      <c r="A31" s="507"/>
      <c r="E31" s="587"/>
      <c r="J31" s="510"/>
    </row>
    <row r="32" spans="1:110" s="61" customFormat="1" x14ac:dyDescent="0.25">
      <c r="A32" s="786" t="s">
        <v>26</v>
      </c>
      <c r="B32" s="786"/>
      <c r="C32" s="786"/>
      <c r="D32" s="786"/>
      <c r="E32" s="793" t="s">
        <v>624</v>
      </c>
      <c r="F32" s="787"/>
      <c r="G32" s="787"/>
      <c r="H32" s="788"/>
      <c r="I32" s="986"/>
      <c r="J32" s="789">
        <f>J44</f>
        <v>2669971.1</v>
      </c>
      <c r="K32" s="849"/>
      <c r="L32" s="1326"/>
      <c r="M32" s="1326"/>
      <c r="N32" s="972"/>
      <c r="O32" s="1326"/>
      <c r="P32" s="1326"/>
      <c r="Q32" s="70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5"/>
      <c r="AE32" s="75"/>
    </row>
    <row r="33" spans="1:31" s="61" customFormat="1" x14ac:dyDescent="0.25">
      <c r="A33" s="1458" t="s">
        <v>27</v>
      </c>
      <c r="B33" s="1458"/>
      <c r="C33" s="1458"/>
      <c r="D33" s="1458"/>
      <c r="E33" s="71" t="s">
        <v>1830</v>
      </c>
      <c r="F33" s="1457"/>
      <c r="G33" s="1457"/>
      <c r="H33" s="60"/>
      <c r="I33" s="69"/>
      <c r="J33" s="85">
        <f>J44</f>
        <v>2669971.1</v>
      </c>
      <c r="K33" s="1302">
        <v>3512659.94</v>
      </c>
      <c r="L33" s="1362">
        <f>J44+J67+J153</f>
        <v>3512659.94</v>
      </c>
      <c r="M33" s="1362"/>
      <c r="N33" s="972"/>
      <c r="O33" s="1326"/>
      <c r="P33" s="1326"/>
      <c r="Q33" s="70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5"/>
      <c r="AE33" s="75"/>
    </row>
    <row r="34" spans="1:31" s="61" customFormat="1" x14ac:dyDescent="0.25">
      <c r="A34" s="745" t="s">
        <v>317</v>
      </c>
      <c r="B34" s="1457"/>
      <c r="C34" s="1457"/>
      <c r="D34" s="1457"/>
      <c r="E34" s="1457"/>
      <c r="F34" s="1457"/>
      <c r="G34" s="60"/>
      <c r="H34" s="90"/>
      <c r="I34" s="60"/>
      <c r="J34" s="60"/>
      <c r="K34" s="849"/>
      <c r="L34" s="1326"/>
      <c r="M34" s="1326"/>
      <c r="N34" s="972"/>
      <c r="O34" s="1326"/>
      <c r="P34" s="1326"/>
      <c r="Q34" s="70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5"/>
      <c r="AE34" s="75"/>
    </row>
    <row r="35" spans="1:31" s="61" customFormat="1" x14ac:dyDescent="0.25">
      <c r="A35" s="1926" t="s">
        <v>8</v>
      </c>
      <c r="B35" s="1956" t="s">
        <v>35</v>
      </c>
      <c r="C35" s="2157"/>
      <c r="D35" s="2157"/>
      <c r="E35" s="2157"/>
      <c r="F35" s="2157"/>
      <c r="G35" s="2157"/>
      <c r="H35" s="2157"/>
      <c r="I35" s="2158"/>
      <c r="J35" s="2024" t="s">
        <v>256</v>
      </c>
      <c r="K35" s="849"/>
      <c r="L35" s="1326"/>
      <c r="M35" s="1326"/>
      <c r="N35" s="972"/>
      <c r="O35" s="1326"/>
      <c r="P35" s="1326"/>
      <c r="Q35" s="70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5"/>
      <c r="AE35" s="75"/>
    </row>
    <row r="36" spans="1:31" s="61" customFormat="1" x14ac:dyDescent="0.25">
      <c r="A36" s="1926"/>
      <c r="B36" s="2159"/>
      <c r="C36" s="2160"/>
      <c r="D36" s="2160"/>
      <c r="E36" s="2160"/>
      <c r="F36" s="2160"/>
      <c r="G36" s="2160"/>
      <c r="H36" s="2160"/>
      <c r="I36" s="2161"/>
      <c r="J36" s="2162"/>
      <c r="K36" s="849"/>
      <c r="L36" s="1326"/>
      <c r="M36" s="1326"/>
      <c r="N36" s="972"/>
      <c r="O36" s="1326"/>
      <c r="P36" s="1326"/>
      <c r="Q36" s="70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5"/>
      <c r="AE36" s="75"/>
    </row>
    <row r="37" spans="1:31" s="61" customFormat="1" ht="15" customHeight="1" x14ac:dyDescent="0.25">
      <c r="A37" s="1418">
        <v>1</v>
      </c>
      <c r="B37" s="2003" t="s">
        <v>1831</v>
      </c>
      <c r="C37" s="2163"/>
      <c r="D37" s="2163"/>
      <c r="E37" s="2164"/>
      <c r="F37" s="2164"/>
      <c r="G37" s="2164"/>
      <c r="H37" s="2164"/>
      <c r="I37" s="2165"/>
      <c r="J37" s="1426">
        <f>2299410.28+55848.8</f>
        <v>2355259.08</v>
      </c>
      <c r="K37" s="98"/>
      <c r="L37" s="79"/>
      <c r="M37" s="79"/>
      <c r="N37" s="79"/>
      <c r="O37" s="79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75"/>
    </row>
    <row r="38" spans="1:31" s="61" customFormat="1" x14ac:dyDescent="0.25">
      <c r="A38" s="1450">
        <v>2</v>
      </c>
      <c r="B38" s="1986" t="s">
        <v>1471</v>
      </c>
      <c r="C38" s="1986"/>
      <c r="D38" s="1986"/>
      <c r="E38" s="1986"/>
      <c r="F38" s="1986"/>
      <c r="G38" s="1986"/>
      <c r="H38" s="1986"/>
      <c r="I38" s="1986"/>
      <c r="J38" s="1426">
        <f>194050.48+0.01</f>
        <v>194050.49</v>
      </c>
      <c r="K38" s="98"/>
      <c r="L38" s="79"/>
      <c r="M38" s="79"/>
      <c r="N38" s="79"/>
      <c r="O38" s="79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75"/>
    </row>
    <row r="39" spans="1:31" s="61" customFormat="1" x14ac:dyDescent="0.25">
      <c r="A39" s="1450">
        <v>3</v>
      </c>
      <c r="B39" s="1986" t="s">
        <v>1472</v>
      </c>
      <c r="C39" s="1986"/>
      <c r="D39" s="1986"/>
      <c r="E39" s="1986"/>
      <c r="F39" s="1986"/>
      <c r="G39" s="1986"/>
      <c r="H39" s="1986"/>
      <c r="I39" s="1986"/>
      <c r="J39" s="1426">
        <f>4*2*10000</f>
        <v>80000</v>
      </c>
      <c r="K39" s="98"/>
      <c r="L39" s="79"/>
      <c r="M39" s="79"/>
      <c r="N39" s="79"/>
      <c r="O39" s="79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75"/>
    </row>
    <row r="40" spans="1:31" s="61" customFormat="1" x14ac:dyDescent="0.25">
      <c r="A40" s="1450">
        <v>4</v>
      </c>
      <c r="B40" s="1986" t="s">
        <v>1473</v>
      </c>
      <c r="C40" s="1986"/>
      <c r="D40" s="1986"/>
      <c r="E40" s="1986"/>
      <c r="F40" s="1986"/>
      <c r="G40" s="1986"/>
      <c r="H40" s="1986"/>
      <c r="I40" s="1986"/>
      <c r="J40" s="1426">
        <v>9572.93</v>
      </c>
      <c r="K40" s="98"/>
      <c r="L40" s="79"/>
      <c r="M40" s="79"/>
      <c r="N40" s="79"/>
      <c r="O40" s="79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75"/>
    </row>
    <row r="41" spans="1:31" s="61" customFormat="1" x14ac:dyDescent="0.25">
      <c r="A41" s="1450">
        <v>5</v>
      </c>
      <c r="B41" s="1986" t="s">
        <v>1474</v>
      </c>
      <c r="C41" s="1986"/>
      <c r="D41" s="1986"/>
      <c r="E41" s="1986"/>
      <c r="F41" s="1986"/>
      <c r="G41" s="1986"/>
      <c r="H41" s="1986"/>
      <c r="I41" s="1986"/>
      <c r="J41" s="1426">
        <v>29848.22</v>
      </c>
      <c r="K41" s="98"/>
      <c r="L41" s="79"/>
      <c r="M41" s="79"/>
      <c r="N41" s="79"/>
      <c r="O41" s="79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75"/>
    </row>
    <row r="42" spans="1:31" s="61" customFormat="1" x14ac:dyDescent="0.25">
      <c r="A42" s="1450">
        <v>6</v>
      </c>
      <c r="B42" s="1986" t="s">
        <v>1832</v>
      </c>
      <c r="C42" s="1986"/>
      <c r="D42" s="1986"/>
      <c r="E42" s="1986"/>
      <c r="F42" s="1986"/>
      <c r="G42" s="1986"/>
      <c r="H42" s="1986"/>
      <c r="I42" s="1986"/>
      <c r="J42" s="1426">
        <v>1240.3800000000001</v>
      </c>
      <c r="K42" s="98"/>
      <c r="L42" s="79"/>
      <c r="M42" s="79"/>
      <c r="N42" s="79"/>
      <c r="O42" s="79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75"/>
    </row>
    <row r="43" spans="1:31" s="61" customFormat="1" hidden="1" x14ac:dyDescent="0.25">
      <c r="A43" s="1450">
        <v>7</v>
      </c>
      <c r="B43" s="1986" t="s">
        <v>1475</v>
      </c>
      <c r="C43" s="1986"/>
      <c r="D43" s="1986"/>
      <c r="E43" s="1986"/>
      <c r="F43" s="1986"/>
      <c r="G43" s="1986"/>
      <c r="H43" s="1986"/>
      <c r="I43" s="1986"/>
      <c r="J43" s="1426"/>
      <c r="K43" s="98"/>
      <c r="L43" s="79"/>
      <c r="M43" s="79"/>
      <c r="N43" s="79"/>
      <c r="O43" s="79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75"/>
    </row>
    <row r="44" spans="1:31" s="61" customFormat="1" x14ac:dyDescent="0.25">
      <c r="A44" s="2039" t="s">
        <v>39</v>
      </c>
      <c r="B44" s="2040"/>
      <c r="C44" s="2040"/>
      <c r="D44" s="2040"/>
      <c r="E44" s="2040"/>
      <c r="F44" s="2040"/>
      <c r="G44" s="2040"/>
      <c r="H44" s="2040"/>
      <c r="I44" s="2041"/>
      <c r="J44" s="1192">
        <f>SUM(J37:J43)</f>
        <v>2669971.1</v>
      </c>
      <c r="K44" s="344">
        <v>0</v>
      </c>
      <c r="L44" s="1327">
        <f>J44-K44</f>
        <v>2669971.1</v>
      </c>
      <c r="M44" s="1326"/>
      <c r="N44" s="972"/>
      <c r="O44" s="1326"/>
      <c r="P44" s="1326"/>
      <c r="Q44" s="70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5"/>
      <c r="AE44" s="75"/>
    </row>
    <row r="45" spans="1:31" x14ac:dyDescent="0.25">
      <c r="A45" s="507"/>
      <c r="E45" s="587"/>
      <c r="J45" s="510"/>
    </row>
    <row r="46" spans="1:31" x14ac:dyDescent="0.25">
      <c r="A46" s="973" t="s">
        <v>26</v>
      </c>
      <c r="B46" s="973"/>
      <c r="C46" s="973"/>
      <c r="D46" s="973"/>
      <c r="E46" s="980" t="s">
        <v>625</v>
      </c>
      <c r="F46" s="976"/>
      <c r="G46" s="976"/>
      <c r="H46" s="977"/>
      <c r="I46" s="978"/>
      <c r="J46" s="979">
        <f>J57</f>
        <v>278184688.02999997</v>
      </c>
      <c r="K46" s="1302">
        <f>L2</f>
        <v>363287190.92000002</v>
      </c>
      <c r="L46" s="1362">
        <f>J57+J75+J164+J191</f>
        <v>363287190.92000002</v>
      </c>
      <c r="M46" s="552">
        <f>K46-L46</f>
        <v>0</v>
      </c>
    </row>
    <row r="47" spans="1:31" x14ac:dyDescent="0.25">
      <c r="A47" s="507" t="s">
        <v>27</v>
      </c>
      <c r="B47" s="507"/>
      <c r="C47" s="507"/>
      <c r="D47" s="507"/>
      <c r="E47" s="587" t="s">
        <v>1837</v>
      </c>
      <c r="M47" s="552">
        <f>(M46*30.2%)/100%</f>
        <v>0</v>
      </c>
    </row>
    <row r="48" spans="1:31" s="61" customFormat="1" x14ac:dyDescent="0.25">
      <c r="A48" s="1457" t="s">
        <v>313</v>
      </c>
      <c r="B48" s="1457"/>
      <c r="C48" s="1457"/>
      <c r="D48" s="1457"/>
      <c r="E48" s="72"/>
      <c r="F48" s="1457"/>
      <c r="G48" s="1457"/>
      <c r="H48" s="60"/>
      <c r="I48" s="69"/>
      <c r="J48" s="69"/>
      <c r="K48" s="81"/>
      <c r="L48" s="79"/>
      <c r="M48" s="1549">
        <f>M46-M47</f>
        <v>0</v>
      </c>
      <c r="N48" s="969"/>
      <c r="O48" s="79"/>
      <c r="P48" s="79"/>
      <c r="Q48" s="70"/>
      <c r="R48" s="70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5"/>
      <c r="AE48" s="75"/>
    </row>
    <row r="49" spans="1:31" s="61" customFormat="1" ht="31.5" customHeight="1" x14ac:dyDescent="0.25">
      <c r="A49" s="1405" t="s">
        <v>8</v>
      </c>
      <c r="B49" s="2120" t="s">
        <v>35</v>
      </c>
      <c r="C49" s="2168"/>
      <c r="D49" s="2168"/>
      <c r="E49" s="2168"/>
      <c r="F49" s="2168"/>
      <c r="G49" s="2168"/>
      <c r="H49" s="2168"/>
      <c r="I49" s="2169"/>
      <c r="J49" s="1404" t="s">
        <v>256</v>
      </c>
      <c r="K49" s="98"/>
      <c r="L49" s="79"/>
      <c r="M49" s="79"/>
      <c r="N49" s="79"/>
      <c r="O49" s="79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75"/>
    </row>
    <row r="50" spans="1:31" s="61" customFormat="1" x14ac:dyDescent="0.25">
      <c r="A50" s="1405">
        <v>1</v>
      </c>
      <c r="B50" s="2003" t="s">
        <v>1470</v>
      </c>
      <c r="C50" s="2163"/>
      <c r="D50" s="2163"/>
      <c r="E50" s="2164"/>
      <c r="F50" s="2164"/>
      <c r="G50" s="2164"/>
      <c r="H50" s="2164"/>
      <c r="I50" s="2165"/>
      <c r="J50" s="1426">
        <f>208167112.44+52551352.06</f>
        <v>260718464.5</v>
      </c>
      <c r="K50" s="98"/>
      <c r="L50" s="79"/>
      <c r="M50" s="79"/>
      <c r="N50" s="79"/>
      <c r="O50" s="79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75"/>
    </row>
    <row r="51" spans="1:31" s="61" customFormat="1" x14ac:dyDescent="0.25">
      <c r="A51" s="1405">
        <v>2</v>
      </c>
      <c r="B51" s="1909" t="s">
        <v>1471</v>
      </c>
      <c r="C51" s="1909"/>
      <c r="D51" s="1909"/>
      <c r="E51" s="1909"/>
      <c r="F51" s="1909"/>
      <c r="G51" s="1909"/>
      <c r="H51" s="1909"/>
      <c r="I51" s="1909"/>
      <c r="J51" s="1426">
        <f>8308182.55+3000000</f>
        <v>11308182.550000001</v>
      </c>
      <c r="K51" s="98"/>
      <c r="L51" s="79"/>
      <c r="M51" s="79"/>
      <c r="N51" s="79"/>
      <c r="O51" s="79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75"/>
    </row>
    <row r="52" spans="1:31" s="61" customFormat="1" ht="15" customHeight="1" x14ac:dyDescent="0.25">
      <c r="A52" s="1405">
        <v>3</v>
      </c>
      <c r="B52" s="1909" t="s">
        <v>1472</v>
      </c>
      <c r="C52" s="1909"/>
      <c r="D52" s="1909"/>
      <c r="E52" s="1909"/>
      <c r="F52" s="1909"/>
      <c r="G52" s="1909"/>
      <c r="H52" s="1909"/>
      <c r="I52" s="1909"/>
      <c r="J52" s="1426">
        <f>171*2*10000</f>
        <v>3420000</v>
      </c>
      <c r="K52" s="1440"/>
      <c r="L52" s="70"/>
      <c r="M52" s="70"/>
      <c r="N52" s="70"/>
      <c r="O52" s="70"/>
      <c r="P52" s="98"/>
      <c r="Q52" s="98"/>
      <c r="R52" s="98"/>
      <c r="S52" s="98"/>
      <c r="T52" s="98"/>
      <c r="U52" s="98"/>
      <c r="V52" s="79"/>
      <c r="W52" s="79"/>
      <c r="X52" s="79"/>
      <c r="Y52" s="79"/>
      <c r="Z52" s="79"/>
      <c r="AA52" s="79"/>
      <c r="AB52" s="79"/>
      <c r="AC52" s="79"/>
      <c r="AD52" s="75"/>
      <c r="AE52" s="75"/>
    </row>
    <row r="53" spans="1:31" s="61" customFormat="1" ht="15" customHeight="1" x14ac:dyDescent="0.25">
      <c r="A53" s="1405">
        <v>4</v>
      </c>
      <c r="B53" s="1909" t="s">
        <v>1473</v>
      </c>
      <c r="C53" s="1909"/>
      <c r="D53" s="1909"/>
      <c r="E53" s="1909"/>
      <c r="F53" s="1909"/>
      <c r="G53" s="1909"/>
      <c r="H53" s="1909"/>
      <c r="I53" s="1909"/>
      <c r="J53" s="1426">
        <f>(J50)/12*5%</f>
        <v>1086326.94</v>
      </c>
      <c r="K53" s="1440"/>
      <c r="P53" s="98"/>
      <c r="Q53" s="98"/>
      <c r="R53" s="98"/>
      <c r="S53" s="98"/>
      <c r="T53" s="98"/>
      <c r="U53" s="98"/>
      <c r="V53" s="79"/>
      <c r="W53" s="79"/>
      <c r="X53" s="79"/>
      <c r="Y53" s="79"/>
      <c r="Z53" s="79"/>
      <c r="AA53" s="79"/>
      <c r="AB53" s="79"/>
      <c r="AC53" s="79"/>
      <c r="AD53" s="75"/>
      <c r="AE53" s="75"/>
    </row>
    <row r="54" spans="1:31" s="61" customFormat="1" ht="15" customHeight="1" x14ac:dyDescent="0.25">
      <c r="A54" s="1405">
        <v>5</v>
      </c>
      <c r="B54" s="1909" t="s">
        <v>1474</v>
      </c>
      <c r="C54" s="1909"/>
      <c r="D54" s="1909"/>
      <c r="E54" s="1909"/>
      <c r="F54" s="1909"/>
      <c r="G54" s="1909"/>
      <c r="H54" s="1909"/>
      <c r="I54" s="1909"/>
      <c r="J54" s="1426">
        <f>J50/12*4%</f>
        <v>869061.55</v>
      </c>
      <c r="K54" s="1440"/>
      <c r="L54" s="97"/>
      <c r="M54" s="98"/>
      <c r="N54" s="98"/>
      <c r="O54" s="98"/>
      <c r="P54" s="98"/>
      <c r="Q54" s="98"/>
      <c r="R54" s="98"/>
      <c r="S54" s="98"/>
      <c r="T54" s="98"/>
      <c r="U54" s="98"/>
      <c r="V54" s="79"/>
      <c r="W54" s="79"/>
      <c r="X54" s="79"/>
      <c r="Y54" s="79"/>
      <c r="Z54" s="79"/>
      <c r="AA54" s="79"/>
      <c r="AB54" s="79"/>
      <c r="AC54" s="79"/>
      <c r="AD54" s="75"/>
      <c r="AE54" s="75"/>
    </row>
    <row r="55" spans="1:31" s="61" customFormat="1" ht="15" customHeight="1" x14ac:dyDescent="0.25">
      <c r="A55" s="1405">
        <v>6</v>
      </c>
      <c r="B55" s="1986" t="s">
        <v>1832</v>
      </c>
      <c r="C55" s="1986"/>
      <c r="D55" s="1986"/>
      <c r="E55" s="1986"/>
      <c r="F55" s="1986"/>
      <c r="G55" s="1986"/>
      <c r="H55" s="1986"/>
      <c r="I55" s="1986"/>
      <c r="J55" s="1426">
        <v>782652.49</v>
      </c>
      <c r="K55" s="81"/>
      <c r="L55" s="970"/>
      <c r="M55" s="970"/>
      <c r="N55" s="970"/>
      <c r="O55" s="970"/>
      <c r="P55" s="970"/>
      <c r="Q55" s="98"/>
      <c r="R55" s="98"/>
      <c r="S55" s="98"/>
      <c r="T55" s="98"/>
      <c r="U55" s="98"/>
      <c r="V55" s="79"/>
      <c r="W55" s="79"/>
      <c r="X55" s="79"/>
      <c r="Y55" s="79"/>
      <c r="Z55" s="79"/>
      <c r="AA55" s="79"/>
      <c r="AB55" s="79"/>
      <c r="AC55" s="79"/>
      <c r="AD55" s="75"/>
      <c r="AE55" s="75"/>
    </row>
    <row r="56" spans="1:31" s="61" customFormat="1" ht="15" hidden="1" customHeight="1" x14ac:dyDescent="0.25">
      <c r="A56" s="1405">
        <v>7</v>
      </c>
      <c r="B56" s="1909" t="s">
        <v>1475</v>
      </c>
      <c r="C56" s="1909"/>
      <c r="D56" s="1909"/>
      <c r="E56" s="1909"/>
      <c r="F56" s="1909"/>
      <c r="G56" s="1909"/>
      <c r="H56" s="1909"/>
      <c r="I56" s="1909"/>
      <c r="J56" s="1426"/>
      <c r="K56" s="81"/>
      <c r="L56" s="970"/>
      <c r="M56" s="970"/>
      <c r="N56" s="970"/>
      <c r="O56" s="970"/>
      <c r="P56" s="970"/>
      <c r="Q56" s="98"/>
      <c r="R56" s="98"/>
      <c r="S56" s="98"/>
      <c r="T56" s="98"/>
      <c r="U56" s="98"/>
      <c r="V56" s="79"/>
      <c r="W56" s="79"/>
      <c r="X56" s="79"/>
      <c r="Y56" s="79"/>
      <c r="Z56" s="79"/>
      <c r="AA56" s="79"/>
      <c r="AB56" s="79"/>
      <c r="AC56" s="79"/>
      <c r="AD56" s="75"/>
      <c r="AE56" s="75"/>
    </row>
    <row r="57" spans="1:31" s="61" customFormat="1" x14ac:dyDescent="0.25">
      <c r="A57" s="2039" t="s">
        <v>39</v>
      </c>
      <c r="B57" s="2040"/>
      <c r="C57" s="2040"/>
      <c r="D57" s="2040"/>
      <c r="E57" s="2040"/>
      <c r="F57" s="2040"/>
      <c r="G57" s="2040"/>
      <c r="H57" s="2040"/>
      <c r="I57" s="2041"/>
      <c r="J57" s="1406">
        <f>SUM(J50:J56)</f>
        <v>278184688.02999997</v>
      </c>
      <c r="K57" s="344">
        <v>0</v>
      </c>
      <c r="L57" s="739">
        <f>J57-K57</f>
        <v>278184688.02999997</v>
      </c>
      <c r="M57" s="971"/>
      <c r="N57" s="972"/>
      <c r="O57" s="972"/>
      <c r="P57" s="972"/>
      <c r="Q57" s="98"/>
      <c r="R57" s="98"/>
      <c r="S57" s="98"/>
      <c r="T57" s="98"/>
      <c r="U57" s="98"/>
      <c r="V57" s="79"/>
      <c r="W57" s="79"/>
      <c r="X57" s="79"/>
      <c r="Y57" s="79"/>
      <c r="Z57" s="79"/>
      <c r="AA57" s="79"/>
      <c r="AB57" s="79"/>
      <c r="AC57" s="79"/>
      <c r="AD57" s="75"/>
      <c r="AE57" s="75"/>
    </row>
    <row r="59" spans="1:31" x14ac:dyDescent="0.25">
      <c r="A59" s="507" t="s">
        <v>63</v>
      </c>
      <c r="B59" s="507"/>
      <c r="C59" s="507"/>
      <c r="D59" s="551"/>
      <c r="E59" s="507" t="s">
        <v>66</v>
      </c>
      <c r="J59" s="510">
        <f>J69+J61</f>
        <v>1078607.9099999999</v>
      </c>
    </row>
    <row r="60" spans="1:31" x14ac:dyDescent="0.25">
      <c r="A60" s="507"/>
      <c r="B60" s="507"/>
      <c r="C60" s="507"/>
      <c r="D60" s="551"/>
      <c r="E60" s="507"/>
      <c r="J60" s="510"/>
    </row>
    <row r="61" spans="1:31" s="61" customFormat="1" x14ac:dyDescent="0.25">
      <c r="A61" s="786" t="s">
        <v>26</v>
      </c>
      <c r="B61" s="786"/>
      <c r="C61" s="786"/>
      <c r="D61" s="786"/>
      <c r="E61" s="793" t="s">
        <v>624</v>
      </c>
      <c r="F61" s="787"/>
      <c r="G61" s="787"/>
      <c r="H61" s="788"/>
      <c r="I61" s="986"/>
      <c r="J61" s="789">
        <f>J67</f>
        <v>36357.57</v>
      </c>
      <c r="K61" s="849"/>
      <c r="L61" s="1326"/>
      <c r="M61" s="1326"/>
      <c r="N61" s="972"/>
      <c r="O61" s="1326"/>
      <c r="P61" s="1326"/>
      <c r="Q61" s="70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5"/>
      <c r="AE61" s="75"/>
    </row>
    <row r="62" spans="1:31" s="61" customFormat="1" x14ac:dyDescent="0.25">
      <c r="A62" s="1458" t="s">
        <v>27</v>
      </c>
      <c r="B62" s="1458"/>
      <c r="C62" s="1458"/>
      <c r="D62" s="1458"/>
      <c r="E62" s="71" t="s">
        <v>1830</v>
      </c>
      <c r="F62" s="1457"/>
      <c r="G62" s="1457"/>
      <c r="H62" s="60"/>
      <c r="I62" s="69"/>
      <c r="J62" s="85">
        <f>J67</f>
        <v>36357.57</v>
      </c>
      <c r="K62" s="849"/>
      <c r="L62" s="1326"/>
      <c r="M62" s="1326"/>
      <c r="N62" s="972"/>
      <c r="O62" s="1326"/>
      <c r="P62" s="1326"/>
      <c r="Q62" s="70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5"/>
      <c r="AE62" s="75"/>
    </row>
    <row r="63" spans="1:31" s="61" customFormat="1" x14ac:dyDescent="0.25">
      <c r="A63" s="1457" t="s">
        <v>322</v>
      </c>
      <c r="B63" s="1457"/>
      <c r="C63" s="1457"/>
      <c r="D63" s="1457"/>
      <c r="E63" s="1457"/>
      <c r="F63" s="1457"/>
      <c r="G63" s="1457"/>
      <c r="H63" s="60"/>
      <c r="I63" s="69"/>
      <c r="J63" s="69"/>
      <c r="K63" s="81"/>
      <c r="L63" s="70"/>
      <c r="M63" s="70"/>
      <c r="N63" s="70"/>
      <c r="O63" s="70"/>
      <c r="P63" s="70"/>
      <c r="Q63" s="70"/>
      <c r="R63" s="70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5"/>
      <c r="AE63" s="75"/>
    </row>
    <row r="64" spans="1:31" s="61" customFormat="1" x14ac:dyDescent="0.25">
      <c r="A64" s="1926" t="s">
        <v>8</v>
      </c>
      <c r="B64" s="2045" t="s">
        <v>35</v>
      </c>
      <c r="C64" s="2171"/>
      <c r="D64" s="2171"/>
      <c r="E64" s="2171"/>
      <c r="F64" s="2171"/>
      <c r="G64" s="2179" t="s">
        <v>2046</v>
      </c>
      <c r="H64" s="2173"/>
      <c r="I64" s="2173"/>
      <c r="J64" s="2173"/>
      <c r="K64" s="81"/>
      <c r="L64" s="70"/>
      <c r="M64" s="70"/>
      <c r="N64" s="70"/>
      <c r="O64" s="70"/>
      <c r="P64" s="70"/>
      <c r="Q64" s="70"/>
      <c r="R64" s="70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5"/>
      <c r="AE64" s="75"/>
    </row>
    <row r="65" spans="1:31" s="61" customFormat="1" ht="74.25" customHeight="1" x14ac:dyDescent="0.2">
      <c r="A65" s="2171"/>
      <c r="B65" s="2171"/>
      <c r="C65" s="2171"/>
      <c r="D65" s="2171"/>
      <c r="E65" s="2171"/>
      <c r="F65" s="2171"/>
      <c r="G65" s="1120" t="s">
        <v>1604</v>
      </c>
      <c r="H65" s="1410" t="s">
        <v>276</v>
      </c>
      <c r="I65" s="1441" t="s">
        <v>36</v>
      </c>
      <c r="J65" s="1420" t="s">
        <v>256</v>
      </c>
      <c r="K65" s="81"/>
      <c r="L65" s="1328"/>
      <c r="M65" s="1328"/>
      <c r="N65" s="1329"/>
      <c r="O65" s="1329"/>
      <c r="P65" s="79"/>
      <c r="Q65" s="79"/>
      <c r="R65" s="70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5"/>
      <c r="AE65" s="75"/>
    </row>
    <row r="66" spans="1:31" s="61" customFormat="1" x14ac:dyDescent="0.25">
      <c r="A66" s="1418">
        <v>1</v>
      </c>
      <c r="B66" s="2003" t="s">
        <v>37</v>
      </c>
      <c r="C66" s="2164"/>
      <c r="D66" s="2164"/>
      <c r="E66" s="2164"/>
      <c r="F66" s="2165"/>
      <c r="G66" s="1115">
        <v>4039.73</v>
      </c>
      <c r="H66" s="1116">
        <v>3</v>
      </c>
      <c r="I66" s="1116">
        <v>3</v>
      </c>
      <c r="J66" s="1420">
        <f>G66*H66*I66</f>
        <v>36357.57</v>
      </c>
      <c r="K66" s="81"/>
      <c r="L66" s="970"/>
      <c r="M66" s="970"/>
      <c r="N66" s="970"/>
      <c r="O66" s="970"/>
      <c r="P66" s="79"/>
      <c r="Q66" s="79"/>
      <c r="R66" s="70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5"/>
      <c r="AE66" s="75"/>
    </row>
    <row r="67" spans="1:31" s="61" customFormat="1" ht="15.75" customHeight="1" x14ac:dyDescent="0.25">
      <c r="A67" s="2036" t="s">
        <v>39</v>
      </c>
      <c r="B67" s="2037"/>
      <c r="C67" s="2037"/>
      <c r="D67" s="2037"/>
      <c r="E67" s="2037"/>
      <c r="F67" s="2168"/>
      <c r="G67" s="2168"/>
      <c r="H67" s="2168"/>
      <c r="I67" s="2169"/>
      <c r="J67" s="1192">
        <f>SUM(J65:J66)</f>
        <v>36357.57</v>
      </c>
      <c r="K67" s="344">
        <v>0</v>
      </c>
      <c r="L67" s="1327">
        <f>J67-K67</f>
        <v>36357.57</v>
      </c>
      <c r="M67" s="970"/>
      <c r="N67" s="972"/>
      <c r="O67" s="972"/>
      <c r="P67" s="972"/>
      <c r="Q67" s="79"/>
      <c r="R67" s="70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5"/>
      <c r="AE67" s="75"/>
    </row>
    <row r="68" spans="1:31" x14ac:dyDescent="0.25">
      <c r="A68" s="507"/>
      <c r="B68" s="507"/>
      <c r="C68" s="507"/>
      <c r="D68" s="551"/>
      <c r="E68" s="507"/>
      <c r="J68" s="510"/>
    </row>
    <row r="69" spans="1:31" x14ac:dyDescent="0.25">
      <c r="A69" s="973" t="s">
        <v>26</v>
      </c>
      <c r="B69" s="973"/>
      <c r="C69" s="973"/>
      <c r="D69" s="974"/>
      <c r="E69" s="973" t="s">
        <v>625</v>
      </c>
      <c r="F69" s="976"/>
      <c r="G69" s="976"/>
      <c r="H69" s="977"/>
      <c r="I69" s="978"/>
      <c r="J69" s="979">
        <f>J75</f>
        <v>1042250.34</v>
      </c>
    </row>
    <row r="70" spans="1:31" x14ac:dyDescent="0.25">
      <c r="A70" s="507" t="s">
        <v>27</v>
      </c>
      <c r="B70" s="507"/>
      <c r="C70" s="507"/>
      <c r="D70" s="551"/>
      <c r="E70" s="507" t="s">
        <v>1837</v>
      </c>
    </row>
    <row r="71" spans="1:31" x14ac:dyDescent="0.25">
      <c r="A71" s="1449" t="s">
        <v>322</v>
      </c>
    </row>
    <row r="72" spans="1:31" x14ac:dyDescent="0.25">
      <c r="A72" s="2170" t="s">
        <v>8</v>
      </c>
      <c r="B72" s="2172" t="s">
        <v>35</v>
      </c>
      <c r="C72" s="2171"/>
      <c r="D72" s="2171"/>
      <c r="E72" s="2171"/>
      <c r="F72" s="2171"/>
      <c r="G72" s="2170" t="s">
        <v>2046</v>
      </c>
      <c r="H72" s="2173"/>
      <c r="I72" s="2173"/>
      <c r="J72" s="2173"/>
    </row>
    <row r="73" spans="1:31" ht="76.5" customHeight="1" x14ac:dyDescent="0.25">
      <c r="A73" s="2171"/>
      <c r="B73" s="2171"/>
      <c r="C73" s="2171"/>
      <c r="D73" s="2171"/>
      <c r="E73" s="2171"/>
      <c r="F73" s="2171"/>
      <c r="G73" s="1120" t="s">
        <v>1604</v>
      </c>
      <c r="H73" s="1410" t="s">
        <v>276</v>
      </c>
      <c r="I73" s="1441" t="s">
        <v>36</v>
      </c>
      <c r="J73" s="1434" t="s">
        <v>256</v>
      </c>
    </row>
    <row r="74" spans="1:31" x14ac:dyDescent="0.25">
      <c r="A74" s="1408">
        <v>1</v>
      </c>
      <c r="B74" s="1112" t="s">
        <v>37</v>
      </c>
      <c r="C74" s="1113"/>
      <c r="D74" s="1114"/>
      <c r="E74" s="1114"/>
      <c r="F74" s="1114"/>
      <c r="G74" s="1115">
        <v>4039.73</v>
      </c>
      <c r="H74" s="1116">
        <v>86</v>
      </c>
      <c r="I74" s="1116">
        <v>3</v>
      </c>
      <c r="J74" s="1434">
        <f>G74*H74*I74</f>
        <v>1042250.34</v>
      </c>
    </row>
    <row r="75" spans="1:31" x14ac:dyDescent="0.25">
      <c r="A75" s="2174" t="s">
        <v>39</v>
      </c>
      <c r="B75" s="2175"/>
      <c r="C75" s="2176"/>
      <c r="D75" s="2175"/>
      <c r="E75" s="2175"/>
      <c r="F75" s="2175"/>
      <c r="G75" s="2175"/>
      <c r="H75" s="2175"/>
      <c r="I75" s="2177"/>
      <c r="J75" s="1406">
        <f>SUM(J73:J74)</f>
        <v>1042250.34</v>
      </c>
      <c r="K75" s="597">
        <v>0</v>
      </c>
      <c r="L75" s="739">
        <f>J75-K75</f>
        <v>1042250.34</v>
      </c>
    </row>
    <row r="76" spans="1:31" ht="19.5" hidden="1" customHeight="1" x14ac:dyDescent="0.25">
      <c r="A76" s="1449" t="s">
        <v>40</v>
      </c>
    </row>
    <row r="77" spans="1:31" ht="32.25" hidden="1" customHeight="1" x14ac:dyDescent="0.25">
      <c r="A77" s="1449" t="s">
        <v>41</v>
      </c>
    </row>
    <row r="78" spans="1:31" ht="12" hidden="1" customHeight="1" x14ac:dyDescent="0.25"/>
    <row r="79" spans="1:31" ht="12" hidden="1" customHeight="1" x14ac:dyDescent="0.25">
      <c r="A79" s="2178" t="s">
        <v>42</v>
      </c>
      <c r="B79" s="2178"/>
      <c r="C79" s="2178"/>
      <c r="D79" s="2178"/>
      <c r="E79" s="2178"/>
      <c r="F79" s="2178"/>
      <c r="G79" s="2178"/>
      <c r="H79" s="2178"/>
      <c r="I79" s="2178"/>
      <c r="J79" s="2178"/>
    </row>
    <row r="80" spans="1:31" ht="12" hidden="1" customHeight="1" x14ac:dyDescent="0.25"/>
    <row r="81" spans="1:28" ht="12" hidden="1" customHeight="1" x14ac:dyDescent="0.25"/>
    <row r="82" spans="1:28" ht="12" hidden="1" customHeight="1" x14ac:dyDescent="0.25"/>
    <row r="83" spans="1:28" ht="12" hidden="1" customHeight="1" x14ac:dyDescent="0.25"/>
    <row r="84" spans="1:28" ht="12" hidden="1" customHeight="1" x14ac:dyDescent="0.25"/>
    <row r="85" spans="1:28" ht="12" hidden="1" customHeight="1" x14ac:dyDescent="0.25"/>
    <row r="87" spans="1:28" x14ac:dyDescent="0.25">
      <c r="A87" s="507" t="s">
        <v>147</v>
      </c>
      <c r="B87" s="507"/>
      <c r="C87" s="507"/>
      <c r="D87" s="507"/>
      <c r="E87" s="587" t="s">
        <v>68</v>
      </c>
      <c r="J87" s="511">
        <f>J89+J100+J110</f>
        <v>2993836.7</v>
      </c>
    </row>
    <row r="88" spans="1:28" x14ac:dyDescent="0.25">
      <c r="E88" s="504"/>
    </row>
    <row r="89" spans="1:28" x14ac:dyDescent="0.25">
      <c r="A89" s="507" t="s">
        <v>63</v>
      </c>
      <c r="E89" s="509" t="s">
        <v>73</v>
      </c>
      <c r="G89" s="505"/>
      <c r="H89" s="576"/>
      <c r="I89" s="505"/>
      <c r="J89" s="511">
        <f>J90</f>
        <v>2913395.6</v>
      </c>
      <c r="K89" s="561"/>
      <c r="L89" s="561"/>
      <c r="M89" s="561"/>
      <c r="N89" s="561"/>
      <c r="O89" s="551"/>
      <c r="P89" s="551"/>
      <c r="Q89" s="551"/>
      <c r="R89" s="551"/>
      <c r="S89" s="551"/>
      <c r="T89" s="551"/>
      <c r="U89" s="551"/>
      <c r="V89" s="551"/>
      <c r="W89" s="551"/>
      <c r="X89" s="551"/>
      <c r="Y89" s="551"/>
      <c r="Z89" s="551"/>
      <c r="AA89" s="551"/>
      <c r="AB89" s="551"/>
    </row>
    <row r="90" spans="1:28" x14ac:dyDescent="0.25">
      <c r="A90" s="786" t="s">
        <v>26</v>
      </c>
      <c r="B90" s="787"/>
      <c r="C90" s="787"/>
      <c r="D90" s="787"/>
      <c r="E90" s="793" t="s">
        <v>624</v>
      </c>
      <c r="F90" s="787"/>
      <c r="G90" s="788"/>
      <c r="H90" s="985"/>
      <c r="I90" s="788"/>
      <c r="J90" s="789">
        <f>J98</f>
        <v>2913395.6</v>
      </c>
      <c r="K90" s="561"/>
      <c r="L90" s="561"/>
      <c r="M90" s="561"/>
      <c r="N90" s="561"/>
      <c r="O90" s="551"/>
      <c r="P90" s="551"/>
      <c r="Q90" s="551"/>
      <c r="R90" s="551"/>
      <c r="S90" s="551"/>
      <c r="T90" s="551"/>
      <c r="U90" s="551"/>
      <c r="V90" s="551"/>
      <c r="W90" s="551"/>
      <c r="X90" s="551"/>
      <c r="Y90" s="551"/>
      <c r="Z90" s="551"/>
      <c r="AA90" s="551"/>
      <c r="AB90" s="551"/>
    </row>
    <row r="91" spans="1:28" x14ac:dyDescent="0.25">
      <c r="A91" s="507" t="s">
        <v>27</v>
      </c>
      <c r="E91" s="587" t="s">
        <v>2068</v>
      </c>
      <c r="G91" s="505"/>
      <c r="H91" s="576"/>
      <c r="I91" s="505"/>
      <c r="J91" s="505"/>
      <c r="K91" s="561"/>
      <c r="L91" s="561"/>
      <c r="M91" s="561"/>
      <c r="N91" s="561"/>
      <c r="O91" s="551"/>
      <c r="P91" s="551"/>
      <c r="Q91" s="551"/>
      <c r="R91" s="551"/>
      <c r="S91" s="551"/>
      <c r="T91" s="551"/>
      <c r="U91" s="551"/>
      <c r="V91" s="551"/>
      <c r="W91" s="551"/>
      <c r="X91" s="551"/>
      <c r="Y91" s="551"/>
      <c r="Z91" s="551"/>
      <c r="AA91" s="551"/>
      <c r="AB91" s="551"/>
    </row>
    <row r="92" spans="1:28" ht="30" customHeight="1" x14ac:dyDescent="0.25">
      <c r="A92" s="2178" t="s">
        <v>319</v>
      </c>
      <c r="B92" s="2178"/>
      <c r="C92" s="2178"/>
      <c r="D92" s="2178"/>
      <c r="E92" s="2178"/>
      <c r="F92" s="2178"/>
      <c r="G92" s="2178"/>
      <c r="H92" s="2178"/>
      <c r="I92" s="2178"/>
      <c r="J92" s="2178"/>
      <c r="L92" s="561"/>
      <c r="M92" s="561"/>
      <c r="N92" s="561"/>
      <c r="O92" s="551"/>
      <c r="P92" s="551"/>
      <c r="Q92" s="551"/>
      <c r="R92" s="551"/>
      <c r="S92" s="551"/>
      <c r="T92" s="551"/>
      <c r="U92" s="551"/>
      <c r="V92" s="551"/>
      <c r="W92" s="551"/>
      <c r="X92" s="551"/>
      <c r="Y92" s="551"/>
      <c r="Z92" s="551"/>
      <c r="AA92" s="551"/>
      <c r="AB92" s="551"/>
    </row>
    <row r="93" spans="1:28" x14ac:dyDescent="0.25">
      <c r="A93" s="2183" t="s">
        <v>8</v>
      </c>
      <c r="B93" s="2183" t="s">
        <v>35</v>
      </c>
      <c r="C93" s="2183"/>
      <c r="D93" s="2183"/>
      <c r="E93" s="2183"/>
      <c r="F93" s="2183"/>
      <c r="G93" s="2183"/>
      <c r="H93" s="2184" t="s">
        <v>2046</v>
      </c>
      <c r="I93" s="2185"/>
      <c r="J93" s="2186"/>
      <c r="K93" s="1302">
        <v>3054170.89</v>
      </c>
      <c r="L93" s="1362">
        <f>J98+J143</f>
        <v>3054170.89</v>
      </c>
      <c r="M93" s="552">
        <f>K93-L93</f>
        <v>0</v>
      </c>
      <c r="N93" s="561"/>
      <c r="O93" s="551"/>
      <c r="P93" s="551"/>
      <c r="Q93" s="551"/>
      <c r="R93" s="551"/>
      <c r="S93" s="551"/>
      <c r="T93" s="551"/>
      <c r="U93" s="551"/>
      <c r="V93" s="551"/>
      <c r="W93" s="551"/>
      <c r="X93" s="551"/>
      <c r="Y93" s="551"/>
      <c r="Z93" s="551"/>
      <c r="AA93" s="551"/>
      <c r="AB93" s="551"/>
    </row>
    <row r="94" spans="1:28" ht="60" x14ac:dyDescent="0.25">
      <c r="A94" s="2183"/>
      <c r="B94" s="2183"/>
      <c r="C94" s="2183"/>
      <c r="D94" s="2183"/>
      <c r="E94" s="2183"/>
      <c r="F94" s="2183"/>
      <c r="G94" s="2183"/>
      <c r="H94" s="1364" t="s">
        <v>1833</v>
      </c>
      <c r="I94" s="1418" t="s">
        <v>276</v>
      </c>
      <c r="J94" s="1418" t="s">
        <v>256</v>
      </c>
      <c r="K94" s="561"/>
      <c r="L94" s="561"/>
      <c r="M94" s="561">
        <f>M93*100/130.2</f>
        <v>0</v>
      </c>
      <c r="N94" s="561">
        <f>M94/H96</f>
        <v>0</v>
      </c>
      <c r="O94" s="551"/>
      <c r="P94" s="551"/>
      <c r="Q94" s="551"/>
      <c r="R94" s="551"/>
      <c r="S94" s="551"/>
      <c r="T94" s="551"/>
      <c r="U94" s="551"/>
      <c r="V94" s="551"/>
      <c r="W94" s="551"/>
      <c r="X94" s="551"/>
      <c r="Y94" s="551"/>
      <c r="Z94" s="551"/>
      <c r="AA94" s="551"/>
      <c r="AB94" s="551"/>
    </row>
    <row r="95" spans="1:28" ht="29.25" customHeight="1" x14ac:dyDescent="0.25">
      <c r="A95" s="1447">
        <v>1</v>
      </c>
      <c r="B95" s="2180" t="s">
        <v>101</v>
      </c>
      <c r="C95" s="2180"/>
      <c r="D95" s="2180"/>
      <c r="E95" s="2180"/>
      <c r="F95" s="2180"/>
      <c r="G95" s="2180"/>
      <c r="H95" s="1363">
        <v>35504.559999999998</v>
      </c>
      <c r="I95" s="513">
        <f>63+6-20</f>
        <v>49</v>
      </c>
      <c r="J95" s="1434">
        <f>H95*I95</f>
        <v>1739723.44</v>
      </c>
      <c r="L95" s="967"/>
      <c r="M95" s="552"/>
      <c r="N95" s="561"/>
      <c r="O95" s="551"/>
      <c r="P95" s="551"/>
      <c r="Q95" s="551"/>
      <c r="R95" s="551"/>
      <c r="S95" s="551"/>
      <c r="T95" s="551"/>
      <c r="U95" s="551"/>
      <c r="V95" s="551"/>
      <c r="W95" s="551"/>
      <c r="X95" s="551"/>
      <c r="Y95" s="551"/>
      <c r="Z95" s="551"/>
      <c r="AA95" s="551"/>
      <c r="AB95" s="551"/>
    </row>
    <row r="96" spans="1:28" ht="30" customHeight="1" x14ac:dyDescent="0.25">
      <c r="A96" s="1447">
        <f>A95+1</f>
        <v>2</v>
      </c>
      <c r="B96" s="2180" t="s">
        <v>278</v>
      </c>
      <c r="C96" s="2180"/>
      <c r="D96" s="2180"/>
      <c r="E96" s="2180"/>
      <c r="F96" s="2180"/>
      <c r="G96" s="2180"/>
      <c r="H96" s="1363">
        <v>35504.559999999998</v>
      </c>
      <c r="I96" s="513">
        <f>47+6-21</f>
        <v>32</v>
      </c>
      <c r="J96" s="1434">
        <f>H96*I96</f>
        <v>1136145.9199999999</v>
      </c>
      <c r="K96" s="564"/>
      <c r="L96" s="552"/>
      <c r="M96" s="561"/>
      <c r="N96" s="561"/>
      <c r="O96" s="551"/>
      <c r="P96" s="551"/>
      <c r="Q96" s="551"/>
      <c r="R96" s="551"/>
      <c r="S96" s="551"/>
      <c r="T96" s="551"/>
      <c r="U96" s="551"/>
      <c r="V96" s="551"/>
      <c r="W96" s="551"/>
      <c r="X96" s="551"/>
      <c r="Y96" s="551"/>
      <c r="Z96" s="551"/>
      <c r="AA96" s="551"/>
      <c r="AB96" s="551"/>
    </row>
    <row r="97" spans="1:28" ht="30" customHeight="1" x14ac:dyDescent="0.25">
      <c r="A97" s="1127">
        <v>3</v>
      </c>
      <c r="B97" s="2180" t="s">
        <v>278</v>
      </c>
      <c r="C97" s="2180"/>
      <c r="D97" s="2180"/>
      <c r="E97" s="2180"/>
      <c r="F97" s="2180"/>
      <c r="G97" s="2180"/>
      <c r="H97" s="1363">
        <v>18763.12</v>
      </c>
      <c r="I97" s="1229">
        <v>2</v>
      </c>
      <c r="J97" s="1434">
        <f>H97*I97</f>
        <v>37526.239999999998</v>
      </c>
      <c r="K97" s="1548"/>
      <c r="L97" s="552"/>
      <c r="M97" s="561"/>
      <c r="N97" s="561"/>
      <c r="O97" s="551"/>
      <c r="P97" s="551"/>
      <c r="Q97" s="551"/>
      <c r="R97" s="551"/>
      <c r="S97" s="551"/>
      <c r="T97" s="551"/>
      <c r="U97" s="551"/>
      <c r="V97" s="551"/>
      <c r="W97" s="551"/>
      <c r="X97" s="551"/>
      <c r="Y97" s="551"/>
      <c r="Z97" s="551"/>
      <c r="AA97" s="551"/>
      <c r="AB97" s="551"/>
    </row>
    <row r="98" spans="1:28" x14ac:dyDescent="0.25">
      <c r="A98" s="2181" t="s">
        <v>39</v>
      </c>
      <c r="B98" s="2181"/>
      <c r="C98" s="2181"/>
      <c r="D98" s="2181"/>
      <c r="E98" s="2181"/>
      <c r="F98" s="2181"/>
      <c r="G98" s="2181"/>
      <c r="H98" s="581" t="s">
        <v>5</v>
      </c>
      <c r="I98" s="1437" t="s">
        <v>5</v>
      </c>
      <c r="J98" s="1406">
        <f>SUM(J95:J97)</f>
        <v>2913395.6</v>
      </c>
      <c r="K98" s="564"/>
      <c r="L98" s="739">
        <f>J98-K98</f>
        <v>2913395.6</v>
      </c>
      <c r="M98" s="561"/>
      <c r="N98" s="561"/>
      <c r="O98" s="551"/>
      <c r="P98" s="551"/>
      <c r="Q98" s="551"/>
      <c r="R98" s="551"/>
      <c r="S98" s="551"/>
      <c r="T98" s="551"/>
      <c r="U98" s="551"/>
      <c r="V98" s="551"/>
      <c r="W98" s="551"/>
      <c r="X98" s="551"/>
      <c r="Y98" s="551"/>
      <c r="Z98" s="551"/>
      <c r="AA98" s="551"/>
      <c r="AB98" s="551"/>
    </row>
    <row r="99" spans="1:28" x14ac:dyDescent="0.25">
      <c r="G99" s="505"/>
      <c r="H99" s="576"/>
      <c r="I99" s="505"/>
      <c r="J99" s="505"/>
      <c r="L99" s="561"/>
      <c r="M99" s="561"/>
      <c r="N99" s="561"/>
      <c r="O99" s="551"/>
      <c r="P99" s="551"/>
      <c r="Q99" s="551"/>
      <c r="R99" s="551"/>
      <c r="S99" s="551"/>
      <c r="T99" s="551"/>
      <c r="U99" s="551"/>
      <c r="V99" s="551"/>
      <c r="W99" s="551"/>
      <c r="X99" s="551"/>
      <c r="Y99" s="551"/>
      <c r="Z99" s="551"/>
      <c r="AA99" s="551"/>
      <c r="AB99" s="551"/>
    </row>
    <row r="100" spans="1:28" ht="17.25" hidden="1" customHeight="1" x14ac:dyDescent="0.25">
      <c r="A100" s="507" t="s">
        <v>63</v>
      </c>
      <c r="E100" s="509" t="s">
        <v>66</v>
      </c>
      <c r="G100" s="505"/>
      <c r="H100" s="576"/>
      <c r="I100" s="505"/>
      <c r="J100" s="511">
        <f>J101</f>
        <v>0</v>
      </c>
      <c r="L100" s="561"/>
      <c r="M100" s="561"/>
      <c r="N100" s="561"/>
      <c r="O100" s="551"/>
      <c r="P100" s="551"/>
      <c r="Q100" s="551"/>
      <c r="R100" s="551"/>
      <c r="S100" s="551"/>
      <c r="T100" s="551"/>
      <c r="U100" s="551"/>
      <c r="V100" s="551"/>
      <c r="W100" s="551"/>
      <c r="X100" s="551"/>
      <c r="Y100" s="551"/>
      <c r="Z100" s="551"/>
      <c r="AA100" s="551"/>
      <c r="AB100" s="551"/>
    </row>
    <row r="101" spans="1:28" ht="17.25" hidden="1" customHeight="1" x14ac:dyDescent="0.25">
      <c r="A101" s="507" t="s">
        <v>26</v>
      </c>
      <c r="E101" s="509" t="s">
        <v>624</v>
      </c>
      <c r="G101" s="505"/>
      <c r="H101" s="576"/>
      <c r="I101" s="505"/>
      <c r="J101" s="511">
        <f>J108</f>
        <v>0</v>
      </c>
      <c r="K101" s="561"/>
      <c r="L101" s="561"/>
      <c r="M101" s="561"/>
      <c r="N101" s="561"/>
      <c r="O101" s="551"/>
      <c r="P101" s="551"/>
      <c r="Q101" s="551"/>
      <c r="R101" s="551"/>
      <c r="S101" s="551"/>
      <c r="T101" s="551"/>
      <c r="U101" s="551"/>
      <c r="V101" s="551"/>
      <c r="W101" s="551"/>
      <c r="X101" s="551"/>
      <c r="Y101" s="551"/>
      <c r="Z101" s="551"/>
      <c r="AA101" s="551"/>
      <c r="AB101" s="551"/>
    </row>
    <row r="102" spans="1:28" ht="17.25" hidden="1" customHeight="1" x14ac:dyDescent="0.25">
      <c r="A102" s="507" t="s">
        <v>27</v>
      </c>
      <c r="E102" s="509" t="s">
        <v>91</v>
      </c>
      <c r="G102" s="505"/>
      <c r="H102" s="576"/>
      <c r="I102" s="505"/>
      <c r="J102" s="505"/>
      <c r="K102" s="561"/>
      <c r="L102" s="561"/>
      <c r="M102" s="561"/>
      <c r="N102" s="561"/>
      <c r="O102" s="551"/>
      <c r="P102" s="551"/>
      <c r="Q102" s="551"/>
      <c r="R102" s="551"/>
      <c r="S102" s="551"/>
      <c r="T102" s="551"/>
      <c r="U102" s="551"/>
      <c r="V102" s="551"/>
      <c r="W102" s="551"/>
      <c r="X102" s="551"/>
      <c r="Y102" s="551"/>
      <c r="Z102" s="551"/>
      <c r="AA102" s="551"/>
      <c r="AB102" s="551"/>
    </row>
    <row r="103" spans="1:28" ht="17.25" hidden="1" customHeight="1" x14ac:dyDescent="0.25">
      <c r="A103" s="507"/>
      <c r="E103" s="509"/>
      <c r="G103" s="505"/>
      <c r="H103" s="576"/>
      <c r="I103" s="505"/>
      <c r="J103" s="505"/>
      <c r="K103" s="561"/>
      <c r="L103" s="561"/>
      <c r="M103" s="561"/>
      <c r="N103" s="561"/>
      <c r="O103" s="551"/>
      <c r="P103" s="551"/>
      <c r="Q103" s="551"/>
      <c r="R103" s="551"/>
      <c r="S103" s="551"/>
      <c r="T103" s="551"/>
      <c r="U103" s="551"/>
      <c r="V103" s="551"/>
      <c r="W103" s="551"/>
      <c r="X103" s="551"/>
      <c r="Y103" s="551"/>
      <c r="Z103" s="551"/>
      <c r="AA103" s="551"/>
      <c r="AB103" s="551"/>
    </row>
    <row r="104" spans="1:28" ht="17.25" hidden="1" customHeight="1" x14ac:dyDescent="0.25">
      <c r="A104" s="2182" t="s">
        <v>513</v>
      </c>
      <c r="B104" s="2182"/>
      <c r="C104" s="2182"/>
      <c r="D104" s="2182"/>
      <c r="E104" s="2182"/>
      <c r="F104" s="2182"/>
      <c r="G104" s="2182"/>
      <c r="H104" s="2182"/>
      <c r="I104" s="2182"/>
      <c r="J104" s="2182"/>
      <c r="L104" s="561"/>
      <c r="M104" s="561"/>
      <c r="N104" s="561"/>
      <c r="O104" s="551"/>
      <c r="P104" s="551"/>
      <c r="Q104" s="551"/>
      <c r="R104" s="551"/>
      <c r="S104" s="551"/>
      <c r="T104" s="551"/>
      <c r="U104" s="551"/>
      <c r="V104" s="551"/>
      <c r="W104" s="551"/>
      <c r="X104" s="551"/>
      <c r="Y104" s="551"/>
      <c r="Z104" s="551"/>
      <c r="AA104" s="551"/>
      <c r="AB104" s="551"/>
    </row>
    <row r="105" spans="1:28" ht="17.25" hidden="1" customHeight="1" x14ac:dyDescent="0.25">
      <c r="A105" s="2183" t="s">
        <v>8</v>
      </c>
      <c r="B105" s="2183" t="s">
        <v>35</v>
      </c>
      <c r="C105" s="2183"/>
      <c r="D105" s="2183"/>
      <c r="E105" s="2183"/>
      <c r="F105" s="2183"/>
      <c r="G105" s="2184" t="s">
        <v>352</v>
      </c>
      <c r="H105" s="2185"/>
      <c r="I105" s="2185"/>
      <c r="J105" s="2186"/>
      <c r="L105" s="552"/>
      <c r="M105" s="561"/>
      <c r="N105" s="561"/>
      <c r="O105" s="551"/>
      <c r="P105" s="551"/>
      <c r="Q105" s="551"/>
      <c r="R105" s="551"/>
      <c r="S105" s="551"/>
      <c r="T105" s="551"/>
      <c r="U105" s="551"/>
      <c r="V105" s="551"/>
      <c r="W105" s="551"/>
      <c r="X105" s="551"/>
      <c r="Y105" s="551"/>
      <c r="Z105" s="551"/>
      <c r="AA105" s="551"/>
      <c r="AB105" s="551"/>
    </row>
    <row r="106" spans="1:28" ht="17.25" hidden="1" customHeight="1" x14ac:dyDescent="0.25">
      <c r="A106" s="2183"/>
      <c r="B106" s="2183"/>
      <c r="C106" s="2183"/>
      <c r="D106" s="2183"/>
      <c r="E106" s="2183"/>
      <c r="F106" s="2183"/>
      <c r="G106" s="1408" t="s">
        <v>44</v>
      </c>
      <c r="H106" s="580" t="s">
        <v>277</v>
      </c>
      <c r="I106" s="1408" t="s">
        <v>275</v>
      </c>
      <c r="J106" s="1408" t="s">
        <v>256</v>
      </c>
      <c r="K106" s="561"/>
      <c r="L106" s="561"/>
      <c r="M106" s="561"/>
      <c r="N106" s="561"/>
      <c r="O106" s="551"/>
      <c r="P106" s="551"/>
      <c r="Q106" s="551"/>
      <c r="R106" s="551"/>
      <c r="S106" s="551"/>
      <c r="T106" s="551"/>
      <c r="U106" s="551"/>
      <c r="V106" s="551"/>
      <c r="W106" s="551"/>
      <c r="X106" s="551"/>
      <c r="Y106" s="551"/>
      <c r="Z106" s="551"/>
      <c r="AA106" s="551"/>
      <c r="AB106" s="551"/>
    </row>
    <row r="107" spans="1:28" ht="17.25" hidden="1" customHeight="1" x14ac:dyDescent="0.25">
      <c r="A107" s="558">
        <v>1</v>
      </c>
      <c r="B107" s="2188" t="s">
        <v>100</v>
      </c>
      <c r="C107" s="2189"/>
      <c r="D107" s="2190"/>
      <c r="E107" s="2190"/>
      <c r="F107" s="2191"/>
      <c r="G107" s="513"/>
      <c r="H107" s="580"/>
      <c r="I107" s="1434"/>
      <c r="J107" s="1434">
        <f>G107*H107*I107</f>
        <v>0</v>
      </c>
      <c r="K107" s="561"/>
      <c r="L107" s="561"/>
      <c r="M107" s="561"/>
      <c r="N107" s="561"/>
      <c r="O107" s="551"/>
      <c r="P107" s="551"/>
      <c r="Q107" s="551"/>
      <c r="R107" s="551"/>
      <c r="S107" s="551"/>
      <c r="T107" s="551"/>
      <c r="U107" s="551"/>
      <c r="V107" s="551"/>
      <c r="W107" s="551"/>
      <c r="X107" s="551"/>
      <c r="Y107" s="551"/>
      <c r="Z107" s="551"/>
      <c r="AA107" s="551"/>
      <c r="AB107" s="551"/>
    </row>
    <row r="108" spans="1:28" ht="17.25" hidden="1" customHeight="1" x14ac:dyDescent="0.25">
      <c r="A108" s="2181" t="s">
        <v>39</v>
      </c>
      <c r="B108" s="2181"/>
      <c r="C108" s="2181"/>
      <c r="D108" s="2181"/>
      <c r="E108" s="2181"/>
      <c r="F108" s="2181"/>
      <c r="G108" s="581" t="s">
        <v>5</v>
      </c>
      <c r="H108" s="581" t="s">
        <v>5</v>
      </c>
      <c r="I108" s="1437" t="s">
        <v>5</v>
      </c>
      <c r="J108" s="1437">
        <f>SUM(J107:J107)</f>
        <v>0</v>
      </c>
      <c r="K108" s="564"/>
      <c r="L108" s="552"/>
      <c r="M108" s="561"/>
      <c r="N108" s="561"/>
      <c r="O108" s="551"/>
      <c r="P108" s="551"/>
      <c r="Q108" s="551"/>
      <c r="R108" s="551"/>
      <c r="S108" s="551"/>
      <c r="T108" s="551"/>
      <c r="U108" s="551"/>
      <c r="V108" s="551"/>
      <c r="W108" s="551"/>
      <c r="X108" s="551"/>
      <c r="Y108" s="551"/>
      <c r="Z108" s="551"/>
      <c r="AA108" s="551"/>
      <c r="AB108" s="551"/>
    </row>
    <row r="109" spans="1:28" ht="17.25" hidden="1" customHeight="1" x14ac:dyDescent="0.25">
      <c r="G109" s="505"/>
      <c r="H109" s="576"/>
      <c r="I109" s="505"/>
      <c r="J109" s="505"/>
      <c r="K109" s="561"/>
      <c r="L109" s="561"/>
      <c r="M109" s="561"/>
      <c r="N109" s="561"/>
      <c r="O109" s="551"/>
      <c r="P109" s="551"/>
      <c r="Q109" s="551"/>
      <c r="R109" s="551"/>
      <c r="S109" s="551"/>
      <c r="T109" s="551"/>
      <c r="U109" s="551"/>
      <c r="V109" s="551"/>
      <c r="W109" s="551"/>
      <c r="X109" s="551"/>
      <c r="Y109" s="551"/>
      <c r="Z109" s="551"/>
      <c r="AA109" s="551"/>
      <c r="AB109" s="551"/>
    </row>
    <row r="110" spans="1:28" x14ac:dyDescent="0.25">
      <c r="A110" s="507" t="s">
        <v>63</v>
      </c>
      <c r="E110" s="509" t="s">
        <v>106</v>
      </c>
      <c r="G110" s="505"/>
      <c r="H110" s="576"/>
      <c r="I110" s="505"/>
      <c r="J110" s="511">
        <f>J111</f>
        <v>80441.100000000006</v>
      </c>
      <c r="L110" s="561"/>
      <c r="M110" s="561"/>
      <c r="N110" s="561"/>
      <c r="O110" s="551"/>
      <c r="P110" s="551"/>
      <c r="Q110" s="551"/>
      <c r="R110" s="551"/>
      <c r="S110" s="551"/>
      <c r="T110" s="551"/>
      <c r="U110" s="551"/>
      <c r="V110" s="551"/>
      <c r="W110" s="551"/>
      <c r="X110" s="551"/>
      <c r="Y110" s="551"/>
      <c r="Z110" s="551"/>
      <c r="AA110" s="551"/>
      <c r="AB110" s="551"/>
    </row>
    <row r="111" spans="1:28" x14ac:dyDescent="0.25">
      <c r="A111" s="786" t="s">
        <v>26</v>
      </c>
      <c r="B111" s="787"/>
      <c r="C111" s="787"/>
      <c r="D111" s="787"/>
      <c r="E111" s="793" t="s">
        <v>624</v>
      </c>
      <c r="F111" s="787"/>
      <c r="G111" s="788"/>
      <c r="H111" s="985"/>
      <c r="I111" s="788"/>
      <c r="J111" s="789">
        <f>J117</f>
        <v>80441.100000000006</v>
      </c>
      <c r="K111" s="561"/>
      <c r="L111" s="561"/>
      <c r="M111" s="561"/>
      <c r="N111" s="561"/>
      <c r="O111" s="551"/>
      <c r="P111" s="551"/>
      <c r="Q111" s="551"/>
      <c r="R111" s="551"/>
      <c r="S111" s="551"/>
      <c r="T111" s="551"/>
      <c r="U111" s="551"/>
      <c r="V111" s="551"/>
      <c r="W111" s="551"/>
      <c r="X111" s="551"/>
      <c r="Y111" s="551"/>
      <c r="Z111" s="551"/>
      <c r="AA111" s="551"/>
      <c r="AB111" s="551"/>
    </row>
    <row r="112" spans="1:28" x14ac:dyDescent="0.25">
      <c r="A112" s="507" t="s">
        <v>27</v>
      </c>
      <c r="E112" s="71" t="s">
        <v>1830</v>
      </c>
      <c r="G112" s="505"/>
      <c r="H112" s="576"/>
      <c r="I112" s="505"/>
      <c r="J112" s="505"/>
      <c r="K112" s="561"/>
      <c r="L112" s="561"/>
      <c r="M112" s="561"/>
      <c r="N112" s="561"/>
      <c r="O112" s="551"/>
      <c r="P112" s="551"/>
      <c r="Q112" s="551"/>
      <c r="R112" s="551"/>
      <c r="S112" s="551"/>
      <c r="T112" s="551"/>
      <c r="U112" s="551"/>
      <c r="V112" s="551"/>
      <c r="W112" s="551"/>
      <c r="X112" s="551"/>
      <c r="Y112" s="551"/>
      <c r="Z112" s="551"/>
      <c r="AA112" s="551"/>
      <c r="AB112" s="551"/>
    </row>
    <row r="113" spans="1:28" ht="17.25" customHeight="1" x14ac:dyDescent="0.25">
      <c r="A113" s="1449" t="s">
        <v>320</v>
      </c>
      <c r="G113" s="505"/>
      <c r="H113" s="576"/>
      <c r="I113" s="505"/>
      <c r="J113" s="505"/>
      <c r="K113" s="561"/>
      <c r="L113" s="561"/>
      <c r="M113" s="561"/>
      <c r="N113" s="561"/>
      <c r="O113" s="551"/>
      <c r="P113" s="551"/>
      <c r="Q113" s="551"/>
      <c r="R113" s="551"/>
      <c r="S113" s="551"/>
      <c r="T113" s="551"/>
      <c r="U113" s="551"/>
      <c r="V113" s="551"/>
      <c r="W113" s="551"/>
      <c r="X113" s="551"/>
      <c r="Y113" s="551"/>
      <c r="Z113" s="551"/>
      <c r="AA113" s="551"/>
      <c r="AB113" s="551"/>
    </row>
    <row r="114" spans="1:28" ht="15" customHeight="1" x14ac:dyDescent="0.25">
      <c r="A114" s="2183" t="s">
        <v>8</v>
      </c>
      <c r="B114" s="2192" t="s">
        <v>35</v>
      </c>
      <c r="C114" s="2157"/>
      <c r="D114" s="2157"/>
      <c r="E114" s="2157"/>
      <c r="F114" s="2157"/>
      <c r="G114" s="2158"/>
      <c r="H114" s="2193" t="s">
        <v>2046</v>
      </c>
      <c r="I114" s="2168"/>
      <c r="J114" s="2168"/>
      <c r="K114" s="1302">
        <v>105386.24000000001</v>
      </c>
      <c r="L114" s="1362">
        <f>J117+J173</f>
        <v>104734.31</v>
      </c>
      <c r="M114" s="552"/>
      <c r="N114" s="561"/>
      <c r="O114" s="551"/>
      <c r="P114" s="551"/>
      <c r="Q114" s="551"/>
      <c r="R114" s="551"/>
      <c r="S114" s="551"/>
      <c r="T114" s="551"/>
      <c r="U114" s="551"/>
      <c r="V114" s="551"/>
      <c r="W114" s="551"/>
      <c r="X114" s="551"/>
      <c r="Y114" s="551"/>
      <c r="Z114" s="551"/>
      <c r="AA114" s="551"/>
      <c r="AB114" s="551"/>
    </row>
    <row r="115" spans="1:28" ht="60.75" customHeight="1" x14ac:dyDescent="0.25">
      <c r="A115" s="2183"/>
      <c r="B115" s="2159"/>
      <c r="C115" s="2160"/>
      <c r="D115" s="2160"/>
      <c r="E115" s="2160"/>
      <c r="F115" s="2160"/>
      <c r="G115" s="2161"/>
      <c r="H115" s="1421" t="s">
        <v>1833</v>
      </c>
      <c r="I115" s="1410" t="s">
        <v>276</v>
      </c>
      <c r="J115" s="1410" t="s">
        <v>256</v>
      </c>
      <c r="K115" s="561"/>
      <c r="L115" s="561"/>
      <c r="M115" s="561"/>
      <c r="N115" s="561"/>
      <c r="O115" s="551"/>
      <c r="P115" s="551"/>
      <c r="Q115" s="551"/>
      <c r="R115" s="551"/>
      <c r="S115" s="551"/>
      <c r="T115" s="551"/>
      <c r="U115" s="551"/>
      <c r="V115" s="551"/>
      <c r="W115" s="551"/>
      <c r="X115" s="551"/>
      <c r="Y115" s="551"/>
      <c r="Z115" s="551"/>
      <c r="AA115" s="551"/>
      <c r="AB115" s="551"/>
    </row>
    <row r="116" spans="1:28" x14ac:dyDescent="0.25">
      <c r="A116" s="1447">
        <v>1</v>
      </c>
      <c r="B116" s="1112" t="s">
        <v>107</v>
      </c>
      <c r="C116" s="1113"/>
      <c r="D116" s="1114"/>
      <c r="E116" s="1114"/>
      <c r="F116" s="1114"/>
      <c r="G116" s="1235"/>
      <c r="H116" s="1420">
        <v>993.1</v>
      </c>
      <c r="I116" s="1116">
        <f>84-3</f>
        <v>81</v>
      </c>
      <c r="J116" s="1420">
        <f>H116*I116</f>
        <v>80441.100000000006</v>
      </c>
      <c r="K116" s="561"/>
      <c r="L116" s="561"/>
      <c r="M116" s="552"/>
      <c r="N116" s="561"/>
      <c r="O116" s="551"/>
      <c r="P116" s="551"/>
      <c r="Q116" s="551"/>
      <c r="R116" s="551"/>
      <c r="S116" s="551"/>
      <c r="T116" s="551"/>
      <c r="U116" s="551"/>
      <c r="V116" s="551"/>
      <c r="W116" s="551"/>
      <c r="X116" s="551"/>
      <c r="Y116" s="551"/>
      <c r="Z116" s="551"/>
      <c r="AA116" s="551"/>
      <c r="AB116" s="551"/>
    </row>
    <row r="117" spans="1:28" ht="17.25" customHeight="1" x14ac:dyDescent="0.25">
      <c r="A117" s="2194" t="s">
        <v>39</v>
      </c>
      <c r="B117" s="2195"/>
      <c r="C117" s="2196"/>
      <c r="D117" s="2195"/>
      <c r="E117" s="2195"/>
      <c r="F117" s="2195"/>
      <c r="G117" s="2197"/>
      <c r="H117" s="2197"/>
      <c r="I117" s="2198"/>
      <c r="J117" s="1437">
        <f>SUM(J116:J116)</f>
        <v>80441.100000000006</v>
      </c>
      <c r="L117" s="552"/>
      <c r="M117" s="561"/>
      <c r="N117" s="561"/>
      <c r="O117" s="551"/>
      <c r="P117" s="551"/>
      <c r="Q117" s="551"/>
      <c r="R117" s="551"/>
      <c r="S117" s="551"/>
      <c r="T117" s="551"/>
      <c r="U117" s="551"/>
      <c r="V117" s="551"/>
      <c r="W117" s="551"/>
      <c r="X117" s="551"/>
      <c r="Y117" s="551"/>
      <c r="Z117" s="551"/>
      <c r="AA117" s="551"/>
      <c r="AB117" s="551"/>
    </row>
    <row r="118" spans="1:28" x14ac:dyDescent="0.25">
      <c r="E118" s="504"/>
      <c r="N118" s="561"/>
    </row>
    <row r="119" spans="1:28" ht="33.75" hidden="1" customHeight="1" x14ac:dyDescent="0.25">
      <c r="A119" s="2178" t="s">
        <v>42</v>
      </c>
      <c r="B119" s="2178"/>
      <c r="C119" s="2178"/>
      <c r="D119" s="2178"/>
      <c r="E119" s="2178"/>
      <c r="F119" s="2178"/>
      <c r="G119" s="2178"/>
      <c r="H119" s="2178"/>
      <c r="I119" s="2178"/>
      <c r="J119" s="2178"/>
      <c r="K119" s="592"/>
      <c r="L119" s="598"/>
      <c r="M119" s="598"/>
      <c r="N119" s="561"/>
    </row>
    <row r="120" spans="1:28" ht="34.5" hidden="1" customHeight="1" x14ac:dyDescent="0.25">
      <c r="A120" s="2178" t="s">
        <v>43</v>
      </c>
      <c r="B120" s="2178"/>
      <c r="C120" s="2178"/>
      <c r="D120" s="2178"/>
      <c r="E120" s="2178"/>
      <c r="F120" s="2178"/>
      <c r="G120" s="2178"/>
      <c r="H120" s="2178"/>
      <c r="I120" s="2178"/>
      <c r="J120" s="2178"/>
      <c r="K120" s="2187"/>
      <c r="L120" s="2187"/>
      <c r="M120" s="2187"/>
      <c r="N120" s="561"/>
    </row>
    <row r="121" spans="1:28" hidden="1" x14ac:dyDescent="0.25">
      <c r="A121" s="2178" t="s">
        <v>45</v>
      </c>
      <c r="B121" s="2178"/>
      <c r="C121" s="2178"/>
      <c r="D121" s="2178"/>
      <c r="E121" s="2178"/>
      <c r="F121" s="2178"/>
      <c r="G121" s="2178"/>
      <c r="H121" s="2178"/>
      <c r="I121" s="2178"/>
      <c r="J121" s="2178"/>
      <c r="N121" s="561"/>
    </row>
    <row r="122" spans="1:28" ht="45" hidden="1" customHeight="1" x14ac:dyDescent="0.25">
      <c r="A122" s="2178" t="s">
        <v>240</v>
      </c>
      <c r="B122" s="2178"/>
      <c r="C122" s="2178"/>
      <c r="D122" s="2178"/>
      <c r="E122" s="2178"/>
      <c r="F122" s="2178"/>
      <c r="G122" s="2178"/>
      <c r="H122" s="2178"/>
      <c r="I122" s="2178"/>
      <c r="J122" s="2178"/>
      <c r="K122" s="2187"/>
      <c r="L122" s="2187"/>
      <c r="M122" s="2187"/>
      <c r="N122" s="561"/>
    </row>
    <row r="123" spans="1:28" ht="27" hidden="1" customHeight="1" x14ac:dyDescent="0.25">
      <c r="A123" s="2187" t="s">
        <v>316</v>
      </c>
      <c r="B123" s="2187"/>
      <c r="C123" s="2187"/>
      <c r="D123" s="2187"/>
      <c r="E123" s="2187"/>
      <c r="F123" s="2187"/>
      <c r="G123" s="2187"/>
      <c r="H123" s="2187"/>
      <c r="I123" s="2187"/>
      <c r="J123" s="2187"/>
      <c r="M123" s="577"/>
      <c r="N123" s="561"/>
    </row>
    <row r="124" spans="1:28" x14ac:dyDescent="0.25">
      <c r="A124" s="507" t="s">
        <v>147</v>
      </c>
      <c r="B124" s="507"/>
      <c r="C124" s="507"/>
      <c r="D124" s="507"/>
      <c r="E124" s="587" t="s">
        <v>72</v>
      </c>
      <c r="J124" s="511">
        <f>J126+J135+J166</f>
        <v>84983175.560000002</v>
      </c>
      <c r="M124" s="577"/>
      <c r="N124" s="561"/>
    </row>
    <row r="125" spans="1:28" s="508" customFormat="1" x14ac:dyDescent="0.25">
      <c r="A125" s="504"/>
      <c r="B125" s="504"/>
      <c r="C125" s="504"/>
      <c r="D125" s="504"/>
      <c r="E125" s="504"/>
      <c r="F125" s="504"/>
      <c r="G125" s="504"/>
      <c r="H125" s="557"/>
      <c r="I125" s="599"/>
      <c r="J125" s="599"/>
      <c r="K125" s="573"/>
      <c r="L125" s="600"/>
      <c r="M125" s="577"/>
      <c r="N125" s="561"/>
      <c r="O125" s="600"/>
      <c r="P125" s="600"/>
      <c r="Q125" s="600"/>
      <c r="R125" s="600"/>
      <c r="S125" s="600"/>
      <c r="T125" s="600"/>
      <c r="U125" s="600"/>
      <c r="V125" s="600"/>
      <c r="W125" s="600"/>
      <c r="X125" s="600"/>
      <c r="Y125" s="600"/>
      <c r="Z125" s="600"/>
      <c r="AA125" s="600"/>
      <c r="AB125" s="600"/>
    </row>
    <row r="126" spans="1:28" ht="17.25" hidden="1" customHeight="1" x14ac:dyDescent="0.25">
      <c r="A126" s="507" t="s">
        <v>63</v>
      </c>
      <c r="E126" s="509" t="s">
        <v>106</v>
      </c>
      <c r="G126" s="505"/>
      <c r="H126" s="576"/>
      <c r="I126" s="505"/>
      <c r="J126" s="511">
        <f>J127</f>
        <v>0</v>
      </c>
      <c r="K126" s="561"/>
      <c r="L126" s="561"/>
      <c r="M126" s="577">
        <v>6</v>
      </c>
      <c r="N126" s="561"/>
      <c r="O126" s="551"/>
      <c r="P126" s="551"/>
      <c r="Q126" s="551"/>
      <c r="R126" s="551"/>
      <c r="S126" s="551"/>
      <c r="T126" s="551"/>
      <c r="U126" s="551"/>
      <c r="V126" s="551"/>
      <c r="W126" s="551"/>
      <c r="X126" s="551"/>
      <c r="Y126" s="551"/>
      <c r="Z126" s="551"/>
      <c r="AA126" s="551"/>
      <c r="AB126" s="551"/>
    </row>
    <row r="127" spans="1:28" ht="17.25" hidden="1" customHeight="1" x14ac:dyDescent="0.25">
      <c r="A127" s="507" t="s">
        <v>26</v>
      </c>
      <c r="E127" s="509" t="s">
        <v>624</v>
      </c>
      <c r="G127" s="505"/>
      <c r="H127" s="576"/>
      <c r="I127" s="505"/>
      <c r="J127" s="511">
        <f>J134</f>
        <v>0</v>
      </c>
      <c r="K127" s="561"/>
      <c r="L127" s="561"/>
      <c r="M127" s="577">
        <v>5</v>
      </c>
      <c r="N127" s="561"/>
      <c r="O127" s="551"/>
      <c r="P127" s="551"/>
      <c r="Q127" s="551"/>
      <c r="R127" s="551"/>
      <c r="S127" s="551"/>
      <c r="T127" s="551"/>
      <c r="U127" s="551"/>
      <c r="V127" s="551"/>
      <c r="W127" s="551"/>
      <c r="X127" s="551"/>
      <c r="Y127" s="551"/>
      <c r="Z127" s="551"/>
      <c r="AA127" s="551"/>
      <c r="AB127" s="551"/>
    </row>
    <row r="128" spans="1:28" ht="17.25" hidden="1" customHeight="1" x14ac:dyDescent="0.25">
      <c r="A128" s="507" t="s">
        <v>27</v>
      </c>
      <c r="E128" s="509" t="s">
        <v>91</v>
      </c>
      <c r="G128" s="505"/>
      <c r="H128" s="576"/>
      <c r="I128" s="505"/>
      <c r="J128" s="505"/>
      <c r="K128" s="561"/>
      <c r="L128" s="561"/>
      <c r="M128" s="577">
        <v>4</v>
      </c>
      <c r="N128" s="561"/>
      <c r="O128" s="551"/>
      <c r="P128" s="551"/>
      <c r="Q128" s="551"/>
      <c r="R128" s="551"/>
      <c r="S128" s="551"/>
      <c r="T128" s="551"/>
      <c r="U128" s="551"/>
      <c r="V128" s="551"/>
      <c r="W128" s="551"/>
      <c r="X128" s="551"/>
      <c r="Y128" s="551"/>
      <c r="Z128" s="551"/>
      <c r="AA128" s="551"/>
      <c r="AB128" s="551"/>
    </row>
    <row r="129" spans="1:28" ht="17.25" hidden="1" customHeight="1" x14ac:dyDescent="0.25">
      <c r="A129" s="507"/>
      <c r="E129" s="509"/>
      <c r="G129" s="505"/>
      <c r="H129" s="576"/>
      <c r="I129" s="505"/>
      <c r="J129" s="505"/>
      <c r="K129" s="561"/>
      <c r="L129" s="561"/>
      <c r="M129" s="577">
        <v>3</v>
      </c>
      <c r="N129" s="561"/>
      <c r="O129" s="551"/>
      <c r="P129" s="551"/>
      <c r="Q129" s="551"/>
      <c r="R129" s="551"/>
      <c r="S129" s="551"/>
      <c r="T129" s="551"/>
      <c r="U129" s="551"/>
      <c r="V129" s="551"/>
      <c r="W129" s="551"/>
      <c r="X129" s="551"/>
      <c r="Y129" s="551"/>
      <c r="Z129" s="551"/>
      <c r="AA129" s="551"/>
      <c r="AB129" s="551"/>
    </row>
    <row r="130" spans="1:28" ht="17.25" hidden="1" customHeight="1" x14ac:dyDescent="0.25">
      <c r="A130" s="1449" t="s">
        <v>48</v>
      </c>
      <c r="G130" s="505"/>
      <c r="H130" s="576"/>
      <c r="I130" s="505"/>
      <c r="J130" s="505"/>
      <c r="K130" s="561"/>
      <c r="L130" s="561"/>
      <c r="M130" s="577">
        <v>2</v>
      </c>
      <c r="N130" s="561"/>
      <c r="O130" s="551"/>
      <c r="P130" s="551"/>
      <c r="Q130" s="551"/>
      <c r="R130" s="551"/>
      <c r="S130" s="551"/>
      <c r="T130" s="551"/>
      <c r="U130" s="551"/>
      <c r="V130" s="551"/>
      <c r="W130" s="551"/>
      <c r="X130" s="551"/>
      <c r="Y130" s="551"/>
      <c r="Z130" s="551"/>
      <c r="AA130" s="551"/>
      <c r="AB130" s="551"/>
    </row>
    <row r="131" spans="1:28" ht="17.25" hidden="1" customHeight="1" x14ac:dyDescent="0.25">
      <c r="A131" s="2199" t="s">
        <v>8</v>
      </c>
      <c r="B131" s="2201" t="s">
        <v>35</v>
      </c>
      <c r="C131" s="2202"/>
      <c r="D131" s="2203"/>
      <c r="E131" s="2203"/>
      <c r="F131" s="2203"/>
      <c r="G131" s="2203"/>
      <c r="H131" s="2204"/>
      <c r="I131" s="2205"/>
      <c r="J131" s="1409" t="s">
        <v>735</v>
      </c>
      <c r="L131" s="561"/>
      <c r="M131" s="577">
        <v>1</v>
      </c>
      <c r="N131" s="561"/>
      <c r="O131" s="551"/>
      <c r="P131" s="551"/>
      <c r="Q131" s="551"/>
      <c r="R131" s="551"/>
      <c r="S131" s="551"/>
      <c r="T131" s="551"/>
      <c r="U131" s="551"/>
      <c r="V131" s="551"/>
      <c r="W131" s="551"/>
      <c r="X131" s="551"/>
      <c r="Y131" s="551"/>
      <c r="Z131" s="551"/>
      <c r="AA131" s="551"/>
      <c r="AB131" s="551"/>
    </row>
    <row r="132" spans="1:28" ht="17.25" hidden="1" customHeight="1" x14ac:dyDescent="0.25">
      <c r="A132" s="2200"/>
      <c r="B132" s="2206"/>
      <c r="C132" s="2207"/>
      <c r="D132" s="2207"/>
      <c r="E132" s="2207"/>
      <c r="F132" s="2207"/>
      <c r="G132" s="2207"/>
      <c r="H132" s="2208"/>
      <c r="I132" s="2209"/>
      <c r="J132" s="1434" t="s">
        <v>256</v>
      </c>
      <c r="K132" s="561"/>
      <c r="L132" s="561"/>
      <c r="M132" s="577">
        <v>0</v>
      </c>
      <c r="N132" s="561"/>
      <c r="O132" s="551"/>
      <c r="P132" s="551"/>
      <c r="Q132" s="551"/>
      <c r="R132" s="551"/>
      <c r="S132" s="551"/>
      <c r="T132" s="551"/>
      <c r="U132" s="551"/>
      <c r="V132" s="551"/>
      <c r="W132" s="551"/>
      <c r="X132" s="551"/>
      <c r="Y132" s="551"/>
      <c r="Z132" s="551"/>
      <c r="AA132" s="551"/>
      <c r="AB132" s="551"/>
    </row>
    <row r="133" spans="1:28" ht="17.25" hidden="1" customHeight="1" x14ac:dyDescent="0.25">
      <c r="A133" s="1447">
        <v>1</v>
      </c>
      <c r="B133" s="2210" t="s">
        <v>279</v>
      </c>
      <c r="C133" s="2211"/>
      <c r="D133" s="2212"/>
      <c r="E133" s="2212"/>
      <c r="F133" s="2212"/>
      <c r="G133" s="2212"/>
      <c r="H133" s="2213"/>
      <c r="I133" s="2214"/>
      <c r="J133" s="1434"/>
      <c r="K133" s="561"/>
      <c r="L133" s="561"/>
      <c r="M133" s="577">
        <v>-1</v>
      </c>
      <c r="N133" s="561"/>
      <c r="O133" s="551"/>
      <c r="P133" s="551"/>
      <c r="Q133" s="551"/>
      <c r="R133" s="551"/>
      <c r="S133" s="551"/>
      <c r="T133" s="551"/>
      <c r="U133" s="551"/>
      <c r="V133" s="551"/>
      <c r="W133" s="551"/>
      <c r="X133" s="551"/>
      <c r="Y133" s="551"/>
      <c r="Z133" s="551"/>
      <c r="AA133" s="551"/>
      <c r="AB133" s="551"/>
    </row>
    <row r="134" spans="1:28" hidden="1" x14ac:dyDescent="0.25">
      <c r="A134" s="2194" t="s">
        <v>39</v>
      </c>
      <c r="B134" s="2195"/>
      <c r="C134" s="2196"/>
      <c r="D134" s="2195"/>
      <c r="E134" s="2195"/>
      <c r="F134" s="2195"/>
      <c r="G134" s="2195"/>
      <c r="H134" s="2197"/>
      <c r="I134" s="2198"/>
      <c r="J134" s="1437">
        <f>SUM(J133:J133)</f>
        <v>0</v>
      </c>
      <c r="L134" s="552"/>
      <c r="M134" s="577">
        <v>-2</v>
      </c>
      <c r="N134" s="561"/>
      <c r="O134" s="551"/>
      <c r="P134" s="551"/>
      <c r="Q134" s="551"/>
      <c r="R134" s="551"/>
      <c r="S134" s="551"/>
      <c r="T134" s="551"/>
      <c r="U134" s="551"/>
      <c r="V134" s="551"/>
      <c r="W134" s="551"/>
      <c r="X134" s="551"/>
      <c r="Y134" s="551"/>
      <c r="Z134" s="551"/>
      <c r="AA134" s="551"/>
      <c r="AB134" s="551"/>
    </row>
    <row r="135" spans="1:28" x14ac:dyDescent="0.25">
      <c r="A135" s="507" t="s">
        <v>63</v>
      </c>
      <c r="D135" s="551"/>
      <c r="E135" s="509" t="s">
        <v>74</v>
      </c>
      <c r="J135" s="510">
        <f>J155+J137</f>
        <v>84958882.349999994</v>
      </c>
      <c r="M135" s="577"/>
      <c r="N135" s="561"/>
    </row>
    <row r="136" spans="1:28" x14ac:dyDescent="0.25">
      <c r="A136" s="507"/>
      <c r="D136" s="551"/>
      <c r="E136" s="509"/>
      <c r="J136" s="510"/>
      <c r="M136" s="577"/>
      <c r="N136" s="561"/>
    </row>
    <row r="137" spans="1:28" x14ac:dyDescent="0.25">
      <c r="A137" s="786" t="s">
        <v>26</v>
      </c>
      <c r="B137" s="787"/>
      <c r="C137" s="787"/>
      <c r="D137" s="787"/>
      <c r="E137" s="793" t="s">
        <v>624</v>
      </c>
      <c r="F137" s="787"/>
      <c r="G137" s="788"/>
      <c r="H137" s="985"/>
      <c r="I137" s="788"/>
      <c r="J137" s="789">
        <f>J143+J153</f>
        <v>947106.56</v>
      </c>
      <c r="M137" s="577"/>
      <c r="N137" s="561"/>
    </row>
    <row r="138" spans="1:28" x14ac:dyDescent="0.25">
      <c r="A138" s="507" t="s">
        <v>27</v>
      </c>
      <c r="E138" s="71" t="s">
        <v>2068</v>
      </c>
      <c r="G138" s="505"/>
      <c r="H138" s="576"/>
      <c r="I138" s="505"/>
      <c r="J138" s="511">
        <f>J143</f>
        <v>140775.29</v>
      </c>
      <c r="M138" s="577"/>
      <c r="N138" s="561"/>
    </row>
    <row r="139" spans="1:28" x14ac:dyDescent="0.25">
      <c r="A139" s="1443" t="s">
        <v>317</v>
      </c>
      <c r="G139" s="505"/>
      <c r="H139" s="576"/>
      <c r="I139" s="505"/>
      <c r="J139" s="505"/>
      <c r="M139" s="577"/>
      <c r="N139" s="561"/>
    </row>
    <row r="140" spans="1:28" x14ac:dyDescent="0.25">
      <c r="A140" s="2170" t="s">
        <v>8</v>
      </c>
      <c r="B140" s="2170" t="s">
        <v>35</v>
      </c>
      <c r="C140" s="2171"/>
      <c r="D140" s="2171"/>
      <c r="E140" s="2171"/>
      <c r="F140" s="2171"/>
      <c r="G140" s="2171"/>
      <c r="H140" s="2215" t="s">
        <v>2046</v>
      </c>
      <c r="I140" s="2173"/>
      <c r="J140" s="2173"/>
      <c r="M140" s="577"/>
      <c r="N140" s="561"/>
    </row>
    <row r="141" spans="1:28" ht="60" x14ac:dyDescent="0.25">
      <c r="A141" s="2171"/>
      <c r="B141" s="2171"/>
      <c r="C141" s="2171"/>
      <c r="D141" s="2171"/>
      <c r="E141" s="2171"/>
      <c r="F141" s="2171"/>
      <c r="G141" s="2171"/>
      <c r="H141" s="1420" t="s">
        <v>260</v>
      </c>
      <c r="I141" s="1420" t="s">
        <v>53</v>
      </c>
      <c r="J141" s="1408" t="s">
        <v>256</v>
      </c>
      <c r="M141" s="577"/>
      <c r="N141" s="561"/>
    </row>
    <row r="142" spans="1:28" x14ac:dyDescent="0.25">
      <c r="A142" s="1447">
        <v>1</v>
      </c>
      <c r="B142" s="1453" t="s">
        <v>732</v>
      </c>
      <c r="C142" s="1453"/>
      <c r="D142" s="1453"/>
      <c r="E142" s="1453"/>
      <c r="F142" s="1453"/>
      <c r="G142" s="1453"/>
      <c r="H142" s="1121">
        <f>(J98*16%)+0.04</f>
        <v>466143.34</v>
      </c>
      <c r="I142" s="1122">
        <v>0.30199999999999999</v>
      </c>
      <c r="J142" s="1426">
        <f>H142*I142</f>
        <v>140775.29</v>
      </c>
      <c r="L142" s="1051"/>
      <c r="M142" s="577"/>
      <c r="N142" s="561"/>
    </row>
    <row r="143" spans="1:28" x14ac:dyDescent="0.25">
      <c r="A143" s="2181" t="s">
        <v>39</v>
      </c>
      <c r="B143" s="2181"/>
      <c r="C143" s="2181"/>
      <c r="D143" s="2181"/>
      <c r="E143" s="2181"/>
      <c r="F143" s="2181"/>
      <c r="G143" s="2181"/>
      <c r="H143" s="2181"/>
      <c r="I143" s="2181"/>
      <c r="J143" s="1406">
        <f>SUM(J142:J142)</f>
        <v>140775.29</v>
      </c>
      <c r="K143" s="564">
        <v>0</v>
      </c>
      <c r="L143" s="739">
        <f>J143-K143</f>
        <v>140775.29</v>
      </c>
      <c r="M143" s="577"/>
    </row>
    <row r="144" spans="1:28" x14ac:dyDescent="0.25">
      <c r="A144" s="560"/>
      <c r="B144" s="560"/>
      <c r="C144" s="560"/>
      <c r="D144" s="560"/>
      <c r="E144" s="560"/>
      <c r="F144" s="560"/>
      <c r="G144" s="560"/>
      <c r="H144" s="560"/>
      <c r="I144" s="560"/>
      <c r="J144" s="64"/>
      <c r="K144" s="564"/>
      <c r="L144" s="739"/>
      <c r="M144" s="577"/>
    </row>
    <row r="145" spans="1:31" x14ac:dyDescent="0.25">
      <c r="A145" s="507" t="s">
        <v>27</v>
      </c>
      <c r="E145" s="71" t="s">
        <v>1830</v>
      </c>
      <c r="G145" s="505"/>
      <c r="H145" s="576"/>
      <c r="I145" s="505"/>
      <c r="J145" s="511">
        <f>J153</f>
        <v>806331.27</v>
      </c>
      <c r="M145" s="577"/>
      <c r="N145" s="561"/>
    </row>
    <row r="146" spans="1:31" s="61" customFormat="1" x14ac:dyDescent="0.25">
      <c r="A146" s="745" t="s">
        <v>317</v>
      </c>
      <c r="B146" s="1457"/>
      <c r="C146" s="73"/>
      <c r="D146" s="73"/>
      <c r="E146" s="72"/>
      <c r="F146" s="1457"/>
      <c r="G146" s="1457"/>
      <c r="H146" s="60"/>
      <c r="I146" s="69"/>
      <c r="J146" s="69"/>
      <c r="K146" s="81"/>
      <c r="L146" s="1326"/>
      <c r="M146" s="1330"/>
      <c r="N146" s="1402"/>
      <c r="O146" s="1402"/>
      <c r="P146" s="1071"/>
      <c r="Q146" s="70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5"/>
      <c r="AE146" s="75"/>
    </row>
    <row r="147" spans="1:31" s="61" customFormat="1" x14ac:dyDescent="0.25">
      <c r="A147" s="1926" t="s">
        <v>8</v>
      </c>
      <c r="B147" s="2192" t="s">
        <v>35</v>
      </c>
      <c r="C147" s="2202"/>
      <c r="D147" s="2202"/>
      <c r="E147" s="2202"/>
      <c r="F147" s="2202"/>
      <c r="G147" s="2220"/>
      <c r="H147" s="2172" t="s">
        <v>2050</v>
      </c>
      <c r="I147" s="2172"/>
      <c r="J147" s="2172"/>
      <c r="K147" s="81"/>
      <c r="L147" s="1326"/>
      <c r="M147" s="970"/>
      <c r="N147" s="1402"/>
      <c r="O147" s="1402"/>
      <c r="P147" s="1071"/>
      <c r="Q147" s="70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5"/>
      <c r="AE147" s="75"/>
    </row>
    <row r="148" spans="1:31" s="61" customFormat="1" ht="60" x14ac:dyDescent="0.25">
      <c r="A148" s="1926"/>
      <c r="B148" s="2206"/>
      <c r="C148" s="2207"/>
      <c r="D148" s="2207"/>
      <c r="E148" s="2207"/>
      <c r="F148" s="2207"/>
      <c r="G148" s="2221"/>
      <c r="H148" s="1420" t="s">
        <v>260</v>
      </c>
      <c r="I148" s="1420" t="s">
        <v>53</v>
      </c>
      <c r="J148" s="1420" t="s">
        <v>261</v>
      </c>
      <c r="K148" s="81"/>
      <c r="L148" s="1326"/>
      <c r="M148" s="970"/>
      <c r="N148" s="1402"/>
      <c r="O148" s="1402"/>
      <c r="P148" s="1071"/>
      <c r="Q148" s="70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5"/>
      <c r="AE148" s="75"/>
    </row>
    <row r="149" spans="1:31" s="61" customFormat="1" x14ac:dyDescent="0.25">
      <c r="A149" s="1331">
        <v>1</v>
      </c>
      <c r="B149" s="2222" t="s">
        <v>1606</v>
      </c>
      <c r="C149" s="2223"/>
      <c r="D149" s="2223"/>
      <c r="E149" s="2223"/>
      <c r="F149" s="2223"/>
      <c r="G149" s="2224"/>
      <c r="H149" s="1121" t="s">
        <v>82</v>
      </c>
      <c r="I149" s="1122" t="s">
        <v>82</v>
      </c>
      <c r="J149" s="1124">
        <f>J150</f>
        <v>800991.33</v>
      </c>
      <c r="K149" s="81"/>
      <c r="L149" s="1326"/>
      <c r="M149" s="970"/>
      <c r="N149" s="79"/>
      <c r="O149" s="79"/>
      <c r="P149" s="1071"/>
      <c r="Q149" s="70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5"/>
      <c r="AE149" s="75"/>
    </row>
    <row r="150" spans="1:31" s="61" customFormat="1" ht="43.5" customHeight="1" x14ac:dyDescent="0.25">
      <c r="A150" s="1332" t="s">
        <v>1607</v>
      </c>
      <c r="B150" s="2218" t="s">
        <v>1608</v>
      </c>
      <c r="C150" s="2219"/>
      <c r="D150" s="2219"/>
      <c r="E150" s="2219"/>
      <c r="F150" s="2219"/>
      <c r="G150" s="2219"/>
      <c r="H150" s="1121">
        <f>J44</f>
        <v>2669971.1</v>
      </c>
      <c r="I150" s="1122">
        <v>0.3</v>
      </c>
      <c r="J150" s="1420">
        <f>H150*I150</f>
        <v>800991.33</v>
      </c>
      <c r="K150" s="81"/>
      <c r="L150" s="1326"/>
      <c r="M150" s="970"/>
      <c r="N150" s="79"/>
      <c r="O150" s="79"/>
      <c r="P150" s="1071"/>
      <c r="Q150" s="70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5"/>
      <c r="AE150" s="75"/>
    </row>
    <row r="151" spans="1:31" s="61" customFormat="1" ht="30.75" customHeight="1" x14ac:dyDescent="0.25">
      <c r="A151" s="1332" t="s">
        <v>281</v>
      </c>
      <c r="B151" s="2216" t="s">
        <v>1609</v>
      </c>
      <c r="C151" s="2217"/>
      <c r="D151" s="2217"/>
      <c r="E151" s="2217"/>
      <c r="F151" s="2217"/>
      <c r="G151" s="2217"/>
      <c r="H151" s="1121" t="s">
        <v>82</v>
      </c>
      <c r="I151" s="1122" t="s">
        <v>82</v>
      </c>
      <c r="J151" s="1124">
        <f>J152</f>
        <v>5339.94</v>
      </c>
      <c r="K151" s="81"/>
      <c r="L151" s="1326"/>
      <c r="M151" s="970"/>
      <c r="N151" s="79"/>
      <c r="O151" s="79"/>
      <c r="P151" s="1071"/>
      <c r="Q151" s="70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5"/>
      <c r="AE151" s="75"/>
    </row>
    <row r="152" spans="1:31" s="61" customFormat="1" ht="45.75" customHeight="1" x14ac:dyDescent="0.25">
      <c r="A152" s="1332" t="s">
        <v>1607</v>
      </c>
      <c r="B152" s="2218" t="s">
        <v>1610</v>
      </c>
      <c r="C152" s="2219"/>
      <c r="D152" s="2219"/>
      <c r="E152" s="2219"/>
      <c r="F152" s="2219"/>
      <c r="G152" s="2219"/>
      <c r="H152" s="1121">
        <f>H150</f>
        <v>2669971.1</v>
      </c>
      <c r="I152" s="1122">
        <v>2E-3</v>
      </c>
      <c r="J152" s="1420">
        <f>H152*I152</f>
        <v>5339.94</v>
      </c>
      <c r="K152" s="81"/>
      <c r="L152" s="1326"/>
      <c r="M152" s="970"/>
      <c r="N152" s="79"/>
      <c r="O152" s="79"/>
      <c r="P152" s="1071"/>
      <c r="Q152" s="70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5"/>
      <c r="AE152" s="75"/>
    </row>
    <row r="153" spans="1:31" s="61" customFormat="1" x14ac:dyDescent="0.25">
      <c r="A153" s="2036" t="s">
        <v>39</v>
      </c>
      <c r="B153" s="2168"/>
      <c r="C153" s="2168"/>
      <c r="D153" s="2168"/>
      <c r="E153" s="2168"/>
      <c r="F153" s="2168"/>
      <c r="G153" s="2168"/>
      <c r="H153" s="2168"/>
      <c r="I153" s="2169"/>
      <c r="J153" s="1192">
        <f>J149+J151</f>
        <v>806331.27</v>
      </c>
      <c r="K153" s="344">
        <v>0</v>
      </c>
      <c r="L153" s="1327">
        <f>J153-K153</f>
        <v>806331.27</v>
      </c>
      <c r="M153" s="1333"/>
      <c r="N153" s="1334"/>
      <c r="O153" s="1402"/>
      <c r="P153" s="1326"/>
      <c r="Q153" s="70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5"/>
      <c r="AE153" s="75"/>
    </row>
    <row r="154" spans="1:31" x14ac:dyDescent="0.25">
      <c r="A154" s="560"/>
      <c r="B154" s="560"/>
      <c r="C154" s="560"/>
      <c r="D154" s="560"/>
      <c r="E154" s="560"/>
      <c r="F154" s="560"/>
      <c r="G154" s="560"/>
      <c r="H154" s="560"/>
      <c r="I154" s="560"/>
      <c r="J154" s="64"/>
      <c r="K154" s="564"/>
      <c r="L154" s="739"/>
      <c r="M154" s="577"/>
    </row>
    <row r="155" spans="1:31" x14ac:dyDescent="0.25">
      <c r="A155" s="973" t="s">
        <v>26</v>
      </c>
      <c r="B155" s="976"/>
      <c r="C155" s="976"/>
      <c r="D155" s="974"/>
      <c r="E155" s="975" t="s">
        <v>626</v>
      </c>
      <c r="F155" s="976"/>
      <c r="G155" s="976"/>
      <c r="H155" s="977"/>
      <c r="I155" s="978"/>
      <c r="J155" s="979">
        <f>J164</f>
        <v>84011775.790000007</v>
      </c>
      <c r="M155" s="577"/>
    </row>
    <row r="156" spans="1:31" x14ac:dyDescent="0.25">
      <c r="A156" s="507" t="s">
        <v>27</v>
      </c>
      <c r="D156" s="551"/>
      <c r="E156" s="509" t="s">
        <v>67</v>
      </c>
    </row>
    <row r="157" spans="1:31" x14ac:dyDescent="0.25">
      <c r="A157" s="1443" t="s">
        <v>317</v>
      </c>
      <c r="D157" s="512"/>
      <c r="E157" s="504"/>
    </row>
    <row r="158" spans="1:31" ht="15" customHeight="1" x14ac:dyDescent="0.25">
      <c r="A158" s="2170" t="s">
        <v>8</v>
      </c>
      <c r="B158" s="2192" t="s">
        <v>35</v>
      </c>
      <c r="C158" s="2202"/>
      <c r="D158" s="2202"/>
      <c r="E158" s="2202"/>
      <c r="F158" s="2202"/>
      <c r="G158" s="2220"/>
      <c r="H158" s="2172" t="s">
        <v>2050</v>
      </c>
      <c r="I158" s="2172"/>
      <c r="J158" s="2172"/>
    </row>
    <row r="159" spans="1:31" ht="64.5" customHeight="1" x14ac:dyDescent="0.25">
      <c r="A159" s="2170"/>
      <c r="B159" s="2206"/>
      <c r="C159" s="2207"/>
      <c r="D159" s="2207"/>
      <c r="E159" s="2207"/>
      <c r="F159" s="2207"/>
      <c r="G159" s="2221"/>
      <c r="H159" s="1420" t="s">
        <v>260</v>
      </c>
      <c r="I159" s="1420" t="s">
        <v>53</v>
      </c>
      <c r="J159" s="1420" t="s">
        <v>261</v>
      </c>
    </row>
    <row r="160" spans="1:31" x14ac:dyDescent="0.25">
      <c r="A160" s="1123">
        <v>1</v>
      </c>
      <c r="B160" s="2222" t="s">
        <v>1606</v>
      </c>
      <c r="C160" s="2223"/>
      <c r="D160" s="2223"/>
      <c r="E160" s="2223"/>
      <c r="F160" s="2223"/>
      <c r="G160" s="2224"/>
      <c r="H160" s="1121" t="s">
        <v>82</v>
      </c>
      <c r="I160" s="1122" t="s">
        <v>82</v>
      </c>
      <c r="J160" s="1124">
        <f>J161</f>
        <v>83455406.409999996</v>
      </c>
    </row>
    <row r="161" spans="1:28" ht="43.5" customHeight="1" x14ac:dyDescent="0.25">
      <c r="A161" s="1123" t="s">
        <v>1607</v>
      </c>
      <c r="B161" s="2218" t="s">
        <v>1608</v>
      </c>
      <c r="C161" s="2219"/>
      <c r="D161" s="2219"/>
      <c r="E161" s="2219"/>
      <c r="F161" s="2219"/>
      <c r="G161" s="2219"/>
      <c r="H161" s="1121">
        <f>J57</f>
        <v>278184688.02999997</v>
      </c>
      <c r="I161" s="1122">
        <v>0.3</v>
      </c>
      <c r="J161" s="1420">
        <f>H161*I161</f>
        <v>83455406.409999996</v>
      </c>
    </row>
    <row r="162" spans="1:28" ht="28.5" customHeight="1" x14ac:dyDescent="0.25">
      <c r="A162" s="1123" t="s">
        <v>281</v>
      </c>
      <c r="B162" s="2216" t="s">
        <v>1609</v>
      </c>
      <c r="C162" s="2217"/>
      <c r="D162" s="2217"/>
      <c r="E162" s="2217"/>
      <c r="F162" s="2217"/>
      <c r="G162" s="2217"/>
      <c r="H162" s="1121" t="s">
        <v>82</v>
      </c>
      <c r="I162" s="1122" t="s">
        <v>82</v>
      </c>
      <c r="J162" s="1124">
        <f>J163</f>
        <v>556369.38</v>
      </c>
    </row>
    <row r="163" spans="1:28" ht="45" customHeight="1" x14ac:dyDescent="0.25">
      <c r="A163" s="1123" t="s">
        <v>1607</v>
      </c>
      <c r="B163" s="2218" t="s">
        <v>1610</v>
      </c>
      <c r="C163" s="2219"/>
      <c r="D163" s="2219"/>
      <c r="E163" s="2219"/>
      <c r="F163" s="2219"/>
      <c r="G163" s="2219"/>
      <c r="H163" s="1121">
        <f>H161</f>
        <v>278184688.02999997</v>
      </c>
      <c r="I163" s="1122">
        <v>2E-3</v>
      </c>
      <c r="J163" s="1420">
        <f>H163*I163</f>
        <v>556369.38</v>
      </c>
    </row>
    <row r="164" spans="1:28" x14ac:dyDescent="0.25">
      <c r="A164" s="2236" t="s">
        <v>39</v>
      </c>
      <c r="B164" s="2237"/>
      <c r="C164" s="2237"/>
      <c r="D164" s="2237"/>
      <c r="E164" s="2237"/>
      <c r="F164" s="2237"/>
      <c r="G164" s="2238"/>
      <c r="H164" s="2238" t="s">
        <v>5</v>
      </c>
      <c r="I164" s="2239" t="s">
        <v>5</v>
      </c>
      <c r="J164" s="1192">
        <f>J160+J162</f>
        <v>84011775.790000007</v>
      </c>
      <c r="K164" s="597">
        <v>0</v>
      </c>
      <c r="L164" s="739">
        <f>J164-K164</f>
        <v>84011775.790000007</v>
      </c>
      <c r="M164" s="943"/>
      <c r="N164" s="944"/>
    </row>
    <row r="165" spans="1:28" x14ac:dyDescent="0.25">
      <c r="M165" s="928"/>
      <c r="N165" s="944"/>
    </row>
    <row r="166" spans="1:28" x14ac:dyDescent="0.25">
      <c r="A166" s="507" t="s">
        <v>63</v>
      </c>
      <c r="E166" s="509" t="s">
        <v>106</v>
      </c>
      <c r="G166" s="505"/>
      <c r="H166" s="576"/>
      <c r="I166" s="505"/>
      <c r="J166" s="511">
        <f>J167</f>
        <v>24293.21</v>
      </c>
      <c r="L166" s="561"/>
      <c r="M166" s="561"/>
      <c r="N166" s="561"/>
      <c r="O166" s="551"/>
      <c r="P166" s="551"/>
      <c r="Q166" s="551"/>
      <c r="R166" s="551"/>
      <c r="S166" s="551"/>
      <c r="T166" s="551"/>
      <c r="U166" s="551"/>
      <c r="V166" s="551"/>
      <c r="W166" s="551"/>
      <c r="X166" s="551"/>
      <c r="Y166" s="551"/>
      <c r="Z166" s="551"/>
      <c r="AA166" s="551"/>
      <c r="AB166" s="551"/>
    </row>
    <row r="167" spans="1:28" x14ac:dyDescent="0.25">
      <c r="A167" s="786" t="s">
        <v>26</v>
      </c>
      <c r="B167" s="787"/>
      <c r="C167" s="787"/>
      <c r="D167" s="787"/>
      <c r="E167" s="793" t="s">
        <v>624</v>
      </c>
      <c r="F167" s="787"/>
      <c r="G167" s="788"/>
      <c r="H167" s="985"/>
      <c r="I167" s="788"/>
      <c r="J167" s="789">
        <f>J173</f>
        <v>24293.21</v>
      </c>
      <c r="K167" s="561"/>
      <c r="L167" s="561"/>
      <c r="M167" s="561"/>
      <c r="N167" s="561"/>
      <c r="O167" s="551"/>
      <c r="P167" s="551"/>
      <c r="Q167" s="551"/>
      <c r="R167" s="551"/>
      <c r="S167" s="551"/>
      <c r="T167" s="551"/>
      <c r="U167" s="551"/>
      <c r="V167" s="551"/>
      <c r="W167" s="551"/>
      <c r="X167" s="551"/>
      <c r="Y167" s="551"/>
      <c r="Z167" s="551"/>
      <c r="AA167" s="551"/>
      <c r="AB167" s="551"/>
    </row>
    <row r="168" spans="1:28" ht="17.25" customHeight="1" x14ac:dyDescent="0.25">
      <c r="A168" s="507" t="s">
        <v>27</v>
      </c>
      <c r="E168" s="71" t="s">
        <v>1830</v>
      </c>
      <c r="G168" s="505"/>
      <c r="H168" s="576"/>
      <c r="I168" s="505"/>
      <c r="J168" s="505"/>
      <c r="K168" s="561"/>
      <c r="L168" s="561"/>
      <c r="M168" s="561"/>
      <c r="N168" s="561"/>
      <c r="O168" s="551"/>
      <c r="P168" s="551"/>
      <c r="Q168" s="551"/>
      <c r="R168" s="551"/>
      <c r="S168" s="551"/>
      <c r="T168" s="551"/>
      <c r="U168" s="551"/>
      <c r="V168" s="551"/>
      <c r="W168" s="551"/>
      <c r="X168" s="551"/>
      <c r="Y168" s="551"/>
      <c r="Z168" s="551"/>
      <c r="AA168" s="551"/>
      <c r="AB168" s="551"/>
    </row>
    <row r="169" spans="1:28" ht="17.25" customHeight="1" x14ac:dyDescent="0.25">
      <c r="A169" s="1449" t="s">
        <v>320</v>
      </c>
      <c r="G169" s="505"/>
      <c r="H169" s="576"/>
      <c r="I169" s="505"/>
      <c r="J169" s="505"/>
      <c r="K169" s="561"/>
      <c r="L169" s="561"/>
      <c r="M169" s="561"/>
      <c r="N169" s="561"/>
      <c r="O169" s="551"/>
      <c r="P169" s="551"/>
      <c r="Q169" s="551"/>
      <c r="R169" s="551"/>
      <c r="S169" s="551"/>
      <c r="T169" s="551"/>
      <c r="U169" s="551"/>
      <c r="V169" s="551"/>
      <c r="W169" s="551"/>
      <c r="X169" s="551"/>
      <c r="Y169" s="551"/>
      <c r="Z169" s="551"/>
      <c r="AA169" s="551"/>
      <c r="AB169" s="551"/>
    </row>
    <row r="170" spans="1:28" ht="15" customHeight="1" x14ac:dyDescent="0.25">
      <c r="A170" s="1898" t="s">
        <v>8</v>
      </c>
      <c r="B170" s="1956" t="s">
        <v>46</v>
      </c>
      <c r="C170" s="2157"/>
      <c r="D170" s="2157"/>
      <c r="E170" s="2157"/>
      <c r="F170" s="2157"/>
      <c r="G170" s="2158"/>
      <c r="H170" s="2193" t="s">
        <v>2046</v>
      </c>
      <c r="I170" s="2240"/>
      <c r="J170" s="2179"/>
      <c r="K170" s="564"/>
      <c r="L170" s="739"/>
      <c r="M170" s="577"/>
    </row>
    <row r="171" spans="1:28" ht="33" customHeight="1" x14ac:dyDescent="0.25">
      <c r="A171" s="1898"/>
      <c r="B171" s="2159"/>
      <c r="C171" s="2160"/>
      <c r="D171" s="2160"/>
      <c r="E171" s="2160"/>
      <c r="F171" s="2160"/>
      <c r="G171" s="2161"/>
      <c r="H171" s="1410" t="s">
        <v>262</v>
      </c>
      <c r="I171" s="1420" t="s">
        <v>50</v>
      </c>
      <c r="J171" s="1420" t="s">
        <v>261</v>
      </c>
      <c r="K171" s="564"/>
      <c r="L171" s="739"/>
      <c r="M171" s="577"/>
    </row>
    <row r="172" spans="1:28" x14ac:dyDescent="0.25">
      <c r="A172" s="62">
        <v>1</v>
      </c>
      <c r="B172" s="1129" t="s">
        <v>1494</v>
      </c>
      <c r="C172" s="1130"/>
      <c r="D172" s="1130"/>
      <c r="E172" s="1130"/>
      <c r="F172" s="1130"/>
      <c r="G172" s="1130"/>
      <c r="H172" s="1420">
        <f>J117</f>
        <v>80441.100000000006</v>
      </c>
      <c r="I172" s="1365">
        <v>30.2</v>
      </c>
      <c r="J172" s="1420">
        <f>H172*I172%</f>
        <v>24293.21</v>
      </c>
      <c r="K172" s="564"/>
      <c r="L172" s="739"/>
      <c r="M172" s="577"/>
    </row>
    <row r="173" spans="1:28" x14ac:dyDescent="0.25">
      <c r="A173" s="1944" t="s">
        <v>39</v>
      </c>
      <c r="B173" s="2225"/>
      <c r="C173" s="2225"/>
      <c r="D173" s="2225"/>
      <c r="E173" s="2225"/>
      <c r="F173" s="2225"/>
      <c r="G173" s="2225"/>
      <c r="H173" s="2225"/>
      <c r="I173" s="2226"/>
      <c r="J173" s="1406">
        <f>SUM(J172)</f>
        <v>24293.21</v>
      </c>
      <c r="K173" s="564"/>
      <c r="L173" s="739"/>
      <c r="M173" s="577"/>
    </row>
    <row r="174" spans="1:28" x14ac:dyDescent="0.25">
      <c r="M174" s="928"/>
      <c r="N174" s="944"/>
    </row>
    <row r="175" spans="1:28" x14ac:dyDescent="0.25">
      <c r="A175" s="652" t="s">
        <v>51</v>
      </c>
      <c r="B175" s="652"/>
      <c r="C175" s="652"/>
      <c r="D175" s="652"/>
      <c r="E175" s="652"/>
      <c r="F175" s="652"/>
      <c r="G175" s="652"/>
      <c r="H175" s="653"/>
      <c r="I175" s="654"/>
      <c r="J175" s="654">
        <f>J177</f>
        <v>48476.76</v>
      </c>
    </row>
    <row r="177" spans="1:12" ht="19.5" customHeight="1" x14ac:dyDescent="0.25">
      <c r="A177" s="507" t="s">
        <v>147</v>
      </c>
      <c r="B177" s="507"/>
      <c r="C177" s="507"/>
      <c r="D177" s="507"/>
      <c r="E177" s="587" t="s">
        <v>1704</v>
      </c>
      <c r="J177" s="511">
        <f>J179</f>
        <v>48476.76</v>
      </c>
    </row>
    <row r="178" spans="1:12" x14ac:dyDescent="0.25">
      <c r="E178" s="504"/>
    </row>
    <row r="179" spans="1:12" x14ac:dyDescent="0.25">
      <c r="A179" s="507" t="s">
        <v>63</v>
      </c>
      <c r="B179" s="507"/>
      <c r="C179" s="507"/>
      <c r="D179" s="551"/>
      <c r="E179" s="509" t="s">
        <v>90</v>
      </c>
      <c r="J179" s="511">
        <f>J180</f>
        <v>48476.76</v>
      </c>
    </row>
    <row r="180" spans="1:12" x14ac:dyDescent="0.25">
      <c r="A180" s="973" t="s">
        <v>26</v>
      </c>
      <c r="B180" s="973"/>
      <c r="C180" s="973"/>
      <c r="D180" s="974"/>
      <c r="E180" s="975" t="s">
        <v>625</v>
      </c>
      <c r="F180" s="976"/>
      <c r="G180" s="976"/>
      <c r="H180" s="977"/>
      <c r="I180" s="978"/>
      <c r="J180" s="979">
        <f>J191</f>
        <v>48476.76</v>
      </c>
    </row>
    <row r="181" spans="1:12" x14ac:dyDescent="0.25">
      <c r="A181" s="507" t="s">
        <v>27</v>
      </c>
      <c r="B181" s="507"/>
      <c r="C181" s="507"/>
      <c r="D181" s="551"/>
      <c r="E181" s="509" t="s">
        <v>1837</v>
      </c>
    </row>
    <row r="182" spans="1:12" ht="12.75" hidden="1" customHeight="1" x14ac:dyDescent="0.25">
      <c r="A182" s="1449" t="s">
        <v>1153</v>
      </c>
    </row>
    <row r="183" spans="1:12" ht="19.5" hidden="1" customHeight="1" x14ac:dyDescent="0.25">
      <c r="A183" s="2199" t="s">
        <v>8</v>
      </c>
      <c r="B183" s="2227" t="s">
        <v>35</v>
      </c>
      <c r="C183" s="2228"/>
      <c r="D183" s="2229"/>
      <c r="E183" s="2229"/>
      <c r="F183" s="2183" t="s">
        <v>735</v>
      </c>
      <c r="G183" s="2183"/>
      <c r="H183" s="2183"/>
      <c r="I183" s="2183"/>
      <c r="J183" s="2183"/>
    </row>
    <row r="184" spans="1:12" ht="47.25" hidden="1" customHeight="1" x14ac:dyDescent="0.25">
      <c r="A184" s="2200"/>
      <c r="B184" s="2230"/>
      <c r="C184" s="2231"/>
      <c r="D184" s="2231"/>
      <c r="E184" s="2231"/>
      <c r="F184" s="2232" t="s">
        <v>263</v>
      </c>
      <c r="G184" s="2233"/>
      <c r="H184" s="1434" t="s">
        <v>255</v>
      </c>
      <c r="I184" s="1434" t="s">
        <v>627</v>
      </c>
      <c r="J184" s="1434" t="s">
        <v>256</v>
      </c>
    </row>
    <row r="185" spans="1:12" ht="30.75" hidden="1" customHeight="1" x14ac:dyDescent="0.25">
      <c r="A185" s="1408">
        <v>1</v>
      </c>
      <c r="B185" s="2234" t="s">
        <v>695</v>
      </c>
      <c r="C185" s="2211"/>
      <c r="D185" s="2212"/>
      <c r="E185" s="2212"/>
      <c r="F185" s="2235"/>
      <c r="G185" s="2235"/>
      <c r="H185" s="1434"/>
      <c r="I185" s="513"/>
      <c r="J185" s="1434">
        <f>F185*H185*I185</f>
        <v>0</v>
      </c>
    </row>
    <row r="186" spans="1:12" ht="13.5" hidden="1" customHeight="1" x14ac:dyDescent="0.25">
      <c r="A186" s="2241" t="s">
        <v>39</v>
      </c>
      <c r="B186" s="2175"/>
      <c r="C186" s="2176"/>
      <c r="D186" s="2175"/>
      <c r="E186" s="2175"/>
      <c r="F186" s="2242" t="s">
        <v>5</v>
      </c>
      <c r="G186" s="2242"/>
      <c r="H186" s="1437" t="s">
        <v>5</v>
      </c>
      <c r="I186" s="1437" t="s">
        <v>5</v>
      </c>
      <c r="J186" s="1437">
        <f>SUM(J183:J185)</f>
        <v>0</v>
      </c>
    </row>
    <row r="187" spans="1:12" x14ac:dyDescent="0.25">
      <c r="A187" s="1449" t="s">
        <v>1153</v>
      </c>
    </row>
    <row r="188" spans="1:12" x14ac:dyDescent="0.25">
      <c r="A188" s="2170" t="s">
        <v>8</v>
      </c>
      <c r="B188" s="2172" t="s">
        <v>35</v>
      </c>
      <c r="C188" s="2171"/>
      <c r="D188" s="2171"/>
      <c r="E188" s="2171"/>
      <c r="F188" s="2171"/>
      <c r="G188" s="2170" t="s">
        <v>2046</v>
      </c>
      <c r="H188" s="2173"/>
      <c r="I188" s="2173"/>
      <c r="J188" s="2173"/>
    </row>
    <row r="189" spans="1:12" ht="75" x14ac:dyDescent="0.25">
      <c r="A189" s="2171"/>
      <c r="B189" s="2171"/>
      <c r="C189" s="2171"/>
      <c r="D189" s="2171"/>
      <c r="E189" s="2171"/>
      <c r="F189" s="2171"/>
      <c r="G189" s="1120" t="s">
        <v>1604</v>
      </c>
      <c r="H189" s="1410" t="s">
        <v>276</v>
      </c>
      <c r="I189" s="1441" t="s">
        <v>36</v>
      </c>
      <c r="J189" s="1434" t="s">
        <v>256</v>
      </c>
    </row>
    <row r="190" spans="1:12" ht="30" customHeight="1" x14ac:dyDescent="0.25">
      <c r="A190" s="1408">
        <v>1</v>
      </c>
      <c r="B190" s="2243" t="s">
        <v>1107</v>
      </c>
      <c r="C190" s="2163"/>
      <c r="D190" s="2163"/>
      <c r="E190" s="2163"/>
      <c r="F190" s="2244"/>
      <c r="G190" s="1115">
        <v>4039.73</v>
      </c>
      <c r="H190" s="1116">
        <v>4</v>
      </c>
      <c r="I190" s="1116">
        <v>3</v>
      </c>
      <c r="J190" s="1434">
        <f>G190*H190*I190</f>
        <v>48476.76</v>
      </c>
    </row>
    <row r="191" spans="1:12" x14ac:dyDescent="0.25">
      <c r="A191" s="2174" t="s">
        <v>39</v>
      </c>
      <c r="B191" s="2175"/>
      <c r="C191" s="2176"/>
      <c r="D191" s="2175"/>
      <c r="E191" s="2175"/>
      <c r="F191" s="2175"/>
      <c r="G191" s="2175"/>
      <c r="H191" s="2175"/>
      <c r="I191" s="2177"/>
      <c r="J191" s="1406">
        <f>SUM(J189:J190)</f>
        <v>48476.76</v>
      </c>
      <c r="K191" s="564">
        <v>0</v>
      </c>
      <c r="L191" s="739">
        <f>J191-K191</f>
        <v>48476.76</v>
      </c>
    </row>
    <row r="193" spans="1:28" x14ac:dyDescent="0.25">
      <c r="A193" s="652" t="s">
        <v>52</v>
      </c>
      <c r="B193" s="652"/>
      <c r="C193" s="652"/>
      <c r="D193" s="652"/>
      <c r="E193" s="652"/>
      <c r="F193" s="652"/>
      <c r="G193" s="652"/>
      <c r="H193" s="653"/>
      <c r="I193" s="654"/>
      <c r="J193" s="654">
        <f>J195+J207</f>
        <v>19972284</v>
      </c>
    </row>
    <row r="195" spans="1:28" s="603" customFormat="1" ht="15.75" customHeight="1" x14ac:dyDescent="0.25">
      <c r="A195" s="499" t="s">
        <v>147</v>
      </c>
      <c r="B195" s="499"/>
      <c r="C195" s="499"/>
      <c r="D195" s="499"/>
      <c r="E195" s="500" t="s">
        <v>1709</v>
      </c>
      <c r="F195" s="501"/>
      <c r="G195" s="501"/>
      <c r="H195" s="502"/>
      <c r="I195" s="503"/>
      <c r="J195" s="601">
        <f>J197</f>
        <v>19972284</v>
      </c>
      <c r="K195" s="730"/>
      <c r="L195" s="731"/>
      <c r="M195" s="731"/>
      <c r="N195" s="731"/>
      <c r="O195" s="602"/>
      <c r="P195" s="602"/>
      <c r="Q195" s="602"/>
      <c r="R195" s="602"/>
      <c r="S195" s="602"/>
      <c r="T195" s="602"/>
      <c r="U195" s="602"/>
      <c r="V195" s="602"/>
      <c r="W195" s="602"/>
      <c r="X195" s="602"/>
      <c r="Y195" s="602"/>
      <c r="Z195" s="602"/>
      <c r="AA195" s="602"/>
      <c r="AB195" s="602"/>
    </row>
    <row r="196" spans="1:28" x14ac:dyDescent="0.25">
      <c r="E196" s="504"/>
    </row>
    <row r="197" spans="1:28" x14ac:dyDescent="0.25">
      <c r="A197" s="507" t="s">
        <v>63</v>
      </c>
      <c r="D197" s="508"/>
      <c r="E197" s="509" t="s">
        <v>75</v>
      </c>
      <c r="J197" s="510">
        <f>J198</f>
        <v>19972284</v>
      </c>
    </row>
    <row r="198" spans="1:28" x14ac:dyDescent="0.25">
      <c r="A198" s="786" t="s">
        <v>26</v>
      </c>
      <c r="B198" s="787"/>
      <c r="C198" s="787"/>
      <c r="D198" s="935"/>
      <c r="E198" s="793" t="s">
        <v>624</v>
      </c>
      <c r="F198" s="787"/>
      <c r="G198" s="787"/>
      <c r="H198" s="788"/>
      <c r="I198" s="986"/>
      <c r="J198" s="789">
        <f>J205</f>
        <v>19972284</v>
      </c>
    </row>
    <row r="199" spans="1:28" x14ac:dyDescent="0.25">
      <c r="A199" s="507" t="s">
        <v>27</v>
      </c>
      <c r="D199" s="508"/>
      <c r="E199" s="71" t="s">
        <v>1830</v>
      </c>
    </row>
    <row r="200" spans="1:28" ht="16.5" customHeight="1" x14ac:dyDescent="0.25">
      <c r="A200" s="1449" t="s">
        <v>1084</v>
      </c>
      <c r="E200" s="512"/>
    </row>
    <row r="201" spans="1:28" x14ac:dyDescent="0.25">
      <c r="A201" s="2183" t="s">
        <v>8</v>
      </c>
      <c r="B201" s="2183" t="s">
        <v>35</v>
      </c>
      <c r="C201" s="2183"/>
      <c r="D201" s="2183"/>
      <c r="E201" s="2183"/>
      <c r="F201" s="2183"/>
      <c r="G201" s="2183"/>
      <c r="H201" s="2184" t="s">
        <v>2046</v>
      </c>
      <c r="I201" s="2185"/>
      <c r="J201" s="2186"/>
    </row>
    <row r="202" spans="1:28" ht="60" customHeight="1" x14ac:dyDescent="0.25">
      <c r="A202" s="2183"/>
      <c r="B202" s="2183"/>
      <c r="C202" s="2183"/>
      <c r="D202" s="2183"/>
      <c r="E202" s="2183"/>
      <c r="F202" s="2183"/>
      <c r="G202" s="2183"/>
      <c r="H202" s="1408" t="s">
        <v>257</v>
      </c>
      <c r="I202" s="1434" t="s">
        <v>53</v>
      </c>
      <c r="J202" s="1434" t="s">
        <v>1612</v>
      </c>
    </row>
    <row r="203" spans="1:28" ht="15" customHeight="1" x14ac:dyDescent="0.25">
      <c r="A203" s="1447">
        <v>1</v>
      </c>
      <c r="B203" s="1986" t="s">
        <v>2052</v>
      </c>
      <c r="C203" s="1986"/>
      <c r="D203" s="1986"/>
      <c r="E203" s="1986"/>
      <c r="F203" s="1986"/>
      <c r="G203" s="1986"/>
      <c r="H203" s="1434">
        <v>226957773</v>
      </c>
      <c r="I203" s="1434">
        <v>2.2000000000000002</v>
      </c>
      <c r="J203" s="59">
        <f>H203*I203%</f>
        <v>4993071</v>
      </c>
      <c r="K203" s="564"/>
      <c r="L203" s="739"/>
    </row>
    <row r="204" spans="1:28" ht="15" customHeight="1" x14ac:dyDescent="0.25">
      <c r="A204" s="1447">
        <v>2</v>
      </c>
      <c r="B204" s="1986" t="s">
        <v>2053</v>
      </c>
      <c r="C204" s="1986"/>
      <c r="D204" s="1986"/>
      <c r="E204" s="1986"/>
      <c r="F204" s="1986"/>
      <c r="G204" s="1986"/>
      <c r="H204" s="1434">
        <v>680873318</v>
      </c>
      <c r="I204" s="1434">
        <v>2.2000000000000002</v>
      </c>
      <c r="J204" s="59">
        <f>H204*I204%</f>
        <v>14979213</v>
      </c>
      <c r="K204" s="564"/>
      <c r="L204" s="815"/>
      <c r="M204" s="552"/>
    </row>
    <row r="205" spans="1:28" x14ac:dyDescent="0.25">
      <c r="A205" s="2181" t="s">
        <v>39</v>
      </c>
      <c r="B205" s="2181"/>
      <c r="C205" s="2181"/>
      <c r="D205" s="2181"/>
      <c r="E205" s="2181"/>
      <c r="F205" s="2181"/>
      <c r="G205" s="2181"/>
      <c r="H205" s="1437" t="s">
        <v>5</v>
      </c>
      <c r="I205" s="1437" t="s">
        <v>5</v>
      </c>
      <c r="J205" s="1406">
        <f>SUM(J203:J204)</f>
        <v>19972284</v>
      </c>
      <c r="K205" s="732">
        <f>SUM(K203:K204)</f>
        <v>0</v>
      </c>
      <c r="L205" s="859">
        <f>J205-K205</f>
        <v>19972284</v>
      </c>
      <c r="M205" s="593"/>
    </row>
    <row r="206" spans="1:28" x14ac:dyDescent="0.25">
      <c r="A206" s="733"/>
      <c r="B206" s="733"/>
      <c r="C206" s="733"/>
      <c r="D206" s="733"/>
      <c r="E206" s="733"/>
      <c r="F206" s="733"/>
      <c r="G206" s="733"/>
      <c r="H206" s="733"/>
      <c r="I206" s="733"/>
      <c r="J206" s="720"/>
    </row>
    <row r="207" spans="1:28" hidden="1" x14ac:dyDescent="0.25">
      <c r="A207" s="507" t="s">
        <v>147</v>
      </c>
      <c r="B207" s="507"/>
      <c r="C207" s="507"/>
      <c r="D207" s="507"/>
      <c r="E207" s="587" t="s">
        <v>1710</v>
      </c>
      <c r="J207" s="511">
        <f>J209</f>
        <v>0</v>
      </c>
    </row>
    <row r="208" spans="1:28" hidden="1" x14ac:dyDescent="0.25">
      <c r="E208" s="504"/>
    </row>
    <row r="209" spans="1:28" hidden="1" x14ac:dyDescent="0.25">
      <c r="A209" s="507" t="s">
        <v>63</v>
      </c>
      <c r="D209" s="508"/>
      <c r="E209" s="509" t="s">
        <v>75</v>
      </c>
      <c r="J209" s="510">
        <f>J210</f>
        <v>0</v>
      </c>
    </row>
    <row r="210" spans="1:28" hidden="1" x14ac:dyDescent="0.25">
      <c r="A210" s="786" t="s">
        <v>26</v>
      </c>
      <c r="B210" s="787"/>
      <c r="C210" s="787"/>
      <c r="D210" s="935"/>
      <c r="E210" s="793" t="s">
        <v>624</v>
      </c>
      <c r="F210" s="787"/>
      <c r="G210" s="787"/>
      <c r="H210" s="788"/>
      <c r="I210" s="986"/>
      <c r="J210" s="789">
        <f>J217</f>
        <v>0</v>
      </c>
    </row>
    <row r="211" spans="1:28" hidden="1" x14ac:dyDescent="0.25">
      <c r="A211" s="507" t="s">
        <v>27</v>
      </c>
      <c r="D211" s="508"/>
      <c r="E211" s="509" t="s">
        <v>1477</v>
      </c>
    </row>
    <row r="212" spans="1:28" ht="12.75" hidden="1" customHeight="1" x14ac:dyDescent="0.25">
      <c r="A212" s="1449" t="s">
        <v>1088</v>
      </c>
      <c r="D212" s="508"/>
      <c r="E212" s="509"/>
    </row>
    <row r="213" spans="1:28" ht="15" hidden="1" customHeight="1" x14ac:dyDescent="0.25">
      <c r="A213" s="2183" t="s">
        <v>8</v>
      </c>
      <c r="B213" s="2183" t="s">
        <v>35</v>
      </c>
      <c r="C213" s="2183"/>
      <c r="D213" s="2183"/>
      <c r="E213" s="2183"/>
      <c r="F213" s="2183"/>
      <c r="G213" s="2193" t="s">
        <v>1476</v>
      </c>
      <c r="H213" s="2168"/>
      <c r="I213" s="2168"/>
      <c r="J213" s="2169"/>
    </row>
    <row r="214" spans="1:28" ht="59.25" hidden="1" customHeight="1" x14ac:dyDescent="0.25">
      <c r="A214" s="2183"/>
      <c r="B214" s="2183"/>
      <c r="C214" s="2183"/>
      <c r="D214" s="2183"/>
      <c r="E214" s="2183"/>
      <c r="F214" s="2183"/>
      <c r="G214" s="1408" t="s">
        <v>1766</v>
      </c>
      <c r="H214" s="1408" t="s">
        <v>293</v>
      </c>
      <c r="I214" s="1434" t="s">
        <v>1768</v>
      </c>
      <c r="J214" s="1434" t="s">
        <v>1612</v>
      </c>
    </row>
    <row r="215" spans="1:28" ht="29.25" hidden="1" customHeight="1" x14ac:dyDescent="0.25">
      <c r="A215" s="1447">
        <v>1</v>
      </c>
      <c r="B215" s="2252" t="s">
        <v>338</v>
      </c>
      <c r="C215" s="2253"/>
      <c r="D215" s="2253"/>
      <c r="E215" s="2253"/>
      <c r="F215" s="2254"/>
      <c r="G215" s="513" t="s">
        <v>1765</v>
      </c>
      <c r="H215" s="1434"/>
      <c r="I215" s="513">
        <v>15</v>
      </c>
      <c r="J215" s="580">
        <f>(H215*I215)/12*9</f>
        <v>0</v>
      </c>
      <c r="K215" s="551"/>
    </row>
    <row r="216" spans="1:28" ht="30" hidden="1" x14ac:dyDescent="0.25">
      <c r="A216" s="1127">
        <v>2</v>
      </c>
      <c r="B216" s="2255"/>
      <c r="C216" s="2256"/>
      <c r="D216" s="2256"/>
      <c r="E216" s="2256"/>
      <c r="F216" s="2257"/>
      <c r="G216" s="513" t="s">
        <v>1767</v>
      </c>
      <c r="H216" s="1434"/>
      <c r="I216" s="513">
        <v>15</v>
      </c>
      <c r="J216" s="580">
        <f>(H216*I216)/12*2</f>
        <v>0</v>
      </c>
      <c r="K216" s="551"/>
    </row>
    <row r="217" spans="1:28" hidden="1" x14ac:dyDescent="0.25">
      <c r="A217" s="2181" t="s">
        <v>39</v>
      </c>
      <c r="B217" s="2181"/>
      <c r="C217" s="2181"/>
      <c r="D217" s="2181"/>
      <c r="E217" s="2181"/>
      <c r="F217" s="2181"/>
      <c r="G217" s="2181"/>
      <c r="H217" s="1437" t="s">
        <v>5</v>
      </c>
      <c r="I217" s="1437" t="s">
        <v>5</v>
      </c>
      <c r="J217" s="1406">
        <f>SUM(J215:J216)</f>
        <v>0</v>
      </c>
      <c r="K217" s="564"/>
      <c r="L217" s="739">
        <f>J217-K217</f>
        <v>0</v>
      </c>
    </row>
    <row r="218" spans="1:28" hidden="1" x14ac:dyDescent="0.25"/>
    <row r="219" spans="1:28" x14ac:dyDescent="0.25">
      <c r="A219" s="652" t="s">
        <v>1229</v>
      </c>
      <c r="B219" s="652"/>
      <c r="C219" s="652"/>
      <c r="D219" s="652"/>
      <c r="E219" s="652"/>
      <c r="F219" s="652"/>
      <c r="G219" s="652"/>
      <c r="H219" s="653"/>
      <c r="I219" s="654"/>
      <c r="J219" s="654">
        <v>0</v>
      </c>
    </row>
    <row r="220" spans="1:28" x14ac:dyDescent="0.25">
      <c r="A220" s="652" t="s">
        <v>1838</v>
      </c>
      <c r="B220" s="652"/>
      <c r="C220" s="652"/>
      <c r="D220" s="652"/>
      <c r="E220" s="652"/>
      <c r="F220" s="652"/>
      <c r="G220" s="652"/>
      <c r="H220" s="653"/>
      <c r="I220" s="654"/>
      <c r="J220" s="654">
        <v>0</v>
      </c>
    </row>
    <row r="221" spans="1:28" x14ac:dyDescent="0.25">
      <c r="A221" s="652" t="s">
        <v>1839</v>
      </c>
      <c r="B221" s="652"/>
      <c r="C221" s="652"/>
      <c r="D221" s="652"/>
      <c r="E221" s="652"/>
      <c r="F221" s="652"/>
      <c r="G221" s="652"/>
      <c r="H221" s="653"/>
      <c r="I221" s="654"/>
      <c r="J221" s="654">
        <f>J223+J880</f>
        <v>30123234.370000001</v>
      </c>
    </row>
    <row r="223" spans="1:28" s="603" customFormat="1" x14ac:dyDescent="0.25">
      <c r="A223" s="499" t="s">
        <v>147</v>
      </c>
      <c r="B223" s="499"/>
      <c r="C223" s="499"/>
      <c r="D223" s="499"/>
      <c r="E223" s="500" t="s">
        <v>71</v>
      </c>
      <c r="F223" s="501"/>
      <c r="G223" s="501"/>
      <c r="H223" s="502"/>
      <c r="I223" s="503"/>
      <c r="J223" s="601">
        <f>J225+J263+J289+J472+J584+J608+J629+J668+J643+J619+J254+J857</f>
        <v>17923686.710000001</v>
      </c>
      <c r="K223" s="604"/>
      <c r="L223" s="606"/>
      <c r="M223" s="602"/>
      <c r="N223" s="731"/>
      <c r="O223" s="602"/>
      <c r="P223" s="602"/>
      <c r="Q223" s="602"/>
      <c r="R223" s="602"/>
      <c r="S223" s="602"/>
      <c r="T223" s="602"/>
      <c r="U223" s="602"/>
      <c r="V223" s="602"/>
      <c r="W223" s="602"/>
      <c r="X223" s="602"/>
      <c r="Y223" s="602"/>
      <c r="Z223" s="602"/>
      <c r="AA223" s="602"/>
      <c r="AB223" s="602"/>
    </row>
    <row r="224" spans="1:28" x14ac:dyDescent="0.25">
      <c r="E224" s="504"/>
      <c r="L224" s="553"/>
      <c r="N224" s="579"/>
    </row>
    <row r="225" spans="1:15" x14ac:dyDescent="0.25">
      <c r="A225" s="507" t="s">
        <v>63</v>
      </c>
      <c r="B225" s="504"/>
      <c r="C225" s="504"/>
      <c r="D225" s="508"/>
      <c r="E225" s="509" t="s">
        <v>76</v>
      </c>
      <c r="J225" s="511">
        <f>J226</f>
        <v>102504</v>
      </c>
      <c r="L225" s="551"/>
      <c r="M225" s="552"/>
    </row>
    <row r="226" spans="1:15" x14ac:dyDescent="0.25">
      <c r="A226" s="786" t="s">
        <v>26</v>
      </c>
      <c r="B226" s="794"/>
      <c r="C226" s="794"/>
      <c r="D226" s="935"/>
      <c r="E226" s="793" t="s">
        <v>624</v>
      </c>
      <c r="F226" s="787"/>
      <c r="G226" s="787"/>
      <c r="H226" s="788"/>
      <c r="I226" s="986"/>
      <c r="J226" s="789">
        <f>J227</f>
        <v>102504</v>
      </c>
      <c r="L226" s="552"/>
      <c r="M226" s="551"/>
    </row>
    <row r="227" spans="1:15" x14ac:dyDescent="0.25">
      <c r="A227" s="507" t="s">
        <v>27</v>
      </c>
      <c r="B227" s="504"/>
      <c r="C227" s="504"/>
      <c r="D227" s="508"/>
      <c r="E227" s="71" t="s">
        <v>1830</v>
      </c>
      <c r="J227" s="511">
        <f>J234+J246</f>
        <v>102504</v>
      </c>
      <c r="K227" s="579"/>
      <c r="L227" s="734"/>
      <c r="M227" s="510"/>
      <c r="N227" s="510"/>
      <c r="O227" s="510"/>
    </row>
    <row r="228" spans="1:15" x14ac:dyDescent="0.25">
      <c r="A228" s="1449" t="s">
        <v>307</v>
      </c>
      <c r="E228" s="504"/>
      <c r="K228" s="607"/>
    </row>
    <row r="229" spans="1:15" x14ac:dyDescent="0.25">
      <c r="A229" s="2183" t="s">
        <v>8</v>
      </c>
      <c r="B229" s="2183" t="s">
        <v>35</v>
      </c>
      <c r="C229" s="2183"/>
      <c r="D229" s="2183"/>
      <c r="E229" s="2183"/>
      <c r="F229" s="2183" t="s">
        <v>272</v>
      </c>
      <c r="G229" s="2184" t="s">
        <v>2046</v>
      </c>
      <c r="H229" s="2185"/>
      <c r="I229" s="2185"/>
      <c r="J229" s="2186"/>
      <c r="K229" s="552" t="s">
        <v>1478</v>
      </c>
    </row>
    <row r="230" spans="1:15" ht="33" customHeight="1" x14ac:dyDescent="0.25">
      <c r="A230" s="2183"/>
      <c r="B230" s="2183"/>
      <c r="C230" s="2183"/>
      <c r="D230" s="2183"/>
      <c r="E230" s="2183"/>
      <c r="F230" s="2183"/>
      <c r="G230" s="1408" t="s">
        <v>248</v>
      </c>
      <c r="H230" s="1408" t="s">
        <v>274</v>
      </c>
      <c r="I230" s="1434" t="s">
        <v>264</v>
      </c>
      <c r="J230" s="1434" t="s">
        <v>256</v>
      </c>
    </row>
    <row r="231" spans="1:15" ht="15.75" customHeight="1" x14ac:dyDescent="0.25">
      <c r="A231" s="2245" t="s">
        <v>1536</v>
      </c>
      <c r="B231" s="2246"/>
      <c r="C231" s="2247"/>
      <c r="D231" s="2246"/>
      <c r="E231" s="2246"/>
      <c r="F231" s="2246"/>
      <c r="G231" s="2246"/>
      <c r="H231" s="2246"/>
      <c r="I231" s="2246"/>
      <c r="J231" s="2248"/>
    </row>
    <row r="232" spans="1:15" ht="30.75" customHeight="1" x14ac:dyDescent="0.25">
      <c r="A232" s="1409">
        <v>1</v>
      </c>
      <c r="B232" s="2249" t="s">
        <v>1840</v>
      </c>
      <c r="C232" s="2250"/>
      <c r="D232" s="2251"/>
      <c r="E232" s="2251"/>
      <c r="F232" s="1408" t="s">
        <v>750</v>
      </c>
      <c r="G232" s="735">
        <v>1</v>
      </c>
      <c r="H232" s="608">
        <f>12-5+1+1+3</f>
        <v>12</v>
      </c>
      <c r="I232" s="1436">
        <v>2592</v>
      </c>
      <c r="J232" s="1434">
        <f>H232*I232*G232</f>
        <v>31104</v>
      </c>
      <c r="K232" s="566"/>
    </row>
    <row r="233" spans="1:15" hidden="1" x14ac:dyDescent="0.25">
      <c r="A233" s="1409">
        <v>4</v>
      </c>
      <c r="B233" s="2259" t="s">
        <v>1076</v>
      </c>
      <c r="C233" s="2259"/>
      <c r="D233" s="2259"/>
      <c r="E233" s="2259"/>
      <c r="F233" s="2259"/>
      <c r="G233" s="2259"/>
      <c r="H233" s="2259"/>
      <c r="I233" s="2259"/>
      <c r="J233" s="1436"/>
      <c r="K233" s="566"/>
    </row>
    <row r="234" spans="1:15" x14ac:dyDescent="0.25">
      <c r="A234" s="2260" t="s">
        <v>39</v>
      </c>
      <c r="B234" s="2261"/>
      <c r="C234" s="2262"/>
      <c r="D234" s="2261"/>
      <c r="E234" s="2261"/>
      <c r="F234" s="2261"/>
      <c r="G234" s="2261"/>
      <c r="H234" s="2261"/>
      <c r="I234" s="2263"/>
      <c r="J234" s="1343">
        <f>SUM(J232:J233)</f>
        <v>31104</v>
      </c>
      <c r="K234" s="344">
        <v>0</v>
      </c>
      <c r="L234" s="739">
        <f>J234-K234</f>
        <v>31104</v>
      </c>
    </row>
    <row r="235" spans="1:15" ht="15" hidden="1" customHeight="1" x14ac:dyDescent="0.25">
      <c r="A235" s="2264" t="s">
        <v>514</v>
      </c>
      <c r="B235" s="2265"/>
      <c r="C235" s="2265"/>
      <c r="D235" s="2265"/>
      <c r="E235" s="2265"/>
      <c r="F235" s="2265"/>
      <c r="G235" s="2265"/>
      <c r="H235" s="2265"/>
      <c r="I235" s="2265"/>
      <c r="J235" s="2265"/>
      <c r="K235" s="577"/>
      <c r="L235" s="552"/>
    </row>
    <row r="236" spans="1:15" hidden="1" x14ac:dyDescent="0.25">
      <c r="A236" s="2266" t="s">
        <v>1134</v>
      </c>
      <c r="B236" s="2266"/>
      <c r="C236" s="2266"/>
      <c r="D236" s="2266"/>
      <c r="E236" s="2266"/>
      <c r="F236" s="2266"/>
      <c r="G236" s="2266"/>
      <c r="H236" s="2266"/>
      <c r="I236" s="2266"/>
      <c r="J236" s="1403">
        <v>0</v>
      </c>
      <c r="K236" s="344"/>
      <c r="L236" s="552"/>
    </row>
    <row r="237" spans="1:15" hidden="1" x14ac:dyDescent="0.25">
      <c r="A237" s="2266" t="s">
        <v>153</v>
      </c>
      <c r="B237" s="2266"/>
      <c r="C237" s="2266"/>
      <c r="D237" s="2266"/>
      <c r="E237" s="2266"/>
      <c r="F237" s="2266"/>
      <c r="G237" s="2266"/>
      <c r="H237" s="2266"/>
      <c r="I237" s="2266"/>
      <c r="J237" s="1403">
        <f>14400.06+2400.01</f>
        <v>16800.07</v>
      </c>
    </row>
    <row r="238" spans="1:15" hidden="1" x14ac:dyDescent="0.25">
      <c r="A238" s="2258" t="s">
        <v>619</v>
      </c>
      <c r="B238" s="2258"/>
      <c r="C238" s="2258"/>
      <c r="D238" s="2258"/>
      <c r="E238" s="2258"/>
      <c r="F238" s="2258"/>
      <c r="G238" s="2258"/>
      <c r="H238" s="2258"/>
      <c r="I238" s="2258"/>
      <c r="J238" s="624">
        <f>J234-J236-J237-J239</f>
        <v>14303.93</v>
      </c>
      <c r="K238" s="344"/>
      <c r="L238" s="552"/>
    </row>
    <row r="239" spans="1:15" hidden="1" x14ac:dyDescent="0.25">
      <c r="A239" s="2258" t="s">
        <v>1147</v>
      </c>
      <c r="B239" s="2258"/>
      <c r="C239" s="2258"/>
      <c r="D239" s="2258"/>
      <c r="E239" s="2258"/>
      <c r="F239" s="2258"/>
      <c r="G239" s="2258"/>
      <c r="H239" s="2258"/>
      <c r="I239" s="2258"/>
      <c r="J239" s="569">
        <v>0</v>
      </c>
      <c r="K239" s="87"/>
      <c r="L239" s="552"/>
    </row>
    <row r="240" spans="1:15" x14ac:dyDescent="0.25">
      <c r="A240" s="634"/>
      <c r="B240" s="635"/>
      <c r="C240" s="635"/>
      <c r="D240" s="635"/>
      <c r="E240" s="635"/>
      <c r="F240" s="635"/>
      <c r="G240" s="635"/>
      <c r="H240" s="635"/>
      <c r="I240" s="635"/>
      <c r="J240" s="554"/>
      <c r="K240" s="1442"/>
      <c r="L240" s="552"/>
    </row>
    <row r="241" spans="1:14" x14ac:dyDescent="0.25">
      <c r="A241" s="1449" t="s">
        <v>307</v>
      </c>
      <c r="I241" s="505"/>
      <c r="J241" s="505"/>
      <c r="K241" s="564"/>
    </row>
    <row r="242" spans="1:14" x14ac:dyDescent="0.25">
      <c r="A242" s="2183" t="s">
        <v>8</v>
      </c>
      <c r="B242" s="2183" t="s">
        <v>35</v>
      </c>
      <c r="C242" s="2183"/>
      <c r="D242" s="2183"/>
      <c r="E242" s="2183"/>
      <c r="F242" s="2183" t="s">
        <v>272</v>
      </c>
      <c r="G242" s="2184" t="s">
        <v>2046</v>
      </c>
      <c r="H242" s="2185"/>
      <c r="I242" s="2185"/>
      <c r="J242" s="2186"/>
      <c r="K242" s="564" t="s">
        <v>1478</v>
      </c>
    </row>
    <row r="243" spans="1:14" ht="32.25" customHeight="1" x14ac:dyDescent="0.25">
      <c r="A243" s="2183"/>
      <c r="B243" s="2183"/>
      <c r="C243" s="2183"/>
      <c r="D243" s="2183"/>
      <c r="E243" s="2183"/>
      <c r="F243" s="2183"/>
      <c r="G243" s="1408" t="s">
        <v>248</v>
      </c>
      <c r="H243" s="1408" t="s">
        <v>274</v>
      </c>
      <c r="I243" s="1434" t="s">
        <v>264</v>
      </c>
      <c r="J243" s="1434" t="s">
        <v>256</v>
      </c>
      <c r="K243" s="564"/>
    </row>
    <row r="244" spans="1:14" ht="15" customHeight="1" x14ac:dyDescent="0.25">
      <c r="A244" s="2245" t="s">
        <v>1537</v>
      </c>
      <c r="B244" s="2246"/>
      <c r="C244" s="2247"/>
      <c r="D244" s="2246"/>
      <c r="E244" s="2246"/>
      <c r="F244" s="2246"/>
      <c r="G244" s="2246"/>
      <c r="H244" s="2246"/>
      <c r="I244" s="2246"/>
      <c r="J244" s="2248"/>
      <c r="K244" s="564"/>
    </row>
    <row r="245" spans="1:14" x14ac:dyDescent="0.25">
      <c r="A245" s="1408">
        <v>1</v>
      </c>
      <c r="B245" s="2270" t="s">
        <v>497</v>
      </c>
      <c r="C245" s="2250"/>
      <c r="D245" s="2250"/>
      <c r="E245" s="2250"/>
      <c r="F245" s="1408" t="s">
        <v>750</v>
      </c>
      <c r="G245" s="513">
        <v>7</v>
      </c>
      <c r="H245" s="513">
        <f>12-5+1+1+3</f>
        <v>12</v>
      </c>
      <c r="I245" s="1434">
        <v>850</v>
      </c>
      <c r="J245" s="1434">
        <f>G245*H245*I245</f>
        <v>71400</v>
      </c>
      <c r="K245" s="564"/>
    </row>
    <row r="246" spans="1:14" x14ac:dyDescent="0.25">
      <c r="A246" s="2271" t="s">
        <v>39</v>
      </c>
      <c r="B246" s="2261"/>
      <c r="C246" s="2262"/>
      <c r="D246" s="2261"/>
      <c r="E246" s="2261"/>
      <c r="F246" s="2261"/>
      <c r="G246" s="2261"/>
      <c r="H246" s="2261"/>
      <c r="I246" s="2263"/>
      <c r="J246" s="1343">
        <f>SUM(J245:J245)</f>
        <v>71400</v>
      </c>
      <c r="K246" s="564">
        <v>0</v>
      </c>
      <c r="L246" s="739">
        <f>J246-K246</f>
        <v>71400</v>
      </c>
    </row>
    <row r="247" spans="1:14" ht="15.75" hidden="1" customHeight="1" x14ac:dyDescent="0.25">
      <c r="A247" s="2264" t="s">
        <v>514</v>
      </c>
      <c r="B247" s="2265"/>
      <c r="C247" s="2265"/>
      <c r="D247" s="2265"/>
      <c r="E247" s="2265"/>
      <c r="F247" s="2265"/>
      <c r="G247" s="2265"/>
      <c r="H247" s="2265"/>
      <c r="I247" s="2265"/>
      <c r="J247" s="2265"/>
      <c r="K247" s="564"/>
    </row>
    <row r="248" spans="1:14" hidden="1" x14ac:dyDescent="0.25">
      <c r="A248" s="2266" t="s">
        <v>1134</v>
      </c>
      <c r="B248" s="2266"/>
      <c r="C248" s="2266"/>
      <c r="D248" s="2266"/>
      <c r="E248" s="2266"/>
      <c r="F248" s="2266"/>
      <c r="G248" s="2266"/>
      <c r="H248" s="2266"/>
      <c r="I248" s="2266"/>
      <c r="J248" s="1403">
        <v>0</v>
      </c>
      <c r="K248" s="564"/>
    </row>
    <row r="249" spans="1:14" hidden="1" x14ac:dyDescent="0.25">
      <c r="A249" s="2266" t="s">
        <v>153</v>
      </c>
      <c r="B249" s="2266"/>
      <c r="C249" s="2266"/>
      <c r="D249" s="2266"/>
      <c r="E249" s="2266"/>
      <c r="F249" s="2266"/>
      <c r="G249" s="2266"/>
      <c r="H249" s="2266"/>
      <c r="I249" s="2266"/>
      <c r="J249" s="1403">
        <f>35700+5950</f>
        <v>41650</v>
      </c>
    </row>
    <row r="250" spans="1:14" hidden="1" x14ac:dyDescent="0.25">
      <c r="A250" s="2258" t="s">
        <v>619</v>
      </c>
      <c r="B250" s="2258"/>
      <c r="C250" s="2258"/>
      <c r="D250" s="2258"/>
      <c r="E250" s="2258"/>
      <c r="F250" s="2258"/>
      <c r="G250" s="2258"/>
      <c r="H250" s="2258"/>
      <c r="I250" s="2258"/>
      <c r="J250" s="624">
        <f>J246-J248-J249-J251</f>
        <v>29750</v>
      </c>
      <c r="K250" s="564"/>
    </row>
    <row r="251" spans="1:14" ht="15" hidden="1" customHeight="1" x14ac:dyDescent="0.25">
      <c r="A251" s="2267" t="s">
        <v>1147</v>
      </c>
      <c r="B251" s="2268"/>
      <c r="C251" s="2268"/>
      <c r="D251" s="2268"/>
      <c r="E251" s="2268"/>
      <c r="F251" s="2268"/>
      <c r="G251" s="2268"/>
      <c r="H251" s="2268"/>
      <c r="I251" s="2269"/>
      <c r="J251" s="569">
        <v>0</v>
      </c>
      <c r="K251" s="564"/>
    </row>
    <row r="252" spans="1:14" x14ac:dyDescent="0.25">
      <c r="K252" s="732"/>
    </row>
    <row r="253" spans="1:14" hidden="1" x14ac:dyDescent="0.25">
      <c r="A253" s="1449" t="s">
        <v>54</v>
      </c>
    </row>
    <row r="254" spans="1:14" x14ac:dyDescent="0.25">
      <c r="A254" s="507" t="s">
        <v>63</v>
      </c>
      <c r="B254" s="504"/>
      <c r="C254" s="504"/>
      <c r="D254" s="508"/>
      <c r="E254" s="563" t="s">
        <v>1845</v>
      </c>
      <c r="J254" s="511">
        <f>J255</f>
        <v>155400</v>
      </c>
      <c r="K254" s="553"/>
      <c r="L254" s="553"/>
      <c r="N254" s="567"/>
    </row>
    <row r="255" spans="1:14" x14ac:dyDescent="0.25">
      <c r="A255" s="786" t="s">
        <v>26</v>
      </c>
      <c r="B255" s="794"/>
      <c r="C255" s="794"/>
      <c r="D255" s="935"/>
      <c r="E255" s="793" t="s">
        <v>624</v>
      </c>
      <c r="F255" s="787"/>
      <c r="G255" s="787"/>
      <c r="H255" s="788"/>
      <c r="I255" s="986"/>
      <c r="J255" s="789">
        <f>J261</f>
        <v>155400</v>
      </c>
      <c r="K255" s="553"/>
      <c r="L255" s="553"/>
      <c r="N255" s="567"/>
    </row>
    <row r="256" spans="1:14" x14ac:dyDescent="0.25">
      <c r="A256" s="507" t="s">
        <v>27</v>
      </c>
      <c r="B256" s="504"/>
      <c r="C256" s="504"/>
      <c r="D256" s="508"/>
      <c r="E256" s="587" t="s">
        <v>1830</v>
      </c>
      <c r="K256" s="553"/>
      <c r="L256" s="553"/>
      <c r="N256" s="567"/>
    </row>
    <row r="257" spans="1:28" x14ac:dyDescent="0.25">
      <c r="A257" s="1449" t="s">
        <v>1846</v>
      </c>
      <c r="K257" s="553"/>
      <c r="L257" s="553"/>
      <c r="N257" s="567"/>
    </row>
    <row r="258" spans="1:28" x14ac:dyDescent="0.25">
      <c r="A258" s="2170" t="s">
        <v>8</v>
      </c>
      <c r="B258" s="2192" t="s">
        <v>35</v>
      </c>
      <c r="C258" s="2157"/>
      <c r="D258" s="2158"/>
      <c r="E258" s="2170" t="s">
        <v>1847</v>
      </c>
      <c r="F258" s="2170" t="s">
        <v>1848</v>
      </c>
      <c r="G258" s="2193" t="s">
        <v>2050</v>
      </c>
      <c r="H258" s="2240"/>
      <c r="I258" s="2240"/>
      <c r="J258" s="2179"/>
      <c r="K258" s="553"/>
      <c r="L258" s="553"/>
      <c r="N258" s="567"/>
    </row>
    <row r="259" spans="1:28" ht="75" x14ac:dyDescent="0.25">
      <c r="A259" s="2170"/>
      <c r="B259" s="2159"/>
      <c r="C259" s="2160"/>
      <c r="D259" s="2161"/>
      <c r="E259" s="2170"/>
      <c r="F259" s="2170"/>
      <c r="G259" s="1410" t="s">
        <v>1853</v>
      </c>
      <c r="H259" s="1410" t="s">
        <v>1849</v>
      </c>
      <c r="I259" s="1410" t="s">
        <v>1850</v>
      </c>
      <c r="J259" s="1420" t="s">
        <v>256</v>
      </c>
      <c r="K259" s="553"/>
      <c r="L259" s="553"/>
      <c r="N259" s="567"/>
    </row>
    <row r="260" spans="1:28" ht="30" x14ac:dyDescent="0.25">
      <c r="A260" s="1410">
        <v>1</v>
      </c>
      <c r="B260" s="2277" t="s">
        <v>1851</v>
      </c>
      <c r="C260" s="2163"/>
      <c r="D260" s="2163"/>
      <c r="E260" s="1370" t="s">
        <v>1852</v>
      </c>
      <c r="F260" s="1410">
        <v>148</v>
      </c>
      <c r="G260" s="1371">
        <v>3</v>
      </c>
      <c r="H260" s="1371">
        <f>F260*G260</f>
        <v>444</v>
      </c>
      <c r="I260" s="1372">
        <v>350</v>
      </c>
      <c r="J260" s="1420">
        <f>H260*I260</f>
        <v>155400</v>
      </c>
      <c r="K260" s="553"/>
      <c r="L260" s="553"/>
      <c r="N260" s="567"/>
    </row>
    <row r="261" spans="1:28" x14ac:dyDescent="0.25">
      <c r="A261" s="2278" t="s">
        <v>39</v>
      </c>
      <c r="B261" s="2278"/>
      <c r="C261" s="2278"/>
      <c r="D261" s="2278"/>
      <c r="E261" s="2278"/>
      <c r="F261" s="2278"/>
      <c r="G261" s="1373" t="s">
        <v>847</v>
      </c>
      <c r="H261" s="1373" t="s">
        <v>847</v>
      </c>
      <c r="I261" s="1373" t="s">
        <v>847</v>
      </c>
      <c r="J261" s="1190">
        <f>SUM(J260:J260)</f>
        <v>155400</v>
      </c>
      <c r="K261" s="553"/>
      <c r="L261" s="553"/>
      <c r="N261" s="567"/>
    </row>
    <row r="262" spans="1:28" x14ac:dyDescent="0.25">
      <c r="K262" s="553"/>
      <c r="L262" s="553"/>
      <c r="N262" s="567"/>
    </row>
    <row r="263" spans="1:28" x14ac:dyDescent="0.25">
      <c r="A263" s="507" t="s">
        <v>63</v>
      </c>
      <c r="B263" s="504"/>
      <c r="C263" s="504"/>
      <c r="D263" s="508"/>
      <c r="E263" s="509" t="s">
        <v>77</v>
      </c>
      <c r="J263" s="511">
        <f>J264</f>
        <v>513759.73</v>
      </c>
      <c r="L263" s="551"/>
      <c r="M263" s="552"/>
    </row>
    <row r="264" spans="1:28" x14ac:dyDescent="0.25">
      <c r="A264" s="786" t="s">
        <v>26</v>
      </c>
      <c r="B264" s="794"/>
      <c r="C264" s="794"/>
      <c r="D264" s="935"/>
      <c r="E264" s="793" t="s">
        <v>624</v>
      </c>
      <c r="F264" s="787"/>
      <c r="G264" s="787"/>
      <c r="H264" s="788"/>
      <c r="I264" s="986"/>
      <c r="J264" s="789">
        <f>J272</f>
        <v>513759.73</v>
      </c>
      <c r="L264" s="582"/>
      <c r="M264" s="552"/>
    </row>
    <row r="265" spans="1:28" x14ac:dyDescent="0.25">
      <c r="A265" s="507" t="s">
        <v>27</v>
      </c>
      <c r="B265" s="504"/>
      <c r="C265" s="504"/>
      <c r="D265" s="508"/>
      <c r="E265" s="71" t="s">
        <v>1830</v>
      </c>
      <c r="K265" s="582"/>
      <c r="L265" s="552"/>
      <c r="M265" s="552"/>
      <c r="N265" s="510"/>
    </row>
    <row r="266" spans="1:28" x14ac:dyDescent="0.25">
      <c r="A266" s="1449" t="s">
        <v>306</v>
      </c>
      <c r="K266" s="582"/>
      <c r="L266" s="552"/>
      <c r="M266" s="552"/>
    </row>
    <row r="267" spans="1:28" ht="15" customHeight="1" x14ac:dyDescent="0.25">
      <c r="A267" s="2183" t="s">
        <v>8</v>
      </c>
      <c r="B267" s="2183" t="s">
        <v>35</v>
      </c>
      <c r="C267" s="2183"/>
      <c r="D267" s="2183"/>
      <c r="E267" s="2183"/>
      <c r="F267" s="2183" t="s">
        <v>272</v>
      </c>
      <c r="G267" s="2184" t="s">
        <v>2046</v>
      </c>
      <c r="H267" s="2279"/>
      <c r="I267" s="2279"/>
      <c r="J267" s="2280"/>
      <c r="K267" s="552" t="s">
        <v>1478</v>
      </c>
    </row>
    <row r="268" spans="1:28" ht="47.25" customHeight="1" x14ac:dyDescent="0.25">
      <c r="A268" s="2183"/>
      <c r="B268" s="2183"/>
      <c r="C268" s="2183"/>
      <c r="D268" s="2183"/>
      <c r="E268" s="2183"/>
      <c r="F268" s="2183"/>
      <c r="G268" s="1408" t="s">
        <v>515</v>
      </c>
      <c r="H268" s="1408" t="s">
        <v>55</v>
      </c>
      <c r="I268" s="1434" t="s">
        <v>265</v>
      </c>
      <c r="J268" s="1434" t="s">
        <v>256</v>
      </c>
    </row>
    <row r="269" spans="1:28" ht="30" customHeight="1" x14ac:dyDescent="0.25">
      <c r="A269" s="2042">
        <v>1</v>
      </c>
      <c r="B269" s="2108" t="s">
        <v>1841</v>
      </c>
      <c r="C269" s="2272"/>
      <c r="D269" s="2272"/>
      <c r="E269" s="2272"/>
      <c r="F269" s="1175" t="s">
        <v>1646</v>
      </c>
      <c r="G269" s="1417" t="s">
        <v>2054</v>
      </c>
      <c r="H269" s="1363">
        <v>80.599999999999994</v>
      </c>
      <c r="I269" s="1366">
        <v>946.84799999999996</v>
      </c>
      <c r="J269" s="1367">
        <f>H269*I269</f>
        <v>76315.95</v>
      </c>
      <c r="K269" s="555"/>
      <c r="L269" s="1044" t="s">
        <v>1486</v>
      </c>
      <c r="M269" s="1045">
        <v>0</v>
      </c>
      <c r="N269" s="567"/>
      <c r="P269" s="551"/>
      <c r="Q269" s="551"/>
      <c r="R269" s="551"/>
      <c r="S269" s="551"/>
      <c r="T269" s="551"/>
      <c r="U269" s="551"/>
      <c r="V269" s="551"/>
      <c r="W269" s="551"/>
      <c r="X269" s="551"/>
      <c r="Y269" s="551"/>
      <c r="Z269" s="551"/>
      <c r="AA269" s="551"/>
      <c r="AB269" s="551"/>
    </row>
    <row r="270" spans="1:28" ht="30" customHeight="1" x14ac:dyDescent="0.25">
      <c r="A270" s="2042"/>
      <c r="B270" s="2273"/>
      <c r="C270" s="2274"/>
      <c r="D270" s="2274"/>
      <c r="E270" s="2274"/>
      <c r="F270" s="1175" t="s">
        <v>1646</v>
      </c>
      <c r="G270" s="1417" t="s">
        <v>2055</v>
      </c>
      <c r="H270" s="1363">
        <v>462</v>
      </c>
      <c r="I270" s="1366">
        <v>946.84799999999996</v>
      </c>
      <c r="J270" s="1367">
        <f>H270*I270</f>
        <v>437443.78</v>
      </c>
      <c r="K270" s="555"/>
      <c r="L270" s="987"/>
      <c r="M270" s="122"/>
      <c r="N270" s="567"/>
      <c r="P270" s="551"/>
      <c r="Q270" s="551"/>
      <c r="R270" s="551"/>
      <c r="S270" s="551"/>
      <c r="T270" s="551"/>
      <c r="U270" s="551"/>
      <c r="V270" s="551"/>
      <c r="W270" s="551"/>
      <c r="X270" s="551"/>
      <c r="Y270" s="551"/>
      <c r="Z270" s="551"/>
      <c r="AA270" s="551"/>
      <c r="AB270" s="551"/>
    </row>
    <row r="271" spans="1:28" ht="30" hidden="1" customHeight="1" x14ac:dyDescent="0.25">
      <c r="A271" s="2043"/>
      <c r="B271" s="2275"/>
      <c r="C271" s="2276"/>
      <c r="D271" s="2276"/>
      <c r="E271" s="2276"/>
      <c r="F271" s="1175" t="s">
        <v>1646</v>
      </c>
      <c r="G271" s="1417" t="s">
        <v>1844</v>
      </c>
      <c r="H271" s="1363"/>
      <c r="I271" s="1368">
        <v>1062.9359999999999</v>
      </c>
      <c r="J271" s="1363">
        <f>H271*I271</f>
        <v>0</v>
      </c>
      <c r="K271" s="555"/>
      <c r="L271" s="1217"/>
      <c r="M271" s="122"/>
      <c r="N271" s="567"/>
      <c r="P271" s="551"/>
      <c r="Q271" s="551"/>
      <c r="R271" s="551"/>
      <c r="S271" s="551"/>
      <c r="T271" s="551"/>
      <c r="U271" s="551"/>
      <c r="V271" s="551"/>
      <c r="W271" s="551"/>
      <c r="X271" s="551"/>
      <c r="Y271" s="551"/>
      <c r="Z271" s="551"/>
      <c r="AA271" s="551"/>
      <c r="AB271" s="551"/>
    </row>
    <row r="272" spans="1:28" x14ac:dyDescent="0.25">
      <c r="A272" s="2035" t="s">
        <v>39</v>
      </c>
      <c r="B272" s="2035"/>
      <c r="C272" s="2035"/>
      <c r="D272" s="2035"/>
      <c r="E272" s="2035"/>
      <c r="F272" s="2035"/>
      <c r="G272" s="2035"/>
      <c r="H272" s="2035"/>
      <c r="I272" s="2035"/>
      <c r="J272" s="1369">
        <f>SUM(J269:J271)</f>
        <v>513759.73</v>
      </c>
      <c r="K272" s="604"/>
      <c r="N272" s="1021"/>
      <c r="O272" s="825"/>
      <c r="P272" s="551"/>
      <c r="Q272" s="551"/>
      <c r="R272" s="551"/>
      <c r="S272" s="551"/>
      <c r="T272" s="551"/>
      <c r="U272" s="551"/>
      <c r="V272" s="551"/>
      <c r="W272" s="551"/>
      <c r="X272" s="551"/>
      <c r="Y272" s="551"/>
      <c r="Z272" s="551"/>
      <c r="AA272" s="551"/>
      <c r="AB272" s="551"/>
    </row>
    <row r="273" spans="1:28" hidden="1" x14ac:dyDescent="0.25">
      <c r="A273" s="2264" t="s">
        <v>514</v>
      </c>
      <c r="B273" s="2265"/>
      <c r="C273" s="2265"/>
      <c r="D273" s="2265"/>
      <c r="E273" s="2265"/>
      <c r="F273" s="2265"/>
      <c r="G273" s="2265"/>
      <c r="H273" s="2265"/>
      <c r="I273" s="2265"/>
      <c r="J273" s="2265"/>
      <c r="K273" s="570"/>
      <c r="L273" s="570"/>
      <c r="M273" s="828"/>
      <c r="N273" s="508"/>
      <c r="O273" s="508"/>
      <c r="P273" s="551"/>
      <c r="Q273" s="551"/>
      <c r="R273" s="551"/>
      <c r="S273" s="551"/>
      <c r="T273" s="551"/>
      <c r="U273" s="551"/>
      <c r="V273" s="551"/>
      <c r="W273" s="551"/>
      <c r="X273" s="551"/>
      <c r="Y273" s="551"/>
      <c r="Z273" s="551"/>
      <c r="AA273" s="551"/>
      <c r="AB273" s="551"/>
    </row>
    <row r="274" spans="1:28" ht="29.25" hidden="1" customHeight="1" x14ac:dyDescent="0.25">
      <c r="A274" s="1953" t="s">
        <v>1789</v>
      </c>
      <c r="B274" s="1953"/>
      <c r="C274" s="1953"/>
      <c r="D274" s="1953"/>
      <c r="E274" s="1953"/>
      <c r="F274" s="1953"/>
      <c r="G274" s="1953"/>
      <c r="H274" s="1953"/>
      <c r="I274" s="1953"/>
      <c r="J274" s="1432"/>
      <c r="K274" s="564"/>
      <c r="L274" s="739">
        <f>J274-K274</f>
        <v>0</v>
      </c>
      <c r="N274" s="508"/>
      <c r="O274" s="508"/>
      <c r="P274" s="551"/>
      <c r="Q274" s="551"/>
      <c r="R274" s="551"/>
      <c r="S274" s="551"/>
      <c r="T274" s="551"/>
      <c r="U274" s="551"/>
      <c r="V274" s="551"/>
      <c r="W274" s="551"/>
      <c r="X274" s="551"/>
      <c r="Y274" s="551"/>
      <c r="Z274" s="551"/>
      <c r="AA274" s="551"/>
      <c r="AB274" s="551"/>
    </row>
    <row r="275" spans="1:28" ht="29.25" hidden="1" customHeight="1" x14ac:dyDescent="0.25">
      <c r="A275" s="1953" t="s">
        <v>1790</v>
      </c>
      <c r="B275" s="1953"/>
      <c r="C275" s="1953"/>
      <c r="D275" s="1953"/>
      <c r="E275" s="1953"/>
      <c r="F275" s="1953"/>
      <c r="G275" s="1953"/>
      <c r="H275" s="1953"/>
      <c r="I275" s="1953"/>
      <c r="J275" s="1432"/>
      <c r="K275" s="564"/>
      <c r="L275" s="739">
        <f>J275-K275</f>
        <v>0</v>
      </c>
      <c r="M275" s="1298"/>
      <c r="N275" s="600"/>
      <c r="O275" s="508"/>
      <c r="P275" s="551"/>
      <c r="Q275" s="551"/>
      <c r="R275" s="551"/>
      <c r="S275" s="551"/>
      <c r="T275" s="551"/>
      <c r="U275" s="551"/>
      <c r="V275" s="551"/>
      <c r="W275" s="551"/>
      <c r="X275" s="551"/>
      <c r="Y275" s="551"/>
      <c r="Z275" s="551"/>
      <c r="AA275" s="551"/>
      <c r="AB275" s="551"/>
    </row>
    <row r="276" spans="1:28" hidden="1" x14ac:dyDescent="0.25">
      <c r="A276" s="2258" t="s">
        <v>619</v>
      </c>
      <c r="B276" s="2258"/>
      <c r="C276" s="2258"/>
      <c r="D276" s="2258"/>
      <c r="E276" s="2258"/>
      <c r="F276" s="2258"/>
      <c r="G276" s="2258"/>
      <c r="H276" s="2258"/>
      <c r="I276" s="2258"/>
      <c r="J276" s="1024"/>
      <c r="K276" s="564">
        <v>0</v>
      </c>
      <c r="L276" s="739">
        <f>J276-K276</f>
        <v>0</v>
      </c>
      <c r="M276" s="1022"/>
      <c r="N276" s="508"/>
      <c r="O276" s="508"/>
      <c r="P276" s="551"/>
      <c r="Q276" s="551"/>
      <c r="R276" s="551"/>
      <c r="S276" s="551"/>
      <c r="T276" s="551"/>
      <c r="U276" s="551"/>
      <c r="V276" s="551"/>
      <c r="W276" s="551"/>
      <c r="X276" s="551"/>
      <c r="Y276" s="551"/>
      <c r="Z276" s="551"/>
      <c r="AA276" s="551"/>
      <c r="AB276" s="551"/>
    </row>
    <row r="277" spans="1:28" hidden="1" x14ac:dyDescent="0.25">
      <c r="A277" s="2258" t="s">
        <v>1147</v>
      </c>
      <c r="B277" s="2258"/>
      <c r="C277" s="2258"/>
      <c r="D277" s="2258"/>
      <c r="E277" s="2258"/>
      <c r="F277" s="2258"/>
      <c r="G277" s="2258"/>
      <c r="H277" s="2258"/>
      <c r="I277" s="2258"/>
      <c r="J277" s="360"/>
      <c r="K277" s="953"/>
      <c r="L277" s="553"/>
      <c r="M277" s="1023"/>
      <c r="N277" s="1021"/>
      <c r="O277" s="508"/>
      <c r="P277" s="551"/>
      <c r="Q277" s="551"/>
      <c r="R277" s="551"/>
      <c r="S277" s="551"/>
      <c r="T277" s="551"/>
      <c r="U277" s="551"/>
      <c r="V277" s="551"/>
      <c r="W277" s="551"/>
      <c r="X277" s="551"/>
      <c r="Y277" s="551"/>
      <c r="Z277" s="551"/>
      <c r="AA277" s="551"/>
      <c r="AB277" s="551"/>
    </row>
    <row r="278" spans="1:28" x14ac:dyDescent="0.25">
      <c r="A278" s="560"/>
      <c r="B278" s="560"/>
      <c r="C278" s="560"/>
      <c r="D278" s="560"/>
      <c r="E278" s="560"/>
      <c r="F278" s="560"/>
      <c r="G278" s="560"/>
      <c r="H278" s="554"/>
      <c r="I278" s="554"/>
      <c r="J278" s="554"/>
      <c r="K278" s="553"/>
      <c r="L278" s="553"/>
      <c r="M278" s="122"/>
      <c r="N278" s="567"/>
      <c r="O278" s="551"/>
      <c r="P278" s="551"/>
      <c r="Q278" s="551"/>
      <c r="R278" s="551"/>
      <c r="S278" s="551"/>
      <c r="T278" s="551"/>
      <c r="U278" s="551"/>
      <c r="V278" s="551"/>
      <c r="W278" s="551"/>
      <c r="X278" s="551"/>
      <c r="Y278" s="551"/>
      <c r="Z278" s="551"/>
      <c r="AA278" s="551"/>
      <c r="AB278" s="551"/>
    </row>
    <row r="279" spans="1:28" ht="30" hidden="1" x14ac:dyDescent="0.25">
      <c r="A279" s="1447">
        <v>20</v>
      </c>
      <c r="B279" s="2283" t="s">
        <v>1711</v>
      </c>
      <c r="C279" s="2219"/>
      <c r="D279" s="2219"/>
      <c r="E279" s="2219"/>
      <c r="F279" s="1175" t="s">
        <v>750</v>
      </c>
      <c r="G279" s="1417" t="s">
        <v>1645</v>
      </c>
      <c r="H279" s="1239"/>
      <c r="I279" s="1237">
        <v>55.86</v>
      </c>
      <c r="J279" s="1434">
        <f>H279*I279</f>
        <v>0</v>
      </c>
      <c r="K279" s="553"/>
      <c r="L279" s="1238"/>
      <c r="M279" s="122"/>
      <c r="N279" s="567"/>
      <c r="O279" s="551"/>
      <c r="P279" s="551"/>
      <c r="Q279" s="551"/>
      <c r="R279" s="551"/>
      <c r="S279" s="551"/>
      <c r="T279" s="551"/>
      <c r="U279" s="551"/>
      <c r="V279" s="551"/>
      <c r="W279" s="551"/>
      <c r="X279" s="551"/>
      <c r="Y279" s="551"/>
      <c r="Z279" s="551"/>
      <c r="AA279" s="551"/>
      <c r="AB279" s="551"/>
    </row>
    <row r="280" spans="1:28" hidden="1" x14ac:dyDescent="0.25">
      <c r="A280" s="2284" t="s">
        <v>39</v>
      </c>
      <c r="B280" s="2284"/>
      <c r="C280" s="2284"/>
      <c r="D280" s="2284"/>
      <c r="E280" s="2284"/>
      <c r="F280" s="2284"/>
      <c r="G280" s="2173" t="s">
        <v>82</v>
      </c>
      <c r="H280" s="1191" t="s">
        <v>82</v>
      </c>
      <c r="I280" s="1190" t="s">
        <v>82</v>
      </c>
      <c r="J280" s="1192">
        <f>SUM(J279:J279)</f>
        <v>0</v>
      </c>
      <c r="K280" s="553"/>
      <c r="L280" s="553"/>
      <c r="M280" s="122"/>
      <c r="N280" s="567"/>
      <c r="O280" s="551"/>
      <c r="P280" s="551"/>
      <c r="Q280" s="551"/>
      <c r="R280" s="551"/>
      <c r="S280" s="551"/>
      <c r="T280" s="551"/>
      <c r="U280" s="551"/>
      <c r="V280" s="551"/>
      <c r="W280" s="551"/>
      <c r="X280" s="551"/>
      <c r="Y280" s="551"/>
      <c r="Z280" s="551"/>
      <c r="AA280" s="551"/>
      <c r="AB280" s="551"/>
    </row>
    <row r="281" spans="1:28" hidden="1" x14ac:dyDescent="0.25">
      <c r="A281" s="2264" t="s">
        <v>514</v>
      </c>
      <c r="B281" s="2265"/>
      <c r="C281" s="2265"/>
      <c r="D281" s="2265"/>
      <c r="E281" s="2265"/>
      <c r="F281" s="2265"/>
      <c r="G281" s="2265"/>
      <c r="H281" s="2265"/>
      <c r="I281" s="2265"/>
      <c r="J281" s="2265"/>
      <c r="K281" s="553"/>
      <c r="L281" s="553"/>
      <c r="M281" s="122"/>
      <c r="N281" s="567"/>
      <c r="O281" s="551"/>
      <c r="P281" s="551"/>
      <c r="Q281" s="551"/>
      <c r="R281" s="551"/>
      <c r="S281" s="551"/>
      <c r="T281" s="551"/>
      <c r="U281" s="551"/>
      <c r="V281" s="551"/>
      <c r="W281" s="551"/>
      <c r="X281" s="551"/>
      <c r="Y281" s="551"/>
      <c r="Z281" s="551"/>
      <c r="AA281" s="551"/>
      <c r="AB281" s="551"/>
    </row>
    <row r="282" spans="1:28" hidden="1" x14ac:dyDescent="0.25">
      <c r="A282" s="2266" t="s">
        <v>1134</v>
      </c>
      <c r="B282" s="2266"/>
      <c r="C282" s="2266"/>
      <c r="D282" s="2266"/>
      <c r="E282" s="2266"/>
      <c r="F282" s="2266"/>
      <c r="G282" s="2266"/>
      <c r="H282" s="2266"/>
      <c r="I282" s="2266"/>
      <c r="J282" s="1435">
        <v>0</v>
      </c>
      <c r="K282" s="553"/>
      <c r="L282" s="553"/>
      <c r="M282" s="122"/>
      <c r="N282" s="567"/>
      <c r="O282" s="551"/>
      <c r="P282" s="551"/>
      <c r="Q282" s="551"/>
      <c r="R282" s="551"/>
      <c r="S282" s="551"/>
      <c r="T282" s="551"/>
      <c r="U282" s="551"/>
      <c r="V282" s="551"/>
      <c r="W282" s="551"/>
      <c r="X282" s="551"/>
      <c r="Y282" s="551"/>
      <c r="Z282" s="551"/>
      <c r="AA282" s="551"/>
      <c r="AB282" s="551"/>
    </row>
    <row r="283" spans="1:28" hidden="1" x14ac:dyDescent="0.25">
      <c r="A283" s="2266" t="s">
        <v>153</v>
      </c>
      <c r="B283" s="2266"/>
      <c r="C283" s="2266"/>
      <c r="D283" s="2266"/>
      <c r="E283" s="2266"/>
      <c r="F283" s="2266"/>
      <c r="G283" s="2266"/>
      <c r="H283" s="2266"/>
      <c r="I283" s="2266"/>
      <c r="J283" s="1435">
        <v>29878.15</v>
      </c>
      <c r="K283" s="553"/>
      <c r="L283" s="553"/>
      <c r="M283" s="122"/>
      <c r="N283" s="567"/>
      <c r="O283" s="551"/>
      <c r="P283" s="551"/>
      <c r="Q283" s="551"/>
      <c r="R283" s="551"/>
      <c r="S283" s="551"/>
      <c r="T283" s="551"/>
      <c r="U283" s="551"/>
      <c r="V283" s="551"/>
      <c r="W283" s="551"/>
      <c r="X283" s="551"/>
      <c r="Y283" s="551"/>
      <c r="Z283" s="551"/>
      <c r="AA283" s="551"/>
      <c r="AB283" s="551"/>
    </row>
    <row r="284" spans="1:28" hidden="1" x14ac:dyDescent="0.25">
      <c r="A284" s="2258" t="s">
        <v>619</v>
      </c>
      <c r="B284" s="2258"/>
      <c r="C284" s="2258"/>
      <c r="D284" s="2258"/>
      <c r="E284" s="2258"/>
      <c r="F284" s="2258"/>
      <c r="G284" s="2258"/>
      <c r="H284" s="2258"/>
      <c r="I284" s="2258"/>
      <c r="J284" s="624">
        <v>0</v>
      </c>
      <c r="K284" s="553"/>
      <c r="L284" s="553"/>
      <c r="M284" s="122"/>
      <c r="N284" s="567"/>
      <c r="O284" s="551"/>
      <c r="P284" s="551"/>
      <c r="Q284" s="551"/>
      <c r="R284" s="551"/>
      <c r="S284" s="551"/>
      <c r="T284" s="551"/>
      <c r="U284" s="551"/>
      <c r="V284" s="551"/>
      <c r="W284" s="551"/>
      <c r="X284" s="551"/>
      <c r="Y284" s="551"/>
      <c r="Z284" s="551"/>
      <c r="AA284" s="551"/>
      <c r="AB284" s="551"/>
    </row>
    <row r="285" spans="1:28" hidden="1" x14ac:dyDescent="0.25">
      <c r="A285" s="2258" t="s">
        <v>1147</v>
      </c>
      <c r="B285" s="2281"/>
      <c r="C285" s="2281"/>
      <c r="D285" s="2281"/>
      <c r="E285" s="2281"/>
      <c r="F285" s="2281"/>
      <c r="G285" s="2281"/>
      <c r="H285" s="2281"/>
      <c r="I285" s="2281"/>
      <c r="J285" s="1240">
        <f>J280-J282-J283-J284</f>
        <v>-29878.15</v>
      </c>
      <c r="K285" s="553"/>
      <c r="L285" s="553"/>
      <c r="M285" s="822"/>
      <c r="N285" s="567"/>
      <c r="O285" s="551"/>
      <c r="P285" s="551"/>
      <c r="Q285" s="551"/>
      <c r="R285" s="551"/>
      <c r="S285" s="551"/>
      <c r="T285" s="551"/>
      <c r="U285" s="551"/>
      <c r="V285" s="551"/>
      <c r="W285" s="551"/>
      <c r="X285" s="551"/>
      <c r="Y285" s="551"/>
      <c r="Z285" s="551"/>
      <c r="AA285" s="551"/>
      <c r="AB285" s="551"/>
    </row>
    <row r="286" spans="1:28" hidden="1" x14ac:dyDescent="0.25">
      <c r="A286" s="1241"/>
      <c r="B286" s="779"/>
      <c r="C286" s="779"/>
      <c r="D286" s="779"/>
      <c r="E286" s="779"/>
      <c r="F286" s="779"/>
      <c r="G286" s="779"/>
      <c r="H286" s="779"/>
      <c r="I286" s="779"/>
      <c r="J286" s="720"/>
      <c r="K286" s="553"/>
      <c r="L286" s="553"/>
      <c r="M286" s="822"/>
      <c r="N286" s="567"/>
      <c r="O286" s="551"/>
      <c r="P286" s="551"/>
      <c r="Q286" s="551"/>
      <c r="R286" s="551"/>
      <c r="S286" s="551"/>
      <c r="T286" s="551"/>
      <c r="U286" s="551"/>
      <c r="V286" s="551"/>
      <c r="W286" s="551"/>
      <c r="X286" s="551"/>
      <c r="Y286" s="551"/>
      <c r="Z286" s="551"/>
      <c r="AA286" s="551"/>
      <c r="AB286" s="551"/>
    </row>
    <row r="287" spans="1:28" s="556" customFormat="1" hidden="1" x14ac:dyDescent="0.25">
      <c r="A287" s="2282" t="s">
        <v>619</v>
      </c>
      <c r="B287" s="2282"/>
      <c r="C287" s="2282"/>
      <c r="D287" s="2282"/>
      <c r="E287" s="2282"/>
      <c r="F287" s="2282"/>
      <c r="G287" s="2282"/>
      <c r="H287" s="2282"/>
      <c r="I287" s="2282"/>
      <c r="J287" s="627" t="e">
        <f>#REF!+J276+J284</f>
        <v>#REF!</v>
      </c>
      <c r="K287" s="510"/>
      <c r="L287" s="553">
        <v>100000</v>
      </c>
      <c r="M287" s="552" t="e">
        <f>J287-L287</f>
        <v>#REF!</v>
      </c>
      <c r="N287" s="1043"/>
    </row>
    <row r="288" spans="1:28" s="556" customFormat="1" hidden="1" x14ac:dyDescent="0.25">
      <c r="A288" s="2282" t="s">
        <v>1147</v>
      </c>
      <c r="B288" s="2282"/>
      <c r="C288" s="2282"/>
      <c r="D288" s="2282"/>
      <c r="E288" s="2282"/>
      <c r="F288" s="2282"/>
      <c r="G288" s="2282"/>
      <c r="H288" s="2282"/>
      <c r="I288" s="2282"/>
      <c r="J288" s="571" t="e">
        <f>#REF!+J277+J285</f>
        <v>#REF!</v>
      </c>
      <c r="K288" s="510"/>
      <c r="L288" s="553">
        <v>636028.56000000006</v>
      </c>
      <c r="M288" s="552" t="e">
        <f>J288-L288</f>
        <v>#REF!</v>
      </c>
      <c r="N288" s="1043"/>
    </row>
    <row r="289" spans="1:28" x14ac:dyDescent="0.25">
      <c r="A289" s="507" t="s">
        <v>63</v>
      </c>
      <c r="B289" s="504"/>
      <c r="C289" s="504"/>
      <c r="D289" s="508"/>
      <c r="E289" s="509" t="s">
        <v>78</v>
      </c>
      <c r="J289" s="511">
        <f>J290</f>
        <v>1778005.41</v>
      </c>
      <c r="K289" s="341"/>
      <c r="L289" s="2" t="s">
        <v>1284</v>
      </c>
      <c r="M289" s="75"/>
      <c r="N289" s="75"/>
      <c r="O289" s="551"/>
      <c r="P289" s="551"/>
      <c r="Q289" s="551"/>
      <c r="R289" s="551"/>
      <c r="S289" s="551"/>
      <c r="T289" s="551"/>
      <c r="U289" s="551"/>
      <c r="V289" s="551"/>
      <c r="W289" s="551"/>
      <c r="X289" s="551"/>
      <c r="Y289" s="551"/>
      <c r="Z289" s="551"/>
      <c r="AA289" s="551"/>
      <c r="AB289" s="551"/>
    </row>
    <row r="290" spans="1:28" x14ac:dyDescent="0.25">
      <c r="A290" s="786" t="s">
        <v>26</v>
      </c>
      <c r="B290" s="794"/>
      <c r="C290" s="794"/>
      <c r="D290" s="935"/>
      <c r="E290" s="793" t="s">
        <v>624</v>
      </c>
      <c r="F290" s="787"/>
      <c r="G290" s="787"/>
      <c r="H290" s="788"/>
      <c r="I290" s="986"/>
      <c r="J290" s="789">
        <f>J291</f>
        <v>1778005.41</v>
      </c>
      <c r="K290" s="341"/>
      <c r="L290" s="2" t="s">
        <v>1285</v>
      </c>
      <c r="M290" s="81"/>
      <c r="N290" s="341"/>
      <c r="O290" s="551"/>
      <c r="P290" s="551"/>
      <c r="Q290" s="551"/>
      <c r="R290" s="551"/>
      <c r="S290" s="551"/>
      <c r="T290" s="551"/>
      <c r="U290" s="551"/>
      <c r="V290" s="551"/>
      <c r="W290" s="551"/>
      <c r="X290" s="551"/>
      <c r="Y290" s="551"/>
      <c r="Z290" s="551"/>
      <c r="AA290" s="551"/>
      <c r="AB290" s="551"/>
    </row>
    <row r="291" spans="1:28" x14ac:dyDescent="0.25">
      <c r="A291" s="507" t="s">
        <v>27</v>
      </c>
      <c r="B291" s="504"/>
      <c r="C291" s="504"/>
      <c r="D291" s="508"/>
      <c r="E291" s="71" t="s">
        <v>1830</v>
      </c>
      <c r="J291" s="506">
        <f>J304+J314+J321+J327+J333+J345+J366+J377+J389+J396+J410+J424+J444+J464+J470</f>
        <v>1778005.41</v>
      </c>
      <c r="K291" s="341"/>
      <c r="L291" s="828" t="s">
        <v>1286</v>
      </c>
      <c r="M291" s="573"/>
      <c r="N291" s="829" t="s">
        <v>1287</v>
      </c>
      <c r="O291" s="565">
        <f>K290+M291</f>
        <v>0</v>
      </c>
      <c r="P291" s="551"/>
      <c r="Q291" s="551"/>
      <c r="R291" s="551"/>
      <c r="S291" s="551"/>
      <c r="T291" s="551"/>
      <c r="U291" s="551"/>
      <c r="V291" s="551"/>
      <c r="W291" s="551"/>
      <c r="X291" s="551"/>
      <c r="Y291" s="551"/>
      <c r="Z291" s="551"/>
      <c r="AA291" s="551"/>
      <c r="AB291" s="551"/>
    </row>
    <row r="292" spans="1:28" x14ac:dyDescent="0.25">
      <c r="A292" s="1449" t="s">
        <v>1080</v>
      </c>
      <c r="B292" s="504"/>
      <c r="C292" s="504"/>
      <c r="D292" s="508"/>
      <c r="E292" s="509"/>
      <c r="K292" s="565"/>
      <c r="M292" s="551"/>
      <c r="N292" s="551"/>
      <c r="O292" s="551"/>
      <c r="P292" s="551"/>
      <c r="Q292" s="551"/>
      <c r="R292" s="551"/>
      <c r="S292" s="551"/>
      <c r="T292" s="551"/>
      <c r="U292" s="551"/>
      <c r="V292" s="551"/>
      <c r="W292" s="551"/>
      <c r="X292" s="551"/>
      <c r="Y292" s="551"/>
      <c r="Z292" s="551"/>
      <c r="AA292" s="551"/>
      <c r="AB292" s="551"/>
    </row>
    <row r="293" spans="1:28" x14ac:dyDescent="0.25">
      <c r="A293" s="2183" t="s">
        <v>8</v>
      </c>
      <c r="B293" s="2201" t="s">
        <v>1</v>
      </c>
      <c r="C293" s="2202"/>
      <c r="D293" s="2203"/>
      <c r="E293" s="2203"/>
      <c r="F293" s="2183" t="s">
        <v>2046</v>
      </c>
      <c r="G293" s="2183"/>
      <c r="H293" s="2183"/>
      <c r="I293" s="2183"/>
      <c r="J293" s="2183"/>
      <c r="K293" s="565" t="s">
        <v>1478</v>
      </c>
      <c r="L293" s="551"/>
      <c r="M293" s="551"/>
      <c r="N293" s="551"/>
      <c r="O293" s="551"/>
      <c r="P293" s="551"/>
      <c r="Q293" s="551"/>
      <c r="R293" s="551"/>
      <c r="S293" s="551"/>
      <c r="T293" s="551"/>
      <c r="U293" s="551"/>
      <c r="V293" s="551"/>
      <c r="W293" s="551"/>
      <c r="X293" s="551"/>
      <c r="Y293" s="551"/>
      <c r="Z293" s="551"/>
      <c r="AA293" s="551"/>
      <c r="AB293" s="551"/>
    </row>
    <row r="294" spans="1:28" ht="34.5" customHeight="1" x14ac:dyDescent="0.25">
      <c r="A294" s="2183"/>
      <c r="B294" s="2206"/>
      <c r="C294" s="2207"/>
      <c r="D294" s="2207"/>
      <c r="E294" s="2207"/>
      <c r="F294" s="1408" t="s">
        <v>736</v>
      </c>
      <c r="G294" s="1408" t="s">
        <v>737</v>
      </c>
      <c r="H294" s="1408" t="s">
        <v>738</v>
      </c>
      <c r="I294" s="1434" t="s">
        <v>254</v>
      </c>
      <c r="J294" s="1434" t="s">
        <v>256</v>
      </c>
      <c r="K294" s="551"/>
      <c r="L294" s="551"/>
      <c r="M294" s="551"/>
      <c r="N294" s="551"/>
      <c r="O294" s="551"/>
      <c r="P294" s="551"/>
      <c r="Q294" s="551"/>
      <c r="R294" s="551"/>
      <c r="S294" s="551"/>
      <c r="T294" s="551"/>
      <c r="U294" s="551"/>
      <c r="V294" s="551"/>
      <c r="W294" s="551"/>
      <c r="X294" s="551"/>
      <c r="Y294" s="551"/>
      <c r="Z294" s="551"/>
      <c r="AA294" s="551"/>
      <c r="AB294" s="551"/>
    </row>
    <row r="295" spans="1:28" x14ac:dyDescent="0.25">
      <c r="A295" s="1902" t="s">
        <v>1168</v>
      </c>
      <c r="B295" s="2104"/>
      <c r="C295" s="2105"/>
      <c r="D295" s="2104"/>
      <c r="E295" s="2104"/>
      <c r="F295" s="2104"/>
      <c r="G295" s="2104"/>
      <c r="H295" s="2104"/>
      <c r="I295" s="2104"/>
      <c r="J295" s="2106"/>
      <c r="K295" s="551"/>
      <c r="L295" s="551"/>
      <c r="M295" s="551"/>
      <c r="N295" s="551"/>
      <c r="O295" s="551"/>
      <c r="P295" s="551"/>
      <c r="Q295" s="551"/>
      <c r="R295" s="551"/>
      <c r="S295" s="551"/>
      <c r="T295" s="551"/>
      <c r="U295" s="551"/>
      <c r="V295" s="551"/>
      <c r="W295" s="551"/>
      <c r="X295" s="551"/>
      <c r="Y295" s="551"/>
      <c r="Z295" s="551"/>
      <c r="AA295" s="551"/>
      <c r="AB295" s="551"/>
    </row>
    <row r="296" spans="1:28" x14ac:dyDescent="0.25">
      <c r="A296" s="1447">
        <v>1</v>
      </c>
      <c r="B296" s="2210" t="s">
        <v>1079</v>
      </c>
      <c r="C296" s="2211"/>
      <c r="D296" s="2212"/>
      <c r="E296" s="2212"/>
      <c r="F296" s="1434" t="s">
        <v>739</v>
      </c>
      <c r="G296" s="1434">
        <v>4428.8</v>
      </c>
      <c r="H296" s="572">
        <v>3.5999999999999997E-2</v>
      </c>
      <c r="I296" s="513">
        <v>12</v>
      </c>
      <c r="J296" s="1434">
        <f>G296*H296*I296</f>
        <v>1913.24</v>
      </c>
      <c r="K296" s="610"/>
      <c r="M296" s="551"/>
      <c r="N296" s="551"/>
      <c r="O296" s="551"/>
      <c r="P296" s="551"/>
      <c r="Q296" s="551"/>
      <c r="R296" s="551"/>
      <c r="S296" s="551"/>
      <c r="T296" s="551"/>
      <c r="U296" s="551"/>
      <c r="V296" s="551"/>
      <c r="W296" s="551"/>
      <c r="X296" s="551"/>
      <c r="Y296" s="551"/>
      <c r="Z296" s="551"/>
      <c r="AA296" s="551"/>
      <c r="AB296" s="551"/>
    </row>
    <row r="297" spans="1:28" x14ac:dyDescent="0.25">
      <c r="A297" s="991">
        <v>2</v>
      </c>
      <c r="B297" s="1428" t="s">
        <v>740</v>
      </c>
      <c r="C297" s="1430"/>
      <c r="D297" s="1430"/>
      <c r="E297" s="1430"/>
      <c r="F297" s="1434" t="s">
        <v>739</v>
      </c>
      <c r="G297" s="992">
        <v>4428.8</v>
      </c>
      <c r="H297" s="1197">
        <v>3.5999999999999997E-2</v>
      </c>
      <c r="I297" s="1229">
        <v>11</v>
      </c>
      <c r="J297" s="1434">
        <f>G297*H297*I297</f>
        <v>1753.8</v>
      </c>
      <c r="K297" s="610"/>
      <c r="M297" s="551"/>
      <c r="N297" s="551"/>
      <c r="O297" s="551"/>
      <c r="P297" s="551"/>
      <c r="Q297" s="551"/>
      <c r="R297" s="551"/>
      <c r="S297" s="551"/>
      <c r="T297" s="551"/>
      <c r="U297" s="551"/>
      <c r="V297" s="551"/>
      <c r="W297" s="551"/>
      <c r="X297" s="551"/>
      <c r="Y297" s="551"/>
      <c r="Z297" s="551"/>
      <c r="AA297" s="551"/>
      <c r="AB297" s="551"/>
    </row>
    <row r="298" spans="1:28" x14ac:dyDescent="0.25">
      <c r="A298" s="991">
        <v>3</v>
      </c>
      <c r="B298" s="1428" t="s">
        <v>740</v>
      </c>
      <c r="C298" s="1430"/>
      <c r="D298" s="1430"/>
      <c r="E298" s="1430"/>
      <c r="F298" s="992" t="s">
        <v>739</v>
      </c>
      <c r="G298" s="992">
        <v>4427.8</v>
      </c>
      <c r="H298" s="572">
        <v>3.5999999999999997E-2</v>
      </c>
      <c r="I298" s="513">
        <v>1</v>
      </c>
      <c r="J298" s="1434">
        <f>G298*H298*I298</f>
        <v>159.4</v>
      </c>
      <c r="K298" s="610"/>
      <c r="M298" s="551"/>
      <c r="N298" s="551"/>
      <c r="O298" s="551"/>
      <c r="P298" s="551"/>
      <c r="Q298" s="551"/>
      <c r="R298" s="551"/>
      <c r="S298" s="551"/>
      <c r="T298" s="551"/>
      <c r="U298" s="551"/>
      <c r="V298" s="551"/>
      <c r="W298" s="551"/>
      <c r="X298" s="551"/>
      <c r="Y298" s="551"/>
      <c r="Z298" s="551"/>
      <c r="AA298" s="551"/>
      <c r="AB298" s="551"/>
    </row>
    <row r="299" spans="1:28" x14ac:dyDescent="0.25">
      <c r="A299" s="2285">
        <v>4</v>
      </c>
      <c r="B299" s="2029" t="s">
        <v>740</v>
      </c>
      <c r="C299" s="2030"/>
      <c r="D299" s="2030"/>
      <c r="E299" s="2031"/>
      <c r="F299" s="2290" t="s">
        <v>739</v>
      </c>
      <c r="G299" s="2290">
        <v>1</v>
      </c>
      <c r="H299" s="1404">
        <v>39.96</v>
      </c>
      <c r="I299" s="513">
        <v>1</v>
      </c>
      <c r="J299" s="1434">
        <f>G299*H299*I299</f>
        <v>39.96</v>
      </c>
      <c r="K299" s="967"/>
      <c r="L299" s="551"/>
      <c r="M299" s="551"/>
      <c r="N299" s="551"/>
      <c r="O299" s="551"/>
      <c r="P299" s="551"/>
      <c r="Q299" s="551"/>
      <c r="R299" s="551"/>
      <c r="S299" s="551"/>
      <c r="T299" s="551"/>
      <c r="U299" s="551"/>
      <c r="V299" s="551"/>
      <c r="W299" s="551"/>
      <c r="X299" s="551"/>
      <c r="Y299" s="551"/>
      <c r="Z299" s="551"/>
      <c r="AA299" s="551"/>
      <c r="AB299" s="551"/>
    </row>
    <row r="300" spans="1:28" hidden="1" x14ac:dyDescent="0.25">
      <c r="A300" s="2162"/>
      <c r="B300" s="2287"/>
      <c r="C300" s="2288"/>
      <c r="D300" s="2288"/>
      <c r="E300" s="2289"/>
      <c r="F300" s="2291"/>
      <c r="G300" s="2291"/>
      <c r="H300" s="723">
        <v>9.3437999999999993E-2</v>
      </c>
      <c r="I300" s="513"/>
      <c r="J300" s="1434">
        <f>G299*H300*I300</f>
        <v>0</v>
      </c>
      <c r="K300" s="610"/>
      <c r="L300" s="551"/>
      <c r="M300" s="551"/>
      <c r="N300" s="551"/>
      <c r="O300" s="551"/>
      <c r="P300" s="551"/>
      <c r="Q300" s="551"/>
      <c r="R300" s="551"/>
      <c r="S300" s="551"/>
      <c r="T300" s="551"/>
      <c r="U300" s="551"/>
      <c r="V300" s="551"/>
      <c r="W300" s="551"/>
      <c r="X300" s="551"/>
      <c r="Y300" s="551"/>
      <c r="Z300" s="551"/>
      <c r="AA300" s="551"/>
      <c r="AB300" s="551"/>
    </row>
    <row r="301" spans="1:28" x14ac:dyDescent="0.25">
      <c r="A301" s="2245" t="s">
        <v>1854</v>
      </c>
      <c r="B301" s="2246"/>
      <c r="C301" s="2247"/>
      <c r="D301" s="2246"/>
      <c r="E301" s="2246"/>
      <c r="F301" s="2246"/>
      <c r="G301" s="2246"/>
      <c r="H301" s="2246"/>
      <c r="I301" s="2246"/>
      <c r="J301" s="2248"/>
      <c r="K301" s="551"/>
      <c r="L301" s="551"/>
      <c r="M301" s="551"/>
      <c r="N301" s="551"/>
      <c r="O301" s="551"/>
      <c r="P301" s="551"/>
      <c r="Q301" s="551"/>
      <c r="R301" s="551"/>
      <c r="S301" s="551"/>
      <c r="T301" s="551"/>
      <c r="U301" s="551"/>
      <c r="V301" s="551"/>
      <c r="W301" s="551"/>
      <c r="X301" s="551"/>
      <c r="Y301" s="551"/>
      <c r="Z301" s="551"/>
      <c r="AA301" s="551"/>
      <c r="AB301" s="551"/>
    </row>
    <row r="302" spans="1:28" x14ac:dyDescent="0.25">
      <c r="A302" s="1447">
        <v>5</v>
      </c>
      <c r="B302" s="2210" t="s">
        <v>1079</v>
      </c>
      <c r="C302" s="2211"/>
      <c r="D302" s="2212"/>
      <c r="E302" s="2212"/>
      <c r="F302" s="1434" t="s">
        <v>739</v>
      </c>
      <c r="G302" s="1434">
        <v>20806.900000000001</v>
      </c>
      <c r="H302" s="572">
        <v>3.5999999999999997E-2</v>
      </c>
      <c r="I302" s="513">
        <v>12</v>
      </c>
      <c r="J302" s="1434">
        <f>G302*H302*I302</f>
        <v>8988.58</v>
      </c>
      <c r="K302" s="610"/>
      <c r="M302" s="551"/>
      <c r="N302" s="551"/>
      <c r="O302" s="551"/>
      <c r="P302" s="551"/>
      <c r="Q302" s="551"/>
      <c r="R302" s="551"/>
      <c r="S302" s="551"/>
      <c r="T302" s="551"/>
      <c r="U302" s="551"/>
      <c r="V302" s="551"/>
      <c r="W302" s="551"/>
      <c r="X302" s="551"/>
      <c r="Y302" s="551"/>
      <c r="Z302" s="551"/>
      <c r="AA302" s="551"/>
      <c r="AB302" s="551"/>
    </row>
    <row r="303" spans="1:28" x14ac:dyDescent="0.25">
      <c r="A303" s="1447">
        <v>6</v>
      </c>
      <c r="B303" s="2210" t="s">
        <v>740</v>
      </c>
      <c r="C303" s="2211"/>
      <c r="D303" s="2212"/>
      <c r="E303" s="2212"/>
      <c r="F303" s="1434" t="s">
        <v>739</v>
      </c>
      <c r="G303" s="1434">
        <v>20806.900000000001</v>
      </c>
      <c r="H303" s="572">
        <v>3.5999999999999997E-2</v>
      </c>
      <c r="I303" s="513">
        <v>12</v>
      </c>
      <c r="J303" s="1434">
        <f>G303*H303*I303</f>
        <v>8988.58</v>
      </c>
      <c r="K303" s="610"/>
      <c r="M303" s="551"/>
      <c r="N303" s="551"/>
      <c r="O303" s="551"/>
      <c r="P303" s="551"/>
      <c r="Q303" s="551"/>
      <c r="R303" s="551"/>
      <c r="S303" s="551"/>
      <c r="T303" s="551"/>
      <c r="U303" s="551"/>
      <c r="V303" s="551"/>
      <c r="W303" s="551"/>
      <c r="X303" s="551"/>
      <c r="Y303" s="551"/>
      <c r="Z303" s="551"/>
      <c r="AA303" s="551"/>
      <c r="AB303" s="551"/>
    </row>
    <row r="304" spans="1:28" x14ac:dyDescent="0.25">
      <c r="A304" s="2181" t="s">
        <v>39</v>
      </c>
      <c r="B304" s="2181"/>
      <c r="C304" s="2181"/>
      <c r="D304" s="2181"/>
      <c r="E304" s="2181"/>
      <c r="F304" s="2181"/>
      <c r="G304" s="2181"/>
      <c r="H304" s="2181"/>
      <c r="I304" s="2181"/>
      <c r="J304" s="1406">
        <f>SUM(J296:J303)</f>
        <v>21843.56</v>
      </c>
      <c r="K304" s="1442"/>
      <c r="L304" s="739"/>
      <c r="M304" s="610"/>
      <c r="N304" s="551"/>
      <c r="O304" s="551"/>
      <c r="P304" s="551"/>
      <c r="Q304" s="551"/>
      <c r="R304" s="551"/>
      <c r="S304" s="551"/>
      <c r="T304" s="551"/>
      <c r="U304" s="551"/>
      <c r="V304" s="551"/>
      <c r="W304" s="551"/>
      <c r="X304" s="551"/>
      <c r="Y304" s="551"/>
      <c r="Z304" s="551"/>
      <c r="AA304" s="551"/>
      <c r="AB304" s="551"/>
    </row>
    <row r="305" spans="1:28" x14ac:dyDescent="0.25">
      <c r="A305" s="657"/>
      <c r="B305" s="657"/>
      <c r="C305" s="657"/>
      <c r="D305" s="657"/>
      <c r="E305" s="657"/>
      <c r="F305" s="657"/>
      <c r="G305" s="657"/>
      <c r="H305" s="657"/>
      <c r="I305" s="657"/>
      <c r="J305" s="596"/>
      <c r="K305" s="551"/>
      <c r="L305" s="551"/>
      <c r="M305" s="551"/>
      <c r="N305" s="551"/>
      <c r="O305" s="551"/>
      <c r="P305" s="551"/>
      <c r="Q305" s="551"/>
      <c r="R305" s="551"/>
      <c r="S305" s="551"/>
      <c r="T305" s="551"/>
      <c r="U305" s="551"/>
      <c r="V305" s="551"/>
      <c r="W305" s="551"/>
      <c r="X305" s="551"/>
      <c r="Y305" s="551"/>
      <c r="Z305" s="551"/>
      <c r="AA305" s="551"/>
      <c r="AB305" s="551"/>
    </row>
    <row r="306" spans="1:28" ht="13.5" customHeight="1" x14ac:dyDescent="0.25">
      <c r="A306" s="622" t="s">
        <v>309</v>
      </c>
      <c r="B306" s="622"/>
      <c r="C306" s="622"/>
      <c r="D306" s="622"/>
      <c r="E306" s="622"/>
      <c r="F306" s="622"/>
      <c r="G306" s="622"/>
      <c r="H306" s="626"/>
      <c r="I306" s="626"/>
      <c r="J306" s="626"/>
      <c r="K306" s="551"/>
      <c r="L306" s="551"/>
      <c r="M306" s="551"/>
      <c r="N306" s="551"/>
      <c r="O306" s="551"/>
      <c r="P306" s="551"/>
      <c r="Q306" s="551"/>
      <c r="R306" s="551"/>
      <c r="S306" s="551"/>
      <c r="T306" s="551"/>
      <c r="U306" s="551"/>
      <c r="V306" s="551"/>
      <c r="W306" s="551"/>
      <c r="X306" s="551"/>
      <c r="Y306" s="551"/>
      <c r="Z306" s="551"/>
      <c r="AA306" s="551"/>
      <c r="AB306" s="551"/>
    </row>
    <row r="307" spans="1:28" x14ac:dyDescent="0.25">
      <c r="A307" s="2285" t="s">
        <v>8</v>
      </c>
      <c r="B307" s="2201" t="s">
        <v>1</v>
      </c>
      <c r="C307" s="2202"/>
      <c r="D307" s="2203"/>
      <c r="E307" s="2203"/>
      <c r="F307" s="2286"/>
      <c r="G307" s="2183" t="s">
        <v>2046</v>
      </c>
      <c r="H307" s="2183"/>
      <c r="I307" s="2183"/>
      <c r="J307" s="2183"/>
      <c r="K307" s="551"/>
      <c r="L307" s="551"/>
      <c r="M307" s="551"/>
      <c r="N307" s="551"/>
      <c r="O307" s="551"/>
      <c r="P307" s="551"/>
      <c r="Q307" s="551"/>
      <c r="R307" s="551"/>
      <c r="S307" s="551"/>
      <c r="T307" s="551"/>
      <c r="U307" s="551"/>
      <c r="V307" s="551"/>
      <c r="W307" s="551"/>
      <c r="X307" s="551"/>
      <c r="Y307" s="551"/>
      <c r="Z307" s="551"/>
      <c r="AA307" s="551"/>
      <c r="AB307" s="551"/>
    </row>
    <row r="308" spans="1:28" ht="31.5" customHeight="1" x14ac:dyDescent="0.25">
      <c r="A308" s="2200"/>
      <c r="B308" s="2206"/>
      <c r="C308" s="2207"/>
      <c r="D308" s="2207"/>
      <c r="E308" s="2207"/>
      <c r="F308" s="2221"/>
      <c r="G308" s="1408" t="s">
        <v>736</v>
      </c>
      <c r="H308" s="1408" t="s">
        <v>741</v>
      </c>
      <c r="I308" s="1434" t="s">
        <v>296</v>
      </c>
      <c r="J308" s="1434" t="s">
        <v>256</v>
      </c>
      <c r="K308" s="551"/>
      <c r="L308" s="551"/>
      <c r="M308" s="551"/>
      <c r="N308" s="551"/>
      <c r="O308" s="551"/>
      <c r="P308" s="551"/>
      <c r="Q308" s="551"/>
      <c r="R308" s="551"/>
      <c r="S308" s="551"/>
      <c r="T308" s="551"/>
      <c r="U308" s="551"/>
      <c r="V308" s="551"/>
      <c r="W308" s="551"/>
      <c r="X308" s="551"/>
      <c r="Y308" s="551"/>
      <c r="Z308" s="551"/>
      <c r="AA308" s="551"/>
      <c r="AB308" s="551"/>
    </row>
    <row r="309" spans="1:28" hidden="1" x14ac:dyDescent="0.25">
      <c r="A309" s="1447">
        <v>1</v>
      </c>
      <c r="B309" s="2267" t="s">
        <v>1155</v>
      </c>
      <c r="C309" s="2268"/>
      <c r="D309" s="2294"/>
      <c r="E309" s="2294"/>
      <c r="F309" s="2294"/>
      <c r="G309" s="1411" t="s">
        <v>742</v>
      </c>
      <c r="H309" s="623"/>
      <c r="I309" s="624">
        <v>160</v>
      </c>
      <c r="J309" s="624">
        <f>H309*I309</f>
        <v>0</v>
      </c>
      <c r="K309" s="551"/>
      <c r="L309" s="551"/>
      <c r="M309" s="551"/>
      <c r="N309" s="551"/>
      <c r="O309" s="551"/>
      <c r="P309" s="551"/>
      <c r="Q309" s="551"/>
      <c r="R309" s="551"/>
      <c r="S309" s="551"/>
      <c r="T309" s="551"/>
      <c r="U309" s="551"/>
      <c r="V309" s="551"/>
      <c r="W309" s="551"/>
      <c r="X309" s="551"/>
      <c r="Y309" s="551"/>
      <c r="Z309" s="551"/>
      <c r="AA309" s="551"/>
      <c r="AB309" s="551"/>
    </row>
    <row r="310" spans="1:28" x14ac:dyDescent="0.25">
      <c r="A310" s="1447">
        <v>1</v>
      </c>
      <c r="B310" s="2267" t="s">
        <v>1156</v>
      </c>
      <c r="C310" s="2268"/>
      <c r="D310" s="2294"/>
      <c r="E310" s="2294"/>
      <c r="F310" s="2294"/>
      <c r="G310" s="1411" t="s">
        <v>742</v>
      </c>
      <c r="H310" s="623">
        <v>108</v>
      </c>
      <c r="I310" s="624">
        <v>230</v>
      </c>
      <c r="J310" s="624">
        <f>H310*I310</f>
        <v>24840</v>
      </c>
      <c r="K310" s="551"/>
      <c r="M310" s="551"/>
      <c r="N310" s="551"/>
      <c r="O310" s="551"/>
      <c r="P310" s="551"/>
      <c r="Q310" s="551"/>
      <c r="R310" s="551"/>
      <c r="S310" s="551"/>
      <c r="T310" s="551"/>
      <c r="U310" s="551"/>
      <c r="V310" s="551"/>
      <c r="W310" s="551"/>
      <c r="X310" s="551"/>
      <c r="Y310" s="551"/>
      <c r="Z310" s="551"/>
      <c r="AA310" s="551"/>
      <c r="AB310" s="551"/>
    </row>
    <row r="311" spans="1:28" hidden="1" x14ac:dyDescent="0.25">
      <c r="A311" s="1447">
        <v>3</v>
      </c>
      <c r="B311" s="2267" t="s">
        <v>1157</v>
      </c>
      <c r="C311" s="2268"/>
      <c r="D311" s="2294"/>
      <c r="E311" s="2294"/>
      <c r="F311" s="2294"/>
      <c r="G311" s="1411" t="s">
        <v>742</v>
      </c>
      <c r="H311" s="623"/>
      <c r="I311" s="624">
        <v>153</v>
      </c>
      <c r="J311" s="624">
        <f>H311*I311</f>
        <v>0</v>
      </c>
      <c r="K311" s="551"/>
      <c r="L311" s="551"/>
      <c r="M311" s="551"/>
      <c r="N311" s="551"/>
      <c r="O311" s="551"/>
      <c r="P311" s="551"/>
      <c r="Q311" s="551"/>
      <c r="R311" s="551"/>
      <c r="S311" s="551"/>
      <c r="T311" s="551"/>
      <c r="U311" s="551"/>
      <c r="V311" s="551"/>
      <c r="W311" s="551"/>
      <c r="X311" s="551"/>
      <c r="Y311" s="551"/>
      <c r="Z311" s="551"/>
      <c r="AA311" s="551"/>
      <c r="AB311" s="551"/>
    </row>
    <row r="312" spans="1:28" hidden="1" x14ac:dyDescent="0.25">
      <c r="A312" s="1447">
        <v>4</v>
      </c>
      <c r="B312" s="2267" t="s">
        <v>1158</v>
      </c>
      <c r="C312" s="2268"/>
      <c r="D312" s="2294"/>
      <c r="E312" s="2294"/>
      <c r="F312" s="2294"/>
      <c r="G312" s="1411" t="s">
        <v>742</v>
      </c>
      <c r="H312" s="623"/>
      <c r="I312" s="624">
        <v>188</v>
      </c>
      <c r="J312" s="624">
        <f>H312*I312</f>
        <v>0</v>
      </c>
      <c r="K312" s="551"/>
      <c r="L312" s="551"/>
      <c r="M312" s="551"/>
      <c r="N312" s="551"/>
      <c r="O312" s="551"/>
      <c r="P312" s="551"/>
      <c r="Q312" s="551"/>
      <c r="R312" s="551"/>
      <c r="S312" s="551"/>
      <c r="T312" s="551"/>
      <c r="U312" s="551"/>
      <c r="V312" s="551"/>
      <c r="W312" s="551"/>
      <c r="X312" s="551"/>
      <c r="Y312" s="551"/>
      <c r="Z312" s="551"/>
      <c r="AA312" s="551"/>
      <c r="AB312" s="551"/>
    </row>
    <row r="313" spans="1:28" hidden="1" x14ac:dyDescent="0.25">
      <c r="A313" s="1447">
        <v>5</v>
      </c>
      <c r="B313" s="2267" t="s">
        <v>1159</v>
      </c>
      <c r="C313" s="2268"/>
      <c r="D313" s="2294"/>
      <c r="E313" s="2294"/>
      <c r="F313" s="2294"/>
      <c r="G313" s="1411" t="s">
        <v>742</v>
      </c>
      <c r="H313" s="623"/>
      <c r="I313" s="624">
        <v>205</v>
      </c>
      <c r="J313" s="624">
        <f>H313*I313</f>
        <v>0</v>
      </c>
      <c r="K313" s="551"/>
      <c r="L313" s="551"/>
      <c r="M313" s="551"/>
      <c r="N313" s="551"/>
      <c r="O313" s="551"/>
      <c r="P313" s="551"/>
      <c r="Q313" s="551"/>
      <c r="R313" s="551"/>
      <c r="S313" s="551"/>
      <c r="T313" s="551"/>
      <c r="U313" s="551"/>
      <c r="V313" s="551"/>
      <c r="W313" s="551"/>
      <c r="X313" s="551"/>
      <c r="Y313" s="551"/>
      <c r="Z313" s="551"/>
      <c r="AA313" s="551"/>
      <c r="AB313" s="551"/>
    </row>
    <row r="314" spans="1:28" x14ac:dyDescent="0.25">
      <c r="A314" s="2181" t="s">
        <v>39</v>
      </c>
      <c r="B314" s="2181"/>
      <c r="C314" s="2181"/>
      <c r="D314" s="2181"/>
      <c r="E314" s="2181"/>
      <c r="F314" s="2181"/>
      <c r="G314" s="2181"/>
      <c r="H314" s="2181"/>
      <c r="I314" s="2181"/>
      <c r="J314" s="1437">
        <f>J310</f>
        <v>24840</v>
      </c>
      <c r="K314" s="551"/>
      <c r="L314" s="551"/>
      <c r="M314" s="551"/>
      <c r="N314" s="551"/>
      <c r="O314" s="551"/>
      <c r="P314" s="551"/>
      <c r="Q314" s="551"/>
      <c r="R314" s="551"/>
      <c r="S314" s="551"/>
      <c r="T314" s="551"/>
      <c r="U314" s="551"/>
      <c r="V314" s="551"/>
      <c r="W314" s="551"/>
      <c r="X314" s="551"/>
      <c r="Y314" s="551"/>
      <c r="Z314" s="551"/>
      <c r="AA314" s="551"/>
      <c r="AB314" s="551"/>
    </row>
    <row r="315" spans="1:28" x14ac:dyDescent="0.25">
      <c r="A315" s="657"/>
      <c r="B315" s="657"/>
      <c r="C315" s="657"/>
      <c r="D315" s="657"/>
      <c r="E315" s="657"/>
      <c r="F315" s="657"/>
      <c r="G315" s="657"/>
      <c r="H315" s="657"/>
      <c r="I315" s="657"/>
      <c r="J315" s="596"/>
      <c r="K315" s="551"/>
      <c r="L315" s="551"/>
      <c r="M315" s="551"/>
      <c r="N315" s="551"/>
      <c r="O315" s="551"/>
      <c r="P315" s="551"/>
      <c r="Q315" s="551"/>
      <c r="R315" s="551"/>
      <c r="S315" s="551"/>
      <c r="T315" s="551"/>
      <c r="U315" s="551"/>
      <c r="V315" s="551"/>
      <c r="W315" s="551"/>
      <c r="X315" s="551"/>
      <c r="Y315" s="551"/>
      <c r="Z315" s="551"/>
      <c r="AA315" s="551"/>
      <c r="AB315" s="551"/>
    </row>
    <row r="316" spans="1:28" x14ac:dyDescent="0.25">
      <c r="A316" s="1457" t="s">
        <v>1872</v>
      </c>
      <c r="B316" s="1457"/>
      <c r="C316" s="1457"/>
      <c r="D316" s="1457"/>
      <c r="E316" s="1457"/>
      <c r="F316" s="1457"/>
      <c r="G316" s="60"/>
      <c r="H316" s="69"/>
      <c r="I316" s="69"/>
      <c r="J316" s="4"/>
      <c r="K316" s="551"/>
      <c r="L316" s="551"/>
      <c r="M316" s="551"/>
      <c r="N316" s="551"/>
      <c r="O316" s="551"/>
      <c r="P316" s="551"/>
      <c r="Q316" s="551"/>
      <c r="R316" s="551"/>
      <c r="S316" s="551"/>
      <c r="T316" s="551"/>
      <c r="U316" s="551"/>
      <c r="V316" s="551"/>
      <c r="W316" s="551"/>
      <c r="X316" s="551"/>
      <c r="Y316" s="551"/>
      <c r="Z316" s="551"/>
      <c r="AA316" s="551"/>
      <c r="AB316" s="551"/>
    </row>
    <row r="317" spans="1:28" x14ac:dyDescent="0.25">
      <c r="A317" s="2019" t="s">
        <v>8</v>
      </c>
      <c r="B317" s="1926" t="s">
        <v>35</v>
      </c>
      <c r="C317" s="2171"/>
      <c r="D317" s="2171"/>
      <c r="E317" s="2171"/>
      <c r="F317" s="2171"/>
      <c r="G317" s="2171"/>
      <c r="H317" s="1926" t="s">
        <v>2050</v>
      </c>
      <c r="I317" s="2173"/>
      <c r="J317" s="2173"/>
      <c r="K317" s="564"/>
      <c r="L317" s="551"/>
      <c r="M317" s="551"/>
      <c r="N317" s="551"/>
      <c r="O317" s="551"/>
      <c r="P317" s="551"/>
      <c r="Q317" s="551"/>
      <c r="R317" s="551"/>
      <c r="S317" s="551"/>
      <c r="T317" s="551"/>
      <c r="U317" s="551"/>
      <c r="V317" s="551"/>
      <c r="W317" s="551"/>
      <c r="X317" s="551"/>
      <c r="Y317" s="551"/>
      <c r="Z317" s="551"/>
      <c r="AA317" s="551"/>
      <c r="AB317" s="551"/>
    </row>
    <row r="318" spans="1:28" ht="48.75" customHeight="1" x14ac:dyDescent="0.25">
      <c r="A318" s="2161"/>
      <c r="B318" s="2171"/>
      <c r="C318" s="2171"/>
      <c r="D318" s="2171"/>
      <c r="E318" s="2171"/>
      <c r="F318" s="2171"/>
      <c r="G318" s="2171"/>
      <c r="H318" s="1418" t="s">
        <v>1873</v>
      </c>
      <c r="I318" s="1426" t="s">
        <v>1874</v>
      </c>
      <c r="J318" s="1426" t="s">
        <v>256</v>
      </c>
      <c r="K318" s="564"/>
      <c r="L318" s="594"/>
      <c r="M318" s="551"/>
      <c r="N318" s="551"/>
      <c r="O318" s="551"/>
      <c r="P318" s="551"/>
      <c r="Q318" s="551"/>
      <c r="R318" s="551"/>
      <c r="S318" s="551"/>
      <c r="T318" s="551"/>
      <c r="U318" s="551"/>
      <c r="V318" s="551"/>
      <c r="W318" s="551"/>
      <c r="X318" s="551"/>
      <c r="Y318" s="551"/>
      <c r="Z318" s="551"/>
      <c r="AA318" s="551"/>
      <c r="AB318" s="551"/>
    </row>
    <row r="319" spans="1:28" ht="15" hidden="1" customHeight="1" x14ac:dyDescent="0.25">
      <c r="A319" s="1331" t="s">
        <v>244</v>
      </c>
      <c r="B319" s="2066" t="s">
        <v>1875</v>
      </c>
      <c r="C319" s="2067"/>
      <c r="D319" s="2067"/>
      <c r="E319" s="2067"/>
      <c r="F319" s="2067"/>
      <c r="G319" s="2292"/>
      <c r="H319" s="1376"/>
      <c r="I319" s="1426">
        <v>5.43</v>
      </c>
      <c r="J319" s="1426">
        <f>H319*I319</f>
        <v>0</v>
      </c>
      <c r="K319" s="551"/>
      <c r="L319" s="551"/>
      <c r="M319" s="551"/>
      <c r="N319" s="551"/>
      <c r="O319" s="551"/>
      <c r="P319" s="551"/>
      <c r="Q319" s="551"/>
      <c r="R319" s="551"/>
      <c r="S319" s="551"/>
      <c r="T319" s="551"/>
      <c r="U319" s="551"/>
      <c r="V319" s="551"/>
      <c r="W319" s="551"/>
      <c r="X319" s="551"/>
      <c r="Y319" s="551"/>
      <c r="Z319" s="551"/>
      <c r="AA319" s="551"/>
      <c r="AB319" s="551"/>
    </row>
    <row r="320" spans="1:28" x14ac:dyDescent="0.25">
      <c r="A320" s="1331" t="s">
        <v>244</v>
      </c>
      <c r="B320" s="2066" t="s">
        <v>631</v>
      </c>
      <c r="C320" s="2067"/>
      <c r="D320" s="2067"/>
      <c r="E320" s="2067"/>
      <c r="F320" s="2067"/>
      <c r="G320" s="2292"/>
      <c r="H320" s="1230">
        <v>150</v>
      </c>
      <c r="I320" s="1426">
        <v>55</v>
      </c>
      <c r="J320" s="1426">
        <f>H320*I320</f>
        <v>8250</v>
      </c>
      <c r="K320" s="551"/>
      <c r="L320" s="551"/>
      <c r="M320" s="551"/>
      <c r="N320" s="551"/>
      <c r="O320" s="551"/>
      <c r="P320" s="551"/>
      <c r="Q320" s="551"/>
      <c r="R320" s="551"/>
      <c r="S320" s="551"/>
      <c r="T320" s="551"/>
      <c r="U320" s="551"/>
      <c r="V320" s="551"/>
      <c r="W320" s="551"/>
      <c r="X320" s="551"/>
      <c r="Y320" s="551"/>
      <c r="Z320" s="551"/>
      <c r="AA320" s="551"/>
      <c r="AB320" s="551"/>
    </row>
    <row r="321" spans="1:28" x14ac:dyDescent="0.25">
      <c r="A321" s="2069" t="s">
        <v>39</v>
      </c>
      <c r="B321" s="2069"/>
      <c r="C321" s="2069"/>
      <c r="D321" s="2069"/>
      <c r="E321" s="2069"/>
      <c r="F321" s="2069"/>
      <c r="G321" s="2069"/>
      <c r="H321" s="2069"/>
      <c r="I321" s="2293"/>
      <c r="J321" s="1192">
        <f>SUM(J319:J320)</f>
        <v>8250</v>
      </c>
      <c r="K321" s="551"/>
      <c r="L321" s="551"/>
      <c r="M321" s="551"/>
      <c r="N321" s="551"/>
      <c r="O321" s="551"/>
      <c r="P321" s="551"/>
      <c r="Q321" s="551"/>
      <c r="R321" s="551"/>
      <c r="S321" s="551"/>
      <c r="T321" s="551"/>
      <c r="U321" s="551"/>
      <c r="V321" s="551"/>
      <c r="W321" s="551"/>
      <c r="X321" s="551"/>
      <c r="Y321" s="551"/>
      <c r="Z321" s="551"/>
      <c r="AA321" s="551"/>
      <c r="AB321" s="551"/>
    </row>
    <row r="322" spans="1:28" x14ac:dyDescent="0.25">
      <c r="A322" s="1374"/>
      <c r="B322" s="1374"/>
      <c r="C322" s="1374"/>
      <c r="D322" s="1374"/>
      <c r="E322" s="1374"/>
      <c r="F322" s="1374"/>
      <c r="G322" s="1374"/>
      <c r="H322" s="1374"/>
      <c r="I322" s="1374"/>
      <c r="J322" s="1375"/>
      <c r="K322" s="551"/>
      <c r="L322" s="551"/>
      <c r="M322" s="551"/>
      <c r="N322" s="551"/>
      <c r="O322" s="551"/>
      <c r="P322" s="551"/>
      <c r="Q322" s="551"/>
      <c r="R322" s="551"/>
      <c r="S322" s="551"/>
      <c r="T322" s="551"/>
      <c r="U322" s="551"/>
      <c r="V322" s="551"/>
      <c r="W322" s="551"/>
      <c r="X322" s="551"/>
      <c r="Y322" s="551"/>
      <c r="Z322" s="551"/>
      <c r="AA322" s="551"/>
      <c r="AB322" s="551"/>
    </row>
    <row r="323" spans="1:28" x14ac:dyDescent="0.25">
      <c r="A323" s="625" t="s">
        <v>308</v>
      </c>
      <c r="B323" s="655"/>
      <c r="C323" s="655"/>
      <c r="D323" s="655"/>
      <c r="E323" s="655"/>
      <c r="F323" s="655"/>
      <c r="G323" s="655"/>
      <c r="H323" s="655"/>
      <c r="I323" s="626"/>
      <c r="J323" s="626"/>
      <c r="K323" s="551"/>
      <c r="L323" s="551"/>
      <c r="M323" s="551"/>
      <c r="N323" s="551"/>
      <c r="O323" s="551"/>
      <c r="P323" s="551"/>
      <c r="Q323" s="551"/>
      <c r="R323" s="551"/>
      <c r="S323" s="551"/>
      <c r="T323" s="551"/>
      <c r="U323" s="551"/>
      <c r="V323" s="551"/>
      <c r="W323" s="551"/>
      <c r="X323" s="551"/>
      <c r="Y323" s="551"/>
      <c r="Z323" s="551"/>
      <c r="AA323" s="551"/>
      <c r="AB323" s="551"/>
    </row>
    <row r="324" spans="1:28" x14ac:dyDescent="0.25">
      <c r="A324" s="2183" t="s">
        <v>8</v>
      </c>
      <c r="B324" s="2183" t="s">
        <v>1</v>
      </c>
      <c r="C324" s="2183"/>
      <c r="D324" s="2183"/>
      <c r="E324" s="2183"/>
      <c r="F324" s="2295" t="s">
        <v>736</v>
      </c>
      <c r="G324" s="2183" t="s">
        <v>2046</v>
      </c>
      <c r="H324" s="2183" t="s">
        <v>735</v>
      </c>
      <c r="I324" s="2183"/>
      <c r="J324" s="2183"/>
      <c r="K324" s="551" t="s">
        <v>1478</v>
      </c>
      <c r="L324" s="551"/>
      <c r="M324" s="551"/>
      <c r="N324" s="551"/>
      <c r="O324" s="551"/>
      <c r="P324" s="551"/>
      <c r="Q324" s="551"/>
      <c r="R324" s="551"/>
      <c r="S324" s="551"/>
      <c r="T324" s="551"/>
      <c r="U324" s="551"/>
      <c r="V324" s="551"/>
      <c r="W324" s="551"/>
      <c r="X324" s="551"/>
      <c r="Y324" s="551"/>
      <c r="Z324" s="551"/>
      <c r="AA324" s="551"/>
      <c r="AB324" s="551"/>
    </row>
    <row r="325" spans="1:28" ht="46.5" customHeight="1" x14ac:dyDescent="0.25">
      <c r="A325" s="2183"/>
      <c r="B325" s="2183"/>
      <c r="C325" s="2183"/>
      <c r="D325" s="2183"/>
      <c r="E325" s="2183"/>
      <c r="F325" s="2295"/>
      <c r="G325" s="1411" t="s">
        <v>741</v>
      </c>
      <c r="H325" s="1411" t="s">
        <v>748</v>
      </c>
      <c r="I325" s="1411" t="s">
        <v>268</v>
      </c>
      <c r="J325" s="1411" t="s">
        <v>256</v>
      </c>
      <c r="K325" s="616"/>
      <c r="M325" s="551"/>
      <c r="N325" s="551"/>
      <c r="O325" s="551"/>
      <c r="P325" s="551"/>
      <c r="Q325" s="551"/>
      <c r="R325" s="551"/>
      <c r="S325" s="551"/>
      <c r="T325" s="551"/>
      <c r="U325" s="551"/>
      <c r="V325" s="551"/>
      <c r="W325" s="551"/>
      <c r="X325" s="551"/>
      <c r="Y325" s="551"/>
      <c r="Z325" s="551"/>
      <c r="AA325" s="551"/>
      <c r="AB325" s="551"/>
    </row>
    <row r="326" spans="1:28" ht="30" customHeight="1" x14ac:dyDescent="0.25">
      <c r="A326" s="1411">
        <v>1</v>
      </c>
      <c r="B326" s="2258" t="s">
        <v>1855</v>
      </c>
      <c r="C326" s="2258"/>
      <c r="D326" s="2258"/>
      <c r="E326" s="2258"/>
      <c r="F326" s="630" t="s">
        <v>750</v>
      </c>
      <c r="G326" s="1411">
        <v>2</v>
      </c>
      <c r="H326" s="628">
        <f>12-5+1+1+3</f>
        <v>12</v>
      </c>
      <c r="I326" s="624">
        <v>1400</v>
      </c>
      <c r="J326" s="624">
        <f>G326*H326*I326</f>
        <v>33600</v>
      </c>
      <c r="K326" s="551"/>
      <c r="L326" s="551"/>
      <c r="M326" s="551"/>
      <c r="N326" s="551"/>
      <c r="O326" s="551"/>
      <c r="P326" s="551"/>
      <c r="Q326" s="551"/>
      <c r="R326" s="551"/>
      <c r="S326" s="551"/>
      <c r="T326" s="551"/>
      <c r="U326" s="551"/>
      <c r="V326" s="551"/>
      <c r="W326" s="551"/>
      <c r="X326" s="551"/>
      <c r="Y326" s="551"/>
      <c r="Z326" s="551"/>
      <c r="AA326" s="551"/>
      <c r="AB326" s="551"/>
    </row>
    <row r="327" spans="1:28" x14ac:dyDescent="0.25">
      <c r="A327" s="2297" t="s">
        <v>39</v>
      </c>
      <c r="B327" s="2298"/>
      <c r="C327" s="2299"/>
      <c r="D327" s="2298"/>
      <c r="E327" s="2298"/>
      <c r="F327" s="2298"/>
      <c r="G327" s="2298"/>
      <c r="H327" s="2298"/>
      <c r="I327" s="2300"/>
      <c r="J327" s="1020">
        <f>J326</f>
        <v>33600</v>
      </c>
      <c r="K327" s="1442">
        <v>0</v>
      </c>
      <c r="L327" s="739">
        <f>J327-K327</f>
        <v>33600</v>
      </c>
      <c r="M327" s="551"/>
      <c r="N327" s="551"/>
      <c r="O327" s="551"/>
      <c r="P327" s="551"/>
      <c r="Q327" s="551"/>
      <c r="R327" s="551"/>
      <c r="S327" s="551"/>
      <c r="T327" s="551"/>
      <c r="U327" s="551"/>
      <c r="V327" s="551"/>
      <c r="W327" s="551"/>
      <c r="X327" s="551"/>
      <c r="Y327" s="551"/>
      <c r="Z327" s="551"/>
      <c r="AA327" s="551"/>
      <c r="AB327" s="551"/>
    </row>
    <row r="328" spans="1:28" x14ac:dyDescent="0.25">
      <c r="A328" s="779"/>
      <c r="B328" s="779"/>
      <c r="C328" s="779"/>
      <c r="D328" s="779"/>
      <c r="E328" s="779"/>
      <c r="F328" s="779"/>
      <c r="G328" s="779"/>
      <c r="H328" s="779"/>
      <c r="I328" s="779"/>
      <c r="J328" s="629"/>
      <c r="K328" s="551"/>
      <c r="L328" s="551"/>
      <c r="M328" s="551"/>
      <c r="N328" s="551"/>
      <c r="O328" s="551"/>
      <c r="P328" s="551"/>
      <c r="Q328" s="551"/>
      <c r="R328" s="551"/>
      <c r="S328" s="551"/>
      <c r="T328" s="551"/>
      <c r="U328" s="551"/>
      <c r="V328" s="551"/>
      <c r="W328" s="551"/>
      <c r="X328" s="551"/>
      <c r="Y328" s="551"/>
      <c r="Z328" s="551"/>
      <c r="AA328" s="551"/>
      <c r="AB328" s="551"/>
    </row>
    <row r="329" spans="1:28" x14ac:dyDescent="0.25">
      <c r="A329" s="625" t="s">
        <v>308</v>
      </c>
      <c r="B329" s="655"/>
      <c r="C329" s="655"/>
      <c r="D329" s="655"/>
      <c r="E329" s="655"/>
      <c r="F329" s="655"/>
      <c r="G329" s="655"/>
      <c r="H329" s="655"/>
      <c r="I329" s="779"/>
      <c r="J329" s="629"/>
      <c r="K329" s="609"/>
      <c r="L329" s="573"/>
      <c r="M329" s="551"/>
      <c r="N329" s="551"/>
      <c r="O329" s="551"/>
      <c r="P329" s="551"/>
      <c r="Q329" s="551"/>
      <c r="R329" s="551"/>
      <c r="S329" s="551"/>
      <c r="T329" s="551"/>
      <c r="U329" s="551"/>
      <c r="V329" s="551"/>
      <c r="W329" s="551"/>
      <c r="X329" s="551"/>
      <c r="Y329" s="551"/>
      <c r="Z329" s="551"/>
      <c r="AA329" s="551"/>
      <c r="AB329" s="551"/>
    </row>
    <row r="330" spans="1:28" ht="15" customHeight="1" x14ac:dyDescent="0.25">
      <c r="A330" s="2183" t="s">
        <v>8</v>
      </c>
      <c r="B330" s="2183" t="s">
        <v>1</v>
      </c>
      <c r="C330" s="2183"/>
      <c r="D330" s="2183"/>
      <c r="E330" s="2183"/>
      <c r="F330" s="2295" t="s">
        <v>736</v>
      </c>
      <c r="G330" s="2183" t="s">
        <v>2046</v>
      </c>
      <c r="H330" s="2183" t="s">
        <v>735</v>
      </c>
      <c r="I330" s="2183"/>
      <c r="J330" s="2183"/>
      <c r="K330" s="564" t="s">
        <v>1478</v>
      </c>
      <c r="L330" s="573"/>
      <c r="M330" s="551"/>
      <c r="N330" s="610"/>
      <c r="O330" s="610"/>
      <c r="P330" s="551"/>
      <c r="Q330" s="551"/>
      <c r="R330" s="551"/>
      <c r="S330" s="551"/>
      <c r="T330" s="551"/>
      <c r="U330" s="551"/>
      <c r="V330" s="551"/>
      <c r="W330" s="551"/>
      <c r="X330" s="551"/>
      <c r="Y330" s="551"/>
      <c r="Z330" s="551"/>
      <c r="AA330" s="551"/>
      <c r="AB330" s="551"/>
    </row>
    <row r="331" spans="1:28" ht="45" x14ac:dyDescent="0.25">
      <c r="A331" s="2183"/>
      <c r="B331" s="2183"/>
      <c r="C331" s="2183"/>
      <c r="D331" s="2183"/>
      <c r="E331" s="2183"/>
      <c r="F331" s="2295"/>
      <c r="G331" s="1411" t="s">
        <v>741</v>
      </c>
      <c r="H331" s="1411" t="s">
        <v>748</v>
      </c>
      <c r="I331" s="1411" t="s">
        <v>268</v>
      </c>
      <c r="J331" s="1411" t="s">
        <v>256</v>
      </c>
      <c r="M331" s="551"/>
      <c r="N331" s="551"/>
      <c r="O331" s="551"/>
      <c r="P331" s="551"/>
      <c r="Q331" s="551"/>
      <c r="R331" s="551"/>
      <c r="S331" s="551"/>
      <c r="T331" s="551"/>
      <c r="U331" s="551"/>
      <c r="V331" s="551"/>
      <c r="W331" s="551"/>
      <c r="X331" s="551"/>
      <c r="Y331" s="551"/>
      <c r="Z331" s="551"/>
      <c r="AA331" s="551"/>
      <c r="AB331" s="551"/>
    </row>
    <row r="332" spans="1:28" ht="45" customHeight="1" x14ac:dyDescent="0.25">
      <c r="A332" s="1411">
        <v>1</v>
      </c>
      <c r="B332" s="2243" t="s">
        <v>1856</v>
      </c>
      <c r="C332" s="2163"/>
      <c r="D332" s="2163"/>
      <c r="E332" s="2163"/>
      <c r="F332" s="630" t="s">
        <v>750</v>
      </c>
      <c r="G332" s="1229">
        <v>2</v>
      </c>
      <c r="H332" s="1229">
        <v>12</v>
      </c>
      <c r="I332" s="1420">
        <v>2167.6999999999998</v>
      </c>
      <c r="J332" s="1426">
        <f t="shared" ref="J332" si="2">G332*H332*I332</f>
        <v>52024.800000000003</v>
      </c>
      <c r="K332" s="551"/>
      <c r="L332" s="551"/>
      <c r="M332" s="551"/>
      <c r="N332" s="551"/>
      <c r="O332" s="551"/>
      <c r="P332" s="551"/>
      <c r="Q332" s="551"/>
      <c r="R332" s="551"/>
      <c r="S332" s="551"/>
      <c r="T332" s="551"/>
      <c r="U332" s="551"/>
      <c r="V332" s="551"/>
      <c r="W332" s="551"/>
      <c r="X332" s="551"/>
      <c r="Y332" s="551"/>
      <c r="Z332" s="551"/>
      <c r="AA332" s="551"/>
      <c r="AB332" s="551"/>
    </row>
    <row r="333" spans="1:28" x14ac:dyDescent="0.25">
      <c r="A333" s="2296" t="s">
        <v>39</v>
      </c>
      <c r="B333" s="2296"/>
      <c r="C333" s="2296"/>
      <c r="D333" s="2296"/>
      <c r="E333" s="2296"/>
      <c r="F333" s="2296"/>
      <c r="G333" s="2296"/>
      <c r="H333" s="2296"/>
      <c r="I333" s="2296"/>
      <c r="J333" s="1020">
        <f>J332</f>
        <v>52024.800000000003</v>
      </c>
      <c r="K333" s="564">
        <v>0</v>
      </c>
      <c r="L333" s="739">
        <f>J333-K333</f>
        <v>52024.800000000003</v>
      </c>
      <c r="M333" s="551"/>
      <c r="N333" s="551"/>
      <c r="O333" s="551"/>
      <c r="P333" s="551"/>
      <c r="Q333" s="551"/>
      <c r="R333" s="551"/>
      <c r="S333" s="551"/>
      <c r="T333" s="551"/>
      <c r="U333" s="551"/>
      <c r="V333" s="551"/>
      <c r="W333" s="551"/>
      <c r="X333" s="551"/>
      <c r="Y333" s="551"/>
      <c r="Z333" s="551"/>
      <c r="AA333" s="551"/>
      <c r="AB333" s="551"/>
    </row>
    <row r="334" spans="1:28" hidden="1" x14ac:dyDescent="0.25">
      <c r="A334" s="2264" t="s">
        <v>514</v>
      </c>
      <c r="B334" s="2265"/>
      <c r="C334" s="2265"/>
      <c r="D334" s="2265"/>
      <c r="E334" s="2265"/>
      <c r="F334" s="2265"/>
      <c r="G334" s="2265"/>
      <c r="H334" s="2265"/>
      <c r="I334" s="2265"/>
      <c r="J334" s="2265"/>
      <c r="K334" s="551"/>
      <c r="L334" s="551"/>
      <c r="M334" s="551"/>
      <c r="N334" s="551"/>
      <c r="O334" s="551"/>
      <c r="P334" s="551"/>
      <c r="Q334" s="551"/>
      <c r="R334" s="551"/>
      <c r="S334" s="551"/>
      <c r="T334" s="551"/>
      <c r="U334" s="551"/>
      <c r="V334" s="551"/>
      <c r="W334" s="551"/>
      <c r="X334" s="551"/>
      <c r="Y334" s="551"/>
      <c r="Z334" s="551"/>
      <c r="AA334" s="551"/>
      <c r="AB334" s="551"/>
    </row>
    <row r="335" spans="1:28" hidden="1" x14ac:dyDescent="0.25">
      <c r="A335" s="2266" t="s">
        <v>1134</v>
      </c>
      <c r="B335" s="2266"/>
      <c r="C335" s="2266"/>
      <c r="D335" s="2266"/>
      <c r="E335" s="2266"/>
      <c r="F335" s="2266"/>
      <c r="G335" s="2266"/>
      <c r="H335" s="2266"/>
      <c r="I335" s="2266"/>
      <c r="J335" s="1435">
        <v>0</v>
      </c>
      <c r="K335" s="551"/>
      <c r="L335" s="551"/>
      <c r="M335" s="551"/>
      <c r="N335" s="551"/>
      <c r="O335" s="551"/>
      <c r="P335" s="551"/>
      <c r="Q335" s="551"/>
      <c r="R335" s="551"/>
      <c r="S335" s="551"/>
      <c r="T335" s="551"/>
      <c r="U335" s="551"/>
      <c r="V335" s="551"/>
      <c r="W335" s="551"/>
      <c r="X335" s="551"/>
      <c r="Y335" s="551"/>
      <c r="Z335" s="551"/>
      <c r="AA335" s="551"/>
      <c r="AB335" s="551"/>
    </row>
    <row r="336" spans="1:28" ht="13.5" hidden="1" customHeight="1" x14ac:dyDescent="0.25">
      <c r="A336" s="2266" t="s">
        <v>153</v>
      </c>
      <c r="B336" s="2266"/>
      <c r="C336" s="2266"/>
      <c r="D336" s="2266"/>
      <c r="E336" s="2266"/>
      <c r="F336" s="2266"/>
      <c r="G336" s="2266"/>
      <c r="H336" s="2266"/>
      <c r="I336" s="2266"/>
      <c r="J336" s="1403">
        <f>3284.4*6+3284.4</f>
        <v>22990.799999999999</v>
      </c>
      <c r="M336" s="551"/>
      <c r="N336" s="551"/>
      <c r="O336" s="551"/>
      <c r="P336" s="551"/>
      <c r="Q336" s="551"/>
      <c r="R336" s="551"/>
      <c r="S336" s="551"/>
      <c r="T336" s="551"/>
      <c r="U336" s="551"/>
      <c r="V336" s="551"/>
      <c r="W336" s="551"/>
      <c r="X336" s="551"/>
      <c r="Y336" s="551"/>
      <c r="Z336" s="551"/>
      <c r="AA336" s="551"/>
      <c r="AB336" s="551"/>
    </row>
    <row r="337" spans="1:28" ht="13.5" hidden="1" customHeight="1" x14ac:dyDescent="0.25">
      <c r="A337" s="2258" t="s">
        <v>619</v>
      </c>
      <c r="B337" s="2258"/>
      <c r="C337" s="2258"/>
      <c r="D337" s="2258"/>
      <c r="E337" s="2258"/>
      <c r="F337" s="2258"/>
      <c r="G337" s="2258"/>
      <c r="H337" s="2258"/>
      <c r="I337" s="2258"/>
      <c r="J337" s="624">
        <f>J333-J335-J336-J338</f>
        <v>29034</v>
      </c>
      <c r="K337" s="551"/>
      <c r="L337" s="551"/>
      <c r="M337" s="551"/>
      <c r="N337" s="551"/>
      <c r="O337" s="551"/>
      <c r="P337" s="551"/>
      <c r="Q337" s="551"/>
      <c r="R337" s="551"/>
      <c r="S337" s="551"/>
      <c r="T337" s="551"/>
      <c r="U337" s="551"/>
      <c r="V337" s="551"/>
      <c r="W337" s="551"/>
      <c r="X337" s="551"/>
      <c r="Y337" s="551"/>
      <c r="Z337" s="551"/>
      <c r="AA337" s="551"/>
      <c r="AB337" s="551"/>
    </row>
    <row r="338" spans="1:28" ht="13.5" hidden="1" customHeight="1" x14ac:dyDescent="0.25">
      <c r="A338" s="2258" t="s">
        <v>1147</v>
      </c>
      <c r="B338" s="2258"/>
      <c r="C338" s="2258"/>
      <c r="D338" s="2258"/>
      <c r="E338" s="2258"/>
      <c r="F338" s="2258"/>
      <c r="G338" s="2258"/>
      <c r="H338" s="2258"/>
      <c r="I338" s="2258"/>
      <c r="J338" s="569">
        <v>0</v>
      </c>
      <c r="K338" s="551"/>
      <c r="L338" s="551"/>
      <c r="M338" s="551"/>
      <c r="N338" s="551"/>
      <c r="O338" s="551"/>
      <c r="P338" s="551"/>
      <c r="Q338" s="551"/>
      <c r="R338" s="551"/>
      <c r="S338" s="551"/>
      <c r="T338" s="551"/>
      <c r="U338" s="551"/>
      <c r="V338" s="551"/>
      <c r="W338" s="551"/>
      <c r="X338" s="551"/>
      <c r="Y338" s="551"/>
      <c r="Z338" s="551"/>
      <c r="AA338" s="551"/>
      <c r="AB338" s="551"/>
    </row>
    <row r="339" spans="1:28" x14ac:dyDescent="0.25">
      <c r="A339" s="779"/>
      <c r="B339" s="779"/>
      <c r="C339" s="779"/>
      <c r="D339" s="779"/>
      <c r="E339" s="779"/>
      <c r="F339" s="779"/>
      <c r="G339" s="779"/>
      <c r="H339" s="779"/>
      <c r="I339" s="779"/>
      <c r="J339" s="629"/>
      <c r="K339" s="551"/>
      <c r="L339" s="551"/>
      <c r="M339" s="551"/>
      <c r="N339" s="551"/>
      <c r="O339" s="551"/>
      <c r="P339" s="551"/>
      <c r="Q339" s="551"/>
      <c r="R339" s="551"/>
      <c r="S339" s="551"/>
      <c r="T339" s="551"/>
      <c r="U339" s="551"/>
      <c r="V339" s="551"/>
      <c r="W339" s="551"/>
      <c r="X339" s="551"/>
      <c r="Y339" s="551"/>
      <c r="Z339" s="551"/>
      <c r="AA339" s="551"/>
      <c r="AB339" s="551"/>
    </row>
    <row r="340" spans="1:28" x14ac:dyDescent="0.25">
      <c r="A340" s="2302" t="s">
        <v>308</v>
      </c>
      <c r="B340" s="2302"/>
      <c r="C340" s="2302"/>
      <c r="D340" s="2302"/>
      <c r="E340" s="2302"/>
      <c r="F340" s="2302"/>
      <c r="G340" s="2302"/>
      <c r="H340" s="2302"/>
      <c r="I340" s="779"/>
      <c r="J340" s="629"/>
      <c r="K340" s="551"/>
      <c r="L340" s="551"/>
      <c r="M340" s="551"/>
      <c r="N340" s="551"/>
      <c r="O340" s="551"/>
      <c r="P340" s="551"/>
      <c r="Q340" s="551"/>
      <c r="R340" s="551"/>
      <c r="S340" s="551"/>
      <c r="T340" s="551"/>
      <c r="U340" s="551"/>
      <c r="V340" s="551"/>
      <c r="W340" s="551"/>
      <c r="X340" s="551"/>
      <c r="Y340" s="551"/>
      <c r="Z340" s="551"/>
      <c r="AA340" s="551"/>
      <c r="AB340" s="551"/>
    </row>
    <row r="341" spans="1:28" x14ac:dyDescent="0.25">
      <c r="A341" s="2183" t="s">
        <v>8</v>
      </c>
      <c r="B341" s="2183" t="s">
        <v>1</v>
      </c>
      <c r="C341" s="2183"/>
      <c r="D341" s="2183"/>
      <c r="E341" s="2183"/>
      <c r="F341" s="2295" t="s">
        <v>736</v>
      </c>
      <c r="G341" s="2183" t="s">
        <v>2046</v>
      </c>
      <c r="H341" s="2183" t="s">
        <v>735</v>
      </c>
      <c r="I341" s="2183"/>
      <c r="J341" s="2183"/>
      <c r="K341" s="565" t="s">
        <v>1478</v>
      </c>
      <c r="L341" s="551"/>
      <c r="M341" s="551"/>
      <c r="N341" s="551"/>
      <c r="O341" s="551"/>
      <c r="P341" s="551"/>
      <c r="Q341" s="551"/>
      <c r="R341" s="551"/>
      <c r="S341" s="551"/>
      <c r="T341" s="551"/>
      <c r="U341" s="551"/>
      <c r="V341" s="551"/>
      <c r="W341" s="551"/>
      <c r="X341" s="551"/>
      <c r="Y341" s="551"/>
      <c r="Z341" s="551"/>
      <c r="AA341" s="551"/>
      <c r="AB341" s="551"/>
    </row>
    <row r="342" spans="1:28" ht="42.75" customHeight="1" x14ac:dyDescent="0.25">
      <c r="A342" s="2183"/>
      <c r="B342" s="2183"/>
      <c r="C342" s="2183"/>
      <c r="D342" s="2183"/>
      <c r="E342" s="2183"/>
      <c r="F342" s="2295"/>
      <c r="G342" s="1411" t="s">
        <v>741</v>
      </c>
      <c r="H342" s="1411" t="s">
        <v>748</v>
      </c>
      <c r="I342" s="1411" t="s">
        <v>268</v>
      </c>
      <c r="J342" s="1411" t="s">
        <v>256</v>
      </c>
      <c r="K342" s="551"/>
      <c r="N342" s="551"/>
      <c r="O342" s="551"/>
      <c r="P342" s="551"/>
      <c r="Q342" s="551"/>
      <c r="R342" s="551"/>
      <c r="S342" s="551"/>
      <c r="T342" s="551"/>
      <c r="U342" s="551"/>
      <c r="V342" s="551"/>
      <c r="W342" s="551"/>
      <c r="X342" s="551"/>
      <c r="Y342" s="551"/>
      <c r="Z342" s="551"/>
      <c r="AA342" s="551"/>
      <c r="AB342" s="551"/>
    </row>
    <row r="343" spans="1:28" ht="30" customHeight="1" x14ac:dyDescent="0.25">
      <c r="A343" s="630">
        <v>1</v>
      </c>
      <c r="B343" s="2301" t="s">
        <v>1857</v>
      </c>
      <c r="C343" s="2302"/>
      <c r="D343" s="2302"/>
      <c r="E343" s="2302"/>
      <c r="F343" s="630" t="s">
        <v>750</v>
      </c>
      <c r="G343" s="630">
        <v>1</v>
      </c>
      <c r="H343" s="631">
        <v>12</v>
      </c>
      <c r="I343" s="632">
        <v>3000</v>
      </c>
      <c r="J343" s="633">
        <f>G343*H343*I343</f>
        <v>36000</v>
      </c>
      <c r="K343" s="551"/>
      <c r="L343" s="551"/>
      <c r="M343" s="551"/>
      <c r="N343" s="551"/>
      <c r="O343" s="551"/>
      <c r="P343" s="551"/>
      <c r="Q343" s="551"/>
      <c r="R343" s="551"/>
      <c r="S343" s="551"/>
      <c r="T343" s="551"/>
      <c r="U343" s="551"/>
      <c r="V343" s="551"/>
      <c r="W343" s="551"/>
      <c r="X343" s="551"/>
      <c r="Y343" s="551"/>
      <c r="Z343" s="551"/>
      <c r="AA343" s="551"/>
      <c r="AB343" s="551"/>
    </row>
    <row r="344" spans="1:28" ht="29.25" customHeight="1" x14ac:dyDescent="0.25">
      <c r="A344" s="630">
        <v>2</v>
      </c>
      <c r="B344" s="2301" t="s">
        <v>1858</v>
      </c>
      <c r="C344" s="2302"/>
      <c r="D344" s="2302"/>
      <c r="E344" s="2302"/>
      <c r="F344" s="630" t="s">
        <v>750</v>
      </c>
      <c r="G344" s="630">
        <v>1</v>
      </c>
      <c r="H344" s="631">
        <v>12</v>
      </c>
      <c r="I344" s="632">
        <v>7000</v>
      </c>
      <c r="J344" s="633">
        <f>G344*H344*I344</f>
        <v>84000</v>
      </c>
      <c r="K344" s="551"/>
      <c r="L344" s="551"/>
      <c r="M344" s="551"/>
      <c r="N344" s="551"/>
      <c r="O344" s="551"/>
      <c r="P344" s="551"/>
      <c r="Q344" s="551"/>
      <c r="R344" s="551"/>
      <c r="S344" s="551"/>
      <c r="T344" s="551"/>
      <c r="U344" s="551"/>
      <c r="V344" s="551"/>
      <c r="W344" s="551"/>
      <c r="X344" s="551"/>
      <c r="Y344" s="551"/>
      <c r="Z344" s="551"/>
      <c r="AA344" s="551"/>
      <c r="AB344" s="551"/>
    </row>
    <row r="345" spans="1:28" ht="14.25" customHeight="1" x14ac:dyDescent="0.25">
      <c r="A345" s="2297" t="s">
        <v>39</v>
      </c>
      <c r="B345" s="2298"/>
      <c r="C345" s="2299"/>
      <c r="D345" s="2298"/>
      <c r="E345" s="2298"/>
      <c r="F345" s="2298"/>
      <c r="G345" s="2298"/>
      <c r="H345" s="2298"/>
      <c r="I345" s="2300"/>
      <c r="J345" s="1020">
        <f>SUM(J343:J344)</f>
        <v>120000</v>
      </c>
      <c r="K345" s="564">
        <v>0</v>
      </c>
      <c r="L345" s="739">
        <f>J345-K345</f>
        <v>120000</v>
      </c>
      <c r="M345" s="551"/>
      <c r="N345" s="551"/>
      <c r="O345" s="551"/>
      <c r="P345" s="551"/>
      <c r="Q345" s="551"/>
      <c r="R345" s="551"/>
      <c r="S345" s="551"/>
      <c r="T345" s="551"/>
      <c r="U345" s="551"/>
      <c r="V345" s="551"/>
      <c r="W345" s="551"/>
      <c r="X345" s="551"/>
      <c r="Y345" s="551"/>
      <c r="Z345" s="551"/>
      <c r="AA345" s="551"/>
      <c r="AB345" s="551"/>
    </row>
    <row r="346" spans="1:28" hidden="1" x14ac:dyDescent="0.25">
      <c r="A346" s="2264" t="s">
        <v>514</v>
      </c>
      <c r="B346" s="2265"/>
      <c r="C346" s="2265"/>
      <c r="D346" s="2265"/>
      <c r="E346" s="2265"/>
      <c r="F346" s="2265"/>
      <c r="G346" s="2265"/>
      <c r="H346" s="2265"/>
      <c r="I346" s="2265"/>
      <c r="J346" s="2265"/>
      <c r="K346" s="561"/>
      <c r="M346" s="551"/>
      <c r="N346" s="551"/>
      <c r="O346" s="551"/>
      <c r="P346" s="551"/>
      <c r="Q346" s="551"/>
      <c r="R346" s="551"/>
      <c r="S346" s="551"/>
      <c r="T346" s="551"/>
      <c r="U346" s="551"/>
      <c r="V346" s="551"/>
      <c r="W346" s="551"/>
      <c r="X346" s="551"/>
      <c r="Y346" s="551"/>
      <c r="Z346" s="551"/>
      <c r="AA346" s="551"/>
      <c r="AB346" s="551"/>
    </row>
    <row r="347" spans="1:28" hidden="1" x14ac:dyDescent="0.25">
      <c r="A347" s="2266" t="s">
        <v>1134</v>
      </c>
      <c r="B347" s="2266"/>
      <c r="C347" s="2266"/>
      <c r="D347" s="2266"/>
      <c r="E347" s="2266"/>
      <c r="F347" s="2266"/>
      <c r="G347" s="2266"/>
      <c r="H347" s="2266"/>
      <c r="I347" s="2266"/>
      <c r="J347" s="1403">
        <v>0</v>
      </c>
      <c r="K347" s="564">
        <v>0</v>
      </c>
      <c r="L347" s="739">
        <f>J347-K347</f>
        <v>0</v>
      </c>
      <c r="M347" s="551"/>
      <c r="N347" s="551"/>
      <c r="O347" s="551"/>
      <c r="P347" s="551"/>
      <c r="Q347" s="551"/>
      <c r="R347" s="551"/>
      <c r="S347" s="551"/>
      <c r="T347" s="551"/>
      <c r="U347" s="551"/>
      <c r="V347" s="551"/>
      <c r="W347" s="551"/>
      <c r="X347" s="551"/>
      <c r="Y347" s="551"/>
      <c r="Z347" s="551"/>
      <c r="AA347" s="551"/>
      <c r="AB347" s="551"/>
    </row>
    <row r="348" spans="1:28" hidden="1" x14ac:dyDescent="0.25">
      <c r="A348" s="2266" t="s">
        <v>153</v>
      </c>
      <c r="B348" s="2266"/>
      <c r="C348" s="2266"/>
      <c r="D348" s="2266"/>
      <c r="E348" s="2266"/>
      <c r="F348" s="2266"/>
      <c r="G348" s="2266"/>
      <c r="H348" s="2266"/>
      <c r="I348" s="2266"/>
      <c r="J348" s="1403" t="e">
        <f>#REF!+12000*5+12000</f>
        <v>#REF!</v>
      </c>
      <c r="M348" s="551"/>
      <c r="N348" s="551"/>
      <c r="O348" s="551"/>
      <c r="P348" s="551"/>
      <c r="Q348" s="551"/>
      <c r="R348" s="551"/>
      <c r="S348" s="551"/>
      <c r="T348" s="551"/>
      <c r="U348" s="551"/>
      <c r="V348" s="551"/>
      <c r="W348" s="551"/>
      <c r="X348" s="551"/>
      <c r="Y348" s="551"/>
      <c r="Z348" s="551"/>
      <c r="AA348" s="551"/>
      <c r="AB348" s="551"/>
    </row>
    <row r="349" spans="1:28" hidden="1" x14ac:dyDescent="0.25">
      <c r="A349" s="2258" t="s">
        <v>619</v>
      </c>
      <c r="B349" s="2258"/>
      <c r="C349" s="2258"/>
      <c r="D349" s="2258"/>
      <c r="E349" s="2258"/>
      <c r="F349" s="2258"/>
      <c r="G349" s="2258"/>
      <c r="H349" s="2258"/>
      <c r="I349" s="2258"/>
      <c r="J349" s="821" t="e">
        <f>J345-J347-J348-J350</f>
        <v>#REF!</v>
      </c>
      <c r="K349" s="561"/>
      <c r="M349" s="551"/>
      <c r="N349" s="551"/>
      <c r="O349" s="551"/>
      <c r="P349" s="551"/>
      <c r="Q349" s="551"/>
      <c r="R349" s="551"/>
      <c r="S349" s="551"/>
      <c r="T349" s="551"/>
      <c r="U349" s="551"/>
      <c r="V349" s="551"/>
      <c r="W349" s="551"/>
      <c r="X349" s="551"/>
      <c r="Y349" s="551"/>
      <c r="Z349" s="551"/>
      <c r="AA349" s="551"/>
      <c r="AB349" s="551"/>
    </row>
    <row r="350" spans="1:28" hidden="1" x14ac:dyDescent="0.25">
      <c r="A350" s="2258" t="s">
        <v>1147</v>
      </c>
      <c r="B350" s="2258"/>
      <c r="C350" s="2258"/>
      <c r="D350" s="2258"/>
      <c r="E350" s="2258"/>
      <c r="F350" s="2258"/>
      <c r="G350" s="2258"/>
      <c r="H350" s="2258"/>
      <c r="I350" s="2258"/>
      <c r="J350" s="569">
        <v>0</v>
      </c>
      <c r="K350" s="551"/>
      <c r="L350" s="551"/>
      <c r="M350" s="551"/>
      <c r="N350" s="551"/>
      <c r="O350" s="551"/>
      <c r="P350" s="551"/>
      <c r="Q350" s="551"/>
      <c r="R350" s="551"/>
      <c r="S350" s="551"/>
      <c r="T350" s="551"/>
      <c r="U350" s="551"/>
      <c r="V350" s="551"/>
      <c r="W350" s="551"/>
      <c r="X350" s="551"/>
      <c r="Y350" s="551"/>
      <c r="Z350" s="551"/>
      <c r="AA350" s="551"/>
      <c r="AB350" s="551"/>
    </row>
    <row r="351" spans="1:28" x14ac:dyDescent="0.25">
      <c r="A351" s="779"/>
      <c r="B351" s="779"/>
      <c r="C351" s="779"/>
      <c r="D351" s="779"/>
      <c r="E351" s="779"/>
      <c r="F351" s="779"/>
      <c r="G351" s="779"/>
      <c r="H351" s="779"/>
      <c r="I351" s="779"/>
      <c r="J351" s="629"/>
      <c r="K351" s="551"/>
      <c r="L351" s="551"/>
      <c r="M351" s="551"/>
      <c r="N351" s="551"/>
      <c r="O351" s="551"/>
      <c r="P351" s="551"/>
      <c r="Q351" s="551"/>
      <c r="R351" s="551"/>
      <c r="S351" s="551"/>
      <c r="T351" s="551"/>
      <c r="U351" s="551"/>
      <c r="V351" s="551"/>
      <c r="W351" s="551"/>
      <c r="X351" s="551"/>
      <c r="Y351" s="551"/>
      <c r="Z351" s="551"/>
      <c r="AA351" s="551"/>
      <c r="AB351" s="551"/>
    </row>
    <row r="352" spans="1:28" hidden="1" x14ac:dyDescent="0.25">
      <c r="A352" s="2302" t="s">
        <v>1068</v>
      </c>
      <c r="B352" s="2302"/>
      <c r="C352" s="2302"/>
      <c r="D352" s="2302"/>
      <c r="E352" s="2302"/>
      <c r="F352" s="2302"/>
      <c r="G352" s="2302"/>
      <c r="H352" s="2302"/>
      <c r="I352" s="779"/>
      <c r="J352" s="629"/>
      <c r="K352" s="551"/>
      <c r="L352" s="551"/>
      <c r="M352" s="551"/>
      <c r="N352" s="551"/>
      <c r="O352" s="551"/>
      <c r="P352" s="551"/>
      <c r="Q352" s="551"/>
      <c r="R352" s="551"/>
      <c r="S352" s="551"/>
      <c r="T352" s="551"/>
      <c r="U352" s="551"/>
      <c r="V352" s="551"/>
      <c r="W352" s="551"/>
      <c r="X352" s="551"/>
      <c r="Y352" s="551"/>
      <c r="Z352" s="551"/>
      <c r="AA352" s="551"/>
      <c r="AB352" s="551"/>
    </row>
    <row r="353" spans="1:28" hidden="1" x14ac:dyDescent="0.25">
      <c r="A353" s="2183" t="s">
        <v>8</v>
      </c>
      <c r="B353" s="2183" t="s">
        <v>1</v>
      </c>
      <c r="C353" s="2183"/>
      <c r="D353" s="2183"/>
      <c r="E353" s="2183"/>
      <c r="F353" s="2295" t="s">
        <v>736</v>
      </c>
      <c r="G353" s="2183" t="s">
        <v>735</v>
      </c>
      <c r="H353" s="2183" t="s">
        <v>735</v>
      </c>
      <c r="I353" s="2183"/>
      <c r="J353" s="2183"/>
      <c r="K353" s="551"/>
      <c r="L353" s="551"/>
      <c r="M353" s="551"/>
      <c r="N353" s="551"/>
      <c r="O353" s="551"/>
      <c r="P353" s="551"/>
      <c r="Q353" s="551"/>
      <c r="R353" s="551"/>
      <c r="S353" s="551"/>
      <c r="T353" s="551"/>
      <c r="U353" s="551"/>
      <c r="V353" s="551"/>
      <c r="W353" s="551"/>
      <c r="X353" s="551"/>
      <c r="Y353" s="551"/>
      <c r="Z353" s="551"/>
      <c r="AA353" s="551"/>
      <c r="AB353" s="551"/>
    </row>
    <row r="354" spans="1:28" ht="75" hidden="1" customHeight="1" x14ac:dyDescent="0.25">
      <c r="A354" s="2183"/>
      <c r="B354" s="2183"/>
      <c r="C354" s="2183"/>
      <c r="D354" s="2183"/>
      <c r="E354" s="2183"/>
      <c r="F354" s="2295"/>
      <c r="G354" s="2303" t="s">
        <v>753</v>
      </c>
      <c r="H354" s="2304"/>
      <c r="I354" s="1411" t="s">
        <v>752</v>
      </c>
      <c r="J354" s="1411" t="s">
        <v>256</v>
      </c>
      <c r="K354" s="551"/>
      <c r="L354" s="551"/>
      <c r="M354" s="551"/>
      <c r="N354" s="551"/>
      <c r="O354" s="551"/>
      <c r="P354" s="551"/>
      <c r="Q354" s="551"/>
      <c r="R354" s="551"/>
      <c r="S354" s="551"/>
      <c r="T354" s="551"/>
      <c r="U354" s="551"/>
      <c r="V354" s="551"/>
      <c r="W354" s="551"/>
      <c r="X354" s="551"/>
      <c r="Y354" s="551"/>
      <c r="Z354" s="551"/>
      <c r="AA354" s="551"/>
      <c r="AB354" s="551"/>
    </row>
    <row r="355" spans="1:28" ht="15" hidden="1" customHeight="1" x14ac:dyDescent="0.25">
      <c r="A355" s="630">
        <v>1</v>
      </c>
      <c r="B355" s="2305" t="s">
        <v>754</v>
      </c>
      <c r="C355" s="2306"/>
      <c r="D355" s="2307"/>
      <c r="E355" s="2308"/>
      <c r="F355" s="630" t="s">
        <v>108</v>
      </c>
      <c r="G355" s="2303"/>
      <c r="H355" s="2304"/>
      <c r="I355" s="624"/>
      <c r="J355" s="624">
        <f>G355*I355</f>
        <v>0</v>
      </c>
      <c r="K355" s="551"/>
      <c r="L355" s="551"/>
      <c r="M355" s="551"/>
      <c r="N355" s="551"/>
      <c r="O355" s="551"/>
      <c r="P355" s="551"/>
      <c r="Q355" s="551"/>
      <c r="R355" s="551"/>
      <c r="S355" s="551"/>
      <c r="T355" s="551"/>
      <c r="U355" s="551"/>
      <c r="V355" s="551"/>
      <c r="W355" s="551"/>
      <c r="X355" s="551"/>
      <c r="Y355" s="551"/>
      <c r="Z355" s="551"/>
      <c r="AA355" s="551"/>
      <c r="AB355" s="551"/>
    </row>
    <row r="356" spans="1:28" ht="16.5" hidden="1" customHeight="1" x14ac:dyDescent="0.25">
      <c r="A356" s="2297" t="s">
        <v>39</v>
      </c>
      <c r="B356" s="2298"/>
      <c r="C356" s="2299"/>
      <c r="D356" s="2298"/>
      <c r="E356" s="2298"/>
      <c r="F356" s="2298"/>
      <c r="G356" s="2298"/>
      <c r="H356" s="2298"/>
      <c r="I356" s="2300"/>
      <c r="J356" s="627">
        <f>J355</f>
        <v>0</v>
      </c>
      <c r="K356" s="551"/>
      <c r="L356" s="551"/>
      <c r="M356" s="551"/>
      <c r="N356" s="551"/>
      <c r="O356" s="551"/>
      <c r="P356" s="551"/>
      <c r="Q356" s="551"/>
      <c r="R356" s="551"/>
      <c r="S356" s="551"/>
      <c r="T356" s="551"/>
      <c r="U356" s="551"/>
      <c r="V356" s="551"/>
      <c r="W356" s="551"/>
      <c r="X356" s="551"/>
      <c r="Y356" s="551"/>
      <c r="Z356" s="551"/>
      <c r="AA356" s="551"/>
      <c r="AB356" s="551"/>
    </row>
    <row r="357" spans="1:28" ht="15" hidden="1" customHeight="1" x14ac:dyDescent="0.25">
      <c r="A357" s="2264" t="s">
        <v>514</v>
      </c>
      <c r="B357" s="2265"/>
      <c r="C357" s="2309"/>
      <c r="D357" s="2265"/>
      <c r="E357" s="2265"/>
      <c r="F357" s="2265"/>
      <c r="G357" s="2265"/>
      <c r="H357" s="2265"/>
      <c r="I357" s="2265"/>
      <c r="J357" s="2265"/>
      <c r="K357" s="564"/>
      <c r="L357" s="594"/>
      <c r="M357" s="551"/>
      <c r="N357" s="551"/>
      <c r="O357" s="551"/>
      <c r="P357" s="551"/>
      <c r="Q357" s="551"/>
      <c r="R357" s="551"/>
      <c r="S357" s="551"/>
      <c r="T357" s="551"/>
      <c r="U357" s="551"/>
      <c r="V357" s="551"/>
      <c r="W357" s="551"/>
      <c r="X357" s="551"/>
      <c r="Y357" s="551"/>
      <c r="Z357" s="551"/>
      <c r="AA357" s="551"/>
      <c r="AB357" s="551"/>
    </row>
    <row r="358" spans="1:28" ht="32.25" hidden="1" customHeight="1" x14ac:dyDescent="0.25">
      <c r="A358" s="2310" t="s">
        <v>834</v>
      </c>
      <c r="B358" s="2310"/>
      <c r="C358" s="2310"/>
      <c r="D358" s="2310"/>
      <c r="E358" s="2310"/>
      <c r="F358" s="2310"/>
      <c r="G358" s="2310"/>
      <c r="H358" s="2310"/>
      <c r="I358" s="2310"/>
      <c r="J358" s="620">
        <f>J355</f>
        <v>0</v>
      </c>
      <c r="K358" s="564"/>
      <c r="L358" s="594"/>
      <c r="M358" s="552"/>
      <c r="N358" s="551"/>
      <c r="O358" s="551"/>
      <c r="P358" s="551"/>
      <c r="Q358" s="551"/>
      <c r="R358" s="551"/>
      <c r="S358" s="551"/>
      <c r="T358" s="551"/>
      <c r="U358" s="551"/>
      <c r="V358" s="551"/>
      <c r="W358" s="551"/>
      <c r="X358" s="551"/>
      <c r="Y358" s="551"/>
      <c r="Z358" s="551"/>
      <c r="AA358" s="551"/>
      <c r="AB358" s="551"/>
    </row>
    <row r="359" spans="1:28" ht="15" hidden="1" customHeight="1" x14ac:dyDescent="0.25">
      <c r="A359" s="2258" t="s">
        <v>155</v>
      </c>
      <c r="B359" s="2258"/>
      <c r="C359" s="2258"/>
      <c r="D359" s="2258"/>
      <c r="E359" s="2258"/>
      <c r="F359" s="2258"/>
      <c r="G359" s="2258"/>
      <c r="H359" s="2258"/>
      <c r="I359" s="2258"/>
      <c r="J359" s="624"/>
      <c r="K359" s="564"/>
      <c r="L359" s="594"/>
      <c r="M359" s="611"/>
      <c r="N359" s="551"/>
      <c r="O359" s="551"/>
      <c r="P359" s="551"/>
      <c r="Q359" s="551"/>
      <c r="R359" s="551"/>
      <c r="S359" s="551"/>
      <c r="T359" s="551"/>
      <c r="U359" s="551"/>
      <c r="V359" s="551"/>
      <c r="W359" s="551"/>
      <c r="X359" s="551"/>
      <c r="Y359" s="551"/>
      <c r="Z359" s="551"/>
      <c r="AA359" s="551"/>
      <c r="AB359" s="551"/>
    </row>
    <row r="360" spans="1:28" hidden="1" x14ac:dyDescent="0.25">
      <c r="A360" s="1412"/>
      <c r="B360" s="1412"/>
      <c r="C360" s="1412"/>
      <c r="D360" s="1412"/>
      <c r="E360" s="1412"/>
      <c r="F360" s="1412"/>
      <c r="G360" s="1412"/>
      <c r="H360" s="1412"/>
      <c r="I360" s="779"/>
      <c r="J360" s="629"/>
      <c r="K360" s="564"/>
      <c r="L360" s="594"/>
      <c r="M360" s="611"/>
      <c r="N360" s="551"/>
      <c r="O360" s="551"/>
      <c r="P360" s="551"/>
      <c r="Q360" s="551"/>
      <c r="R360" s="551"/>
      <c r="S360" s="551"/>
      <c r="T360" s="551"/>
      <c r="U360" s="551"/>
      <c r="V360" s="551"/>
      <c r="W360" s="551"/>
      <c r="X360" s="551"/>
      <c r="Y360" s="551"/>
      <c r="Z360" s="551"/>
      <c r="AA360" s="551"/>
      <c r="AB360" s="551"/>
    </row>
    <row r="361" spans="1:28" ht="15" customHeight="1" x14ac:dyDescent="0.25">
      <c r="A361" s="2302" t="s">
        <v>308</v>
      </c>
      <c r="B361" s="2302"/>
      <c r="C361" s="2302"/>
      <c r="D361" s="2302"/>
      <c r="E361" s="2302"/>
      <c r="F361" s="2302"/>
      <c r="G361" s="2302"/>
      <c r="H361" s="2302"/>
      <c r="I361" s="779"/>
      <c r="J361" s="629"/>
      <c r="K361" s="1442"/>
      <c r="L361" s="612"/>
      <c r="N361" s="551"/>
      <c r="O361" s="551"/>
      <c r="P361" s="551"/>
      <c r="Q361" s="551"/>
      <c r="R361" s="551"/>
      <c r="S361" s="551"/>
      <c r="T361" s="551"/>
      <c r="U361" s="551"/>
      <c r="V361" s="551"/>
      <c r="W361" s="551"/>
      <c r="X361" s="551"/>
      <c r="Y361" s="551"/>
      <c r="Z361" s="551"/>
      <c r="AA361" s="551"/>
      <c r="AB361" s="551"/>
    </row>
    <row r="362" spans="1:28" x14ac:dyDescent="0.25">
      <c r="A362" s="2183" t="s">
        <v>8</v>
      </c>
      <c r="B362" s="2183" t="s">
        <v>1</v>
      </c>
      <c r="C362" s="2183"/>
      <c r="D362" s="2183"/>
      <c r="E362" s="2183"/>
      <c r="F362" s="2295" t="s">
        <v>736</v>
      </c>
      <c r="G362" s="2183" t="s">
        <v>2046</v>
      </c>
      <c r="H362" s="2183" t="s">
        <v>735</v>
      </c>
      <c r="I362" s="2183"/>
      <c r="J362" s="2183"/>
      <c r="K362" s="564" t="s">
        <v>1478</v>
      </c>
      <c r="L362" s="594"/>
      <c r="M362" s="551"/>
      <c r="N362" s="551"/>
      <c r="O362" s="551"/>
      <c r="P362" s="551"/>
      <c r="Q362" s="551"/>
      <c r="R362" s="551"/>
      <c r="S362" s="551"/>
      <c r="T362" s="551"/>
      <c r="U362" s="551"/>
      <c r="V362" s="551"/>
      <c r="W362" s="551"/>
      <c r="X362" s="551"/>
      <c r="Y362" s="551"/>
      <c r="Z362" s="551"/>
      <c r="AA362" s="551"/>
      <c r="AB362" s="551"/>
    </row>
    <row r="363" spans="1:28" ht="45.75" customHeight="1" x14ac:dyDescent="0.25">
      <c r="A363" s="2183"/>
      <c r="B363" s="2183"/>
      <c r="C363" s="2183"/>
      <c r="D363" s="2183"/>
      <c r="E363" s="2183"/>
      <c r="F363" s="2295"/>
      <c r="G363" s="1411" t="s">
        <v>741</v>
      </c>
      <c r="H363" s="1411" t="s">
        <v>748</v>
      </c>
      <c r="I363" s="1411" t="s">
        <v>268</v>
      </c>
      <c r="J363" s="1411" t="s">
        <v>256</v>
      </c>
      <c r="K363" s="564"/>
      <c r="L363" s="594"/>
      <c r="M363" s="551"/>
      <c r="N363" s="551"/>
      <c r="O363" s="551"/>
      <c r="P363" s="551"/>
      <c r="Q363" s="551"/>
      <c r="R363" s="551"/>
      <c r="S363" s="551"/>
      <c r="T363" s="551"/>
      <c r="U363" s="551"/>
      <c r="V363" s="551"/>
      <c r="W363" s="551"/>
      <c r="X363" s="551"/>
      <c r="Y363" s="551"/>
      <c r="Z363" s="551"/>
      <c r="AA363" s="551"/>
      <c r="AB363" s="551"/>
    </row>
    <row r="364" spans="1:28" ht="44.25" customHeight="1" x14ac:dyDescent="0.25">
      <c r="A364" s="630">
        <v>1</v>
      </c>
      <c r="B364" s="2301" t="s">
        <v>1859</v>
      </c>
      <c r="C364" s="2302"/>
      <c r="D364" s="2302"/>
      <c r="E364" s="2302"/>
      <c r="F364" s="630" t="s">
        <v>750</v>
      </c>
      <c r="G364" s="630">
        <v>1</v>
      </c>
      <c r="H364" s="631">
        <v>12</v>
      </c>
      <c r="I364" s="632">
        <v>3779</v>
      </c>
      <c r="J364" s="633">
        <f>G364*H364*I364</f>
        <v>45348</v>
      </c>
      <c r="K364" s="564"/>
      <c r="L364" s="594"/>
      <c r="O364" s="551"/>
      <c r="P364" s="551"/>
      <c r="Q364" s="551"/>
      <c r="R364" s="551"/>
      <c r="S364" s="551"/>
      <c r="T364" s="551"/>
      <c r="U364" s="551"/>
      <c r="V364" s="551"/>
      <c r="W364" s="551"/>
      <c r="X364" s="551"/>
      <c r="Y364" s="551"/>
      <c r="Z364" s="551"/>
      <c r="AA364" s="551"/>
      <c r="AB364" s="551"/>
    </row>
    <row r="365" spans="1:28" ht="47.25" customHeight="1" x14ac:dyDescent="0.25">
      <c r="A365" s="630">
        <v>2</v>
      </c>
      <c r="B365" s="2301" t="s">
        <v>1860</v>
      </c>
      <c r="C365" s="2302"/>
      <c r="D365" s="2302"/>
      <c r="E365" s="2302"/>
      <c r="F365" s="630" t="s">
        <v>750</v>
      </c>
      <c r="G365" s="630">
        <v>1</v>
      </c>
      <c r="H365" s="631">
        <v>12</v>
      </c>
      <c r="I365" s="632">
        <v>3759</v>
      </c>
      <c r="J365" s="633">
        <f>G365*H365*I365</f>
        <v>45108</v>
      </c>
      <c r="K365" s="564"/>
      <c r="L365" s="594"/>
      <c r="O365" s="551"/>
      <c r="P365" s="551"/>
      <c r="Q365" s="551"/>
      <c r="R365" s="551"/>
      <c r="S365" s="551"/>
      <c r="T365" s="551"/>
      <c r="U365" s="551"/>
      <c r="V365" s="551"/>
      <c r="W365" s="551"/>
      <c r="X365" s="551"/>
      <c r="Y365" s="551"/>
      <c r="Z365" s="551"/>
      <c r="AA365" s="551"/>
      <c r="AB365" s="551"/>
    </row>
    <row r="366" spans="1:28" x14ac:dyDescent="0.25">
      <c r="A366" s="2297" t="s">
        <v>39</v>
      </c>
      <c r="B366" s="2298"/>
      <c r="C366" s="2299"/>
      <c r="D366" s="2298"/>
      <c r="E366" s="2298"/>
      <c r="F366" s="2298"/>
      <c r="G366" s="2298"/>
      <c r="H366" s="2298"/>
      <c r="I366" s="2300"/>
      <c r="J366" s="1020">
        <f>SUM(J364:J365)</f>
        <v>90456</v>
      </c>
      <c r="K366" s="564">
        <v>0</v>
      </c>
      <c r="L366" s="739">
        <f>J366-K366</f>
        <v>90456</v>
      </c>
      <c r="O366" s="551"/>
      <c r="P366" s="551"/>
      <c r="Q366" s="551"/>
      <c r="R366" s="551"/>
      <c r="S366" s="551"/>
      <c r="T366" s="551"/>
      <c r="U366" s="551"/>
      <c r="V366" s="551"/>
      <c r="W366" s="551"/>
      <c r="X366" s="551"/>
      <c r="Y366" s="551"/>
      <c r="Z366" s="551"/>
      <c r="AA366" s="551"/>
      <c r="AB366" s="551"/>
    </row>
    <row r="367" spans="1:28" hidden="1" x14ac:dyDescent="0.25">
      <c r="A367" s="2264" t="s">
        <v>514</v>
      </c>
      <c r="B367" s="2265"/>
      <c r="C367" s="2265"/>
      <c r="D367" s="2265"/>
      <c r="E367" s="2265"/>
      <c r="F367" s="2265"/>
      <c r="G367" s="2265"/>
      <c r="H367" s="2265"/>
      <c r="I367" s="2265"/>
      <c r="J367" s="2265"/>
      <c r="K367" s="564"/>
      <c r="L367" s="594"/>
      <c r="M367" s="595"/>
      <c r="N367" s="551"/>
      <c r="O367" s="551"/>
      <c r="P367" s="551"/>
      <c r="Q367" s="551"/>
      <c r="R367" s="551"/>
      <c r="S367" s="551"/>
      <c r="T367" s="551"/>
      <c r="U367" s="551"/>
      <c r="V367" s="551"/>
      <c r="W367" s="551"/>
      <c r="X367" s="551"/>
      <c r="Y367" s="551"/>
      <c r="Z367" s="551"/>
      <c r="AA367" s="551"/>
      <c r="AB367" s="551"/>
    </row>
    <row r="368" spans="1:28" hidden="1" x14ac:dyDescent="0.25">
      <c r="A368" s="2266" t="s">
        <v>1134</v>
      </c>
      <c r="B368" s="2266"/>
      <c r="C368" s="2266"/>
      <c r="D368" s="2266"/>
      <c r="E368" s="2266"/>
      <c r="F368" s="2266"/>
      <c r="G368" s="2266"/>
      <c r="H368" s="2266"/>
      <c r="I368" s="2266"/>
      <c r="J368" s="1435">
        <v>0</v>
      </c>
      <c r="K368" s="551"/>
      <c r="M368" s="551"/>
      <c r="N368" s="551"/>
      <c r="O368" s="551"/>
      <c r="P368" s="551"/>
      <c r="Q368" s="551"/>
      <c r="R368" s="551"/>
      <c r="S368" s="551"/>
      <c r="T368" s="551"/>
      <c r="U368" s="551"/>
      <c r="V368" s="551"/>
      <c r="W368" s="551"/>
      <c r="X368" s="551"/>
      <c r="Y368" s="551"/>
      <c r="Z368" s="551"/>
      <c r="AA368" s="551"/>
      <c r="AB368" s="551"/>
    </row>
    <row r="369" spans="1:28" hidden="1" x14ac:dyDescent="0.25">
      <c r="A369" s="2266" t="s">
        <v>153</v>
      </c>
      <c r="B369" s="2266"/>
      <c r="C369" s="2266"/>
      <c r="D369" s="2266"/>
      <c r="E369" s="2266"/>
      <c r="F369" s="2266"/>
      <c r="G369" s="2266"/>
      <c r="H369" s="2266"/>
      <c r="I369" s="2266"/>
      <c r="J369" s="1403">
        <f>8000*6+8000</f>
        <v>56000</v>
      </c>
      <c r="M369" s="551"/>
      <c r="N369" s="551"/>
      <c r="O369" s="551"/>
      <c r="P369" s="551"/>
      <c r="Q369" s="551"/>
      <c r="R369" s="551"/>
      <c r="S369" s="551"/>
      <c r="T369" s="551"/>
      <c r="U369" s="551"/>
      <c r="V369" s="551"/>
      <c r="W369" s="551"/>
      <c r="X369" s="551"/>
      <c r="Y369" s="551"/>
      <c r="Z369" s="551"/>
      <c r="AA369" s="551"/>
      <c r="AB369" s="551"/>
    </row>
    <row r="370" spans="1:28" hidden="1" x14ac:dyDescent="0.25">
      <c r="A370" s="2258" t="s">
        <v>619</v>
      </c>
      <c r="B370" s="2258"/>
      <c r="C370" s="2258"/>
      <c r="D370" s="2258"/>
      <c r="E370" s="2258"/>
      <c r="F370" s="2258"/>
      <c r="G370" s="2258"/>
      <c r="H370" s="2258"/>
      <c r="I370" s="2258"/>
      <c r="J370" s="624">
        <f>J366-J368-J369-J371</f>
        <v>34456</v>
      </c>
      <c r="K370" s="551"/>
      <c r="L370" s="551"/>
      <c r="M370" s="551"/>
      <c r="N370" s="551"/>
      <c r="O370" s="551"/>
      <c r="P370" s="551"/>
      <c r="Q370" s="551"/>
      <c r="R370" s="551"/>
      <c r="S370" s="551"/>
      <c r="T370" s="551"/>
      <c r="U370" s="551"/>
      <c r="V370" s="551"/>
      <c r="W370" s="551"/>
      <c r="X370" s="551"/>
      <c r="Y370" s="551"/>
      <c r="Z370" s="551"/>
      <c r="AA370" s="551"/>
      <c r="AB370" s="551"/>
    </row>
    <row r="371" spans="1:28" hidden="1" x14ac:dyDescent="0.25">
      <c r="A371" s="2258" t="s">
        <v>1147</v>
      </c>
      <c r="B371" s="2258"/>
      <c r="C371" s="2258"/>
      <c r="D371" s="2258"/>
      <c r="E371" s="2258"/>
      <c r="F371" s="2258"/>
      <c r="G371" s="2258"/>
      <c r="H371" s="2258"/>
      <c r="I371" s="2258"/>
      <c r="J371" s="569">
        <v>0</v>
      </c>
      <c r="K371" s="551"/>
      <c r="L371" s="551"/>
      <c r="M371" s="551"/>
      <c r="N371" s="551"/>
      <c r="O371" s="551"/>
      <c r="P371" s="551"/>
      <c r="Q371" s="551"/>
      <c r="R371" s="551"/>
      <c r="S371" s="551"/>
      <c r="T371" s="551"/>
      <c r="U371" s="551"/>
      <c r="V371" s="551"/>
      <c r="W371" s="551"/>
      <c r="X371" s="551"/>
      <c r="Y371" s="551"/>
      <c r="Z371" s="551"/>
      <c r="AA371" s="551"/>
      <c r="AB371" s="551"/>
    </row>
    <row r="372" spans="1:28" x14ac:dyDescent="0.25">
      <c r="A372" s="779"/>
      <c r="B372" s="779"/>
      <c r="C372" s="779"/>
      <c r="D372" s="779"/>
      <c r="E372" s="779"/>
      <c r="F372" s="779"/>
      <c r="G372" s="779"/>
      <c r="H372" s="779"/>
      <c r="I372" s="779"/>
      <c r="J372" s="629"/>
      <c r="K372" s="551"/>
      <c r="L372" s="551"/>
      <c r="M372" s="551"/>
      <c r="N372" s="551"/>
      <c r="O372" s="551"/>
      <c r="P372" s="551"/>
      <c r="Q372" s="551"/>
      <c r="R372" s="551"/>
      <c r="S372" s="551"/>
      <c r="T372" s="551"/>
      <c r="U372" s="551"/>
      <c r="V372" s="551"/>
      <c r="W372" s="551"/>
      <c r="X372" s="551"/>
      <c r="Y372" s="551"/>
      <c r="Z372" s="551"/>
      <c r="AA372" s="551"/>
      <c r="AB372" s="551"/>
    </row>
    <row r="373" spans="1:28" x14ac:dyDescent="0.25">
      <c r="A373" s="2302" t="s">
        <v>308</v>
      </c>
      <c r="B373" s="2302"/>
      <c r="C373" s="2302"/>
      <c r="D373" s="2302"/>
      <c r="E373" s="2302"/>
      <c r="F373" s="2302"/>
      <c r="G373" s="2302"/>
      <c r="H373" s="2302"/>
      <c r="I373" s="779"/>
      <c r="J373" s="629"/>
      <c r="K373" s="551"/>
      <c r="L373" s="551"/>
      <c r="M373" s="551"/>
      <c r="N373" s="551"/>
      <c r="O373" s="551"/>
      <c r="P373" s="551"/>
      <c r="Q373" s="551"/>
      <c r="R373" s="551"/>
      <c r="S373" s="551"/>
      <c r="T373" s="551"/>
      <c r="U373" s="551"/>
      <c r="V373" s="551"/>
      <c r="W373" s="551"/>
      <c r="X373" s="551"/>
      <c r="Y373" s="551"/>
      <c r="Z373" s="551"/>
      <c r="AA373" s="551"/>
      <c r="AB373" s="551"/>
    </row>
    <row r="374" spans="1:28" x14ac:dyDescent="0.25">
      <c r="A374" s="2183" t="s">
        <v>8</v>
      </c>
      <c r="B374" s="2183" t="s">
        <v>1</v>
      </c>
      <c r="C374" s="2183"/>
      <c r="D374" s="2183"/>
      <c r="E374" s="2183"/>
      <c r="F374" s="2295" t="s">
        <v>736</v>
      </c>
      <c r="G374" s="2183" t="s">
        <v>2046</v>
      </c>
      <c r="H374" s="2183" t="s">
        <v>735</v>
      </c>
      <c r="I374" s="2183"/>
      <c r="J374" s="2183"/>
      <c r="K374" s="551" t="s">
        <v>1478</v>
      </c>
      <c r="L374" s="551"/>
      <c r="M374" s="551"/>
      <c r="N374" s="551"/>
      <c r="O374" s="551"/>
      <c r="P374" s="551"/>
      <c r="Q374" s="551"/>
      <c r="R374" s="551"/>
      <c r="S374" s="551"/>
      <c r="T374" s="551"/>
      <c r="U374" s="551"/>
      <c r="V374" s="551"/>
      <c r="W374" s="551"/>
      <c r="X374" s="551"/>
      <c r="Y374" s="551"/>
      <c r="Z374" s="551"/>
      <c r="AA374" s="551"/>
      <c r="AB374" s="551"/>
    </row>
    <row r="375" spans="1:28" ht="45.75" customHeight="1" x14ac:dyDescent="0.25">
      <c r="A375" s="2183"/>
      <c r="B375" s="2183"/>
      <c r="C375" s="2183"/>
      <c r="D375" s="2183"/>
      <c r="E375" s="2183"/>
      <c r="F375" s="2295"/>
      <c r="G375" s="1411" t="s">
        <v>741</v>
      </c>
      <c r="H375" s="1411" t="s">
        <v>748</v>
      </c>
      <c r="I375" s="1411" t="s">
        <v>268</v>
      </c>
      <c r="J375" s="1411" t="s">
        <v>256</v>
      </c>
      <c r="K375" s="564"/>
      <c r="M375" s="551"/>
      <c r="N375" s="551"/>
      <c r="O375" s="551"/>
      <c r="P375" s="551"/>
      <c r="Q375" s="551"/>
      <c r="R375" s="551"/>
      <c r="S375" s="551"/>
      <c r="T375" s="551"/>
      <c r="U375" s="551"/>
      <c r="V375" s="551"/>
      <c r="W375" s="551"/>
      <c r="X375" s="551"/>
      <c r="Y375" s="551"/>
      <c r="Z375" s="551"/>
      <c r="AA375" s="551"/>
      <c r="AB375" s="551"/>
    </row>
    <row r="376" spans="1:28" ht="29.25" customHeight="1" x14ac:dyDescent="0.25">
      <c r="A376" s="630">
        <v>1</v>
      </c>
      <c r="B376" s="2301" t="s">
        <v>1861</v>
      </c>
      <c r="C376" s="2302"/>
      <c r="D376" s="2302"/>
      <c r="E376" s="2302"/>
      <c r="F376" s="630" t="s">
        <v>108</v>
      </c>
      <c r="G376" s="630">
        <v>1</v>
      </c>
      <c r="H376" s="631">
        <f>9</f>
        <v>9</v>
      </c>
      <c r="I376" s="632">
        <v>22000</v>
      </c>
      <c r="J376" s="624">
        <f>G376*H376*I376</f>
        <v>198000</v>
      </c>
      <c r="K376" s="564"/>
      <c r="M376" s="610"/>
      <c r="N376" s="551"/>
      <c r="O376" s="551"/>
      <c r="P376" s="551"/>
      <c r="Q376" s="551"/>
      <c r="R376" s="551"/>
      <c r="S376" s="551"/>
      <c r="T376" s="551"/>
      <c r="U376" s="551"/>
      <c r="V376" s="551"/>
      <c r="W376" s="551"/>
      <c r="X376" s="551"/>
      <c r="Y376" s="551"/>
      <c r="Z376" s="551"/>
      <c r="AA376" s="551"/>
      <c r="AB376" s="551"/>
    </row>
    <row r="377" spans="1:28" x14ac:dyDescent="0.25">
      <c r="A377" s="2297" t="s">
        <v>39</v>
      </c>
      <c r="B377" s="2298"/>
      <c r="C377" s="2299"/>
      <c r="D377" s="2298"/>
      <c r="E377" s="2298"/>
      <c r="F377" s="2298"/>
      <c r="G377" s="2298"/>
      <c r="H377" s="2298"/>
      <c r="I377" s="2300"/>
      <c r="J377" s="1020">
        <f>SUM(J376:J376)</f>
        <v>198000</v>
      </c>
      <c r="K377" s="564">
        <v>0</v>
      </c>
      <c r="L377" s="739">
        <f>J377-K377</f>
        <v>198000</v>
      </c>
      <c r="M377" s="610"/>
      <c r="N377" s="551"/>
      <c r="O377" s="551"/>
      <c r="P377" s="551"/>
      <c r="Q377" s="551"/>
      <c r="R377" s="551"/>
      <c r="S377" s="551"/>
      <c r="T377" s="551"/>
      <c r="U377" s="551"/>
      <c r="V377" s="551"/>
      <c r="W377" s="551"/>
      <c r="X377" s="551"/>
      <c r="Y377" s="551"/>
      <c r="Z377" s="551"/>
      <c r="AA377" s="551"/>
      <c r="AB377" s="551"/>
    </row>
    <row r="378" spans="1:28" hidden="1" x14ac:dyDescent="0.25">
      <c r="A378" s="2264" t="s">
        <v>514</v>
      </c>
      <c r="B378" s="2265"/>
      <c r="C378" s="2265"/>
      <c r="D378" s="2265"/>
      <c r="E378" s="2265"/>
      <c r="F378" s="2265"/>
      <c r="G378" s="2265"/>
      <c r="H378" s="2265"/>
      <c r="I378" s="2265"/>
      <c r="J378" s="2265"/>
      <c r="K378" s="564"/>
      <c r="M378" s="551"/>
      <c r="N378" s="551"/>
      <c r="O378" s="551"/>
      <c r="P378" s="551"/>
      <c r="Q378" s="551"/>
      <c r="R378" s="551"/>
      <c r="S378" s="551"/>
      <c r="T378" s="551"/>
      <c r="U378" s="551"/>
      <c r="V378" s="551"/>
      <c r="W378" s="551"/>
      <c r="X378" s="551"/>
      <c r="Y378" s="551"/>
      <c r="Z378" s="551"/>
      <c r="AA378" s="551"/>
      <c r="AB378" s="551"/>
    </row>
    <row r="379" spans="1:28" hidden="1" x14ac:dyDescent="0.25">
      <c r="A379" s="2266" t="s">
        <v>1134</v>
      </c>
      <c r="B379" s="2266"/>
      <c r="C379" s="2266"/>
      <c r="D379" s="2266"/>
      <c r="E379" s="2266"/>
      <c r="F379" s="2266"/>
      <c r="G379" s="2266"/>
      <c r="H379" s="2266"/>
      <c r="I379" s="2266"/>
      <c r="J379" s="1435">
        <v>0</v>
      </c>
      <c r="K379" s="551"/>
      <c r="M379" s="551"/>
      <c r="N379" s="551"/>
      <c r="O379" s="551"/>
      <c r="P379" s="551"/>
      <c r="Q379" s="551"/>
      <c r="R379" s="551"/>
      <c r="S379" s="551"/>
      <c r="T379" s="551"/>
      <c r="U379" s="551"/>
      <c r="V379" s="551"/>
      <c r="W379" s="551"/>
      <c r="X379" s="551"/>
      <c r="Y379" s="551"/>
      <c r="Z379" s="551"/>
      <c r="AA379" s="551"/>
      <c r="AB379" s="551"/>
    </row>
    <row r="380" spans="1:28" ht="29.25" hidden="1" customHeight="1" x14ac:dyDescent="0.25">
      <c r="A380" s="1953" t="s">
        <v>1790</v>
      </c>
      <c r="B380" s="1953"/>
      <c r="C380" s="1953"/>
      <c r="D380" s="1953"/>
      <c r="E380" s="1953"/>
      <c r="F380" s="1953"/>
      <c r="G380" s="1953"/>
      <c r="H380" s="1953"/>
      <c r="I380" s="1953"/>
      <c r="J380" s="1403"/>
      <c r="K380" s="564"/>
      <c r="L380" s="739"/>
      <c r="M380" s="551"/>
      <c r="N380" s="551"/>
      <c r="O380" s="551"/>
      <c r="P380" s="551"/>
      <c r="Q380" s="551"/>
      <c r="R380" s="551"/>
      <c r="S380" s="551"/>
      <c r="T380" s="551"/>
      <c r="U380" s="551"/>
      <c r="V380" s="551"/>
      <c r="W380" s="551"/>
      <c r="X380" s="551"/>
      <c r="Y380" s="551"/>
      <c r="Z380" s="551"/>
      <c r="AA380" s="551"/>
      <c r="AB380" s="551"/>
    </row>
    <row r="381" spans="1:28" ht="29.25" hidden="1" customHeight="1" x14ac:dyDescent="0.25">
      <c r="A381" s="2258" t="s">
        <v>1791</v>
      </c>
      <c r="B381" s="2258"/>
      <c r="C381" s="2258"/>
      <c r="D381" s="2258"/>
      <c r="E381" s="2258"/>
      <c r="F381" s="2258"/>
      <c r="G381" s="2258"/>
      <c r="H381" s="2258"/>
      <c r="I381" s="2258"/>
      <c r="J381" s="821"/>
      <c r="K381" s="564"/>
      <c r="L381" s="739"/>
      <c r="M381" s="551"/>
      <c r="N381" s="551"/>
      <c r="O381" s="551"/>
      <c r="P381" s="551"/>
      <c r="Q381" s="551"/>
      <c r="R381" s="551"/>
      <c r="S381" s="551"/>
      <c r="T381" s="551"/>
      <c r="U381" s="551"/>
      <c r="V381" s="551"/>
      <c r="W381" s="551"/>
      <c r="X381" s="551"/>
      <c r="Y381" s="551"/>
      <c r="Z381" s="551"/>
      <c r="AA381" s="551"/>
      <c r="AB381" s="551"/>
    </row>
    <row r="382" spans="1:28" hidden="1" x14ac:dyDescent="0.25">
      <c r="A382" s="2258" t="s">
        <v>1147</v>
      </c>
      <c r="B382" s="2258"/>
      <c r="C382" s="2258"/>
      <c r="D382" s="2258"/>
      <c r="E382" s="2258"/>
      <c r="F382" s="2258"/>
      <c r="G382" s="2258"/>
      <c r="H382" s="2258"/>
      <c r="I382" s="2258"/>
      <c r="J382" s="569">
        <v>0</v>
      </c>
      <c r="K382" s="564"/>
      <c r="M382" s="551"/>
      <c r="N382" s="551"/>
      <c r="O382" s="551"/>
      <c r="P382" s="551"/>
      <c r="Q382" s="551"/>
      <c r="R382" s="551"/>
      <c r="S382" s="551"/>
      <c r="T382" s="551"/>
      <c r="U382" s="551"/>
      <c r="V382" s="551"/>
      <c r="W382" s="551"/>
      <c r="X382" s="551"/>
      <c r="Y382" s="551"/>
      <c r="Z382" s="551"/>
      <c r="AA382" s="551"/>
      <c r="AB382" s="551"/>
    </row>
    <row r="383" spans="1:28" x14ac:dyDescent="0.25">
      <c r="A383" s="779"/>
      <c r="B383" s="779"/>
      <c r="C383" s="779"/>
      <c r="D383" s="779"/>
      <c r="E383" s="779"/>
      <c r="F383" s="779"/>
      <c r="G383" s="779"/>
      <c r="H383" s="779"/>
      <c r="I383" s="779"/>
      <c r="J383" s="629"/>
      <c r="K383" s="564"/>
      <c r="M383" s="551"/>
      <c r="N383" s="551"/>
      <c r="O383" s="551"/>
      <c r="P383" s="551"/>
      <c r="Q383" s="551"/>
      <c r="R383" s="551"/>
      <c r="S383" s="551"/>
      <c r="T383" s="551"/>
      <c r="U383" s="551"/>
      <c r="V383" s="551"/>
      <c r="W383" s="551"/>
      <c r="X383" s="551"/>
      <c r="Y383" s="551"/>
      <c r="Z383" s="551"/>
      <c r="AA383" s="551"/>
      <c r="AB383" s="551"/>
    </row>
    <row r="384" spans="1:28" x14ac:dyDescent="0.25">
      <c r="A384" s="2302" t="s">
        <v>308</v>
      </c>
      <c r="B384" s="2302"/>
      <c r="C384" s="2302"/>
      <c r="D384" s="2302"/>
      <c r="E384" s="2302"/>
      <c r="F384" s="2302"/>
      <c r="G384" s="2302"/>
      <c r="H384" s="2302"/>
      <c r="I384" s="779"/>
      <c r="J384" s="629"/>
      <c r="K384" s="564"/>
      <c r="M384" s="551"/>
      <c r="N384" s="551"/>
      <c r="O384" s="551"/>
      <c r="P384" s="551"/>
      <c r="Q384" s="551"/>
      <c r="R384" s="551"/>
      <c r="S384" s="551"/>
      <c r="T384" s="551"/>
      <c r="U384" s="551"/>
      <c r="V384" s="551"/>
      <c r="W384" s="551"/>
      <c r="X384" s="551"/>
      <c r="Y384" s="551"/>
      <c r="Z384" s="551"/>
      <c r="AA384" s="551"/>
      <c r="AB384" s="551"/>
    </row>
    <row r="385" spans="1:28" x14ac:dyDescent="0.25">
      <c r="A385" s="2183" t="s">
        <v>8</v>
      </c>
      <c r="B385" s="2183" t="s">
        <v>1</v>
      </c>
      <c r="C385" s="2183"/>
      <c r="D385" s="2183"/>
      <c r="E385" s="2183"/>
      <c r="F385" s="2295" t="s">
        <v>736</v>
      </c>
      <c r="G385" s="2183" t="s">
        <v>2046</v>
      </c>
      <c r="H385" s="2183" t="s">
        <v>735</v>
      </c>
      <c r="I385" s="2183"/>
      <c r="J385" s="2183"/>
      <c r="K385" s="564" t="s">
        <v>1478</v>
      </c>
      <c r="M385" s="551"/>
      <c r="N385" s="551"/>
      <c r="O385" s="551"/>
      <c r="P385" s="551"/>
      <c r="Q385" s="551"/>
      <c r="R385" s="551"/>
      <c r="S385" s="551"/>
      <c r="T385" s="551"/>
      <c r="U385" s="551"/>
      <c r="V385" s="551"/>
      <c r="W385" s="551"/>
      <c r="X385" s="551"/>
      <c r="Y385" s="551"/>
      <c r="Z385" s="551"/>
      <c r="AA385" s="551"/>
      <c r="AB385" s="551"/>
    </row>
    <row r="386" spans="1:28" ht="47.25" customHeight="1" x14ac:dyDescent="0.25">
      <c r="A386" s="2183"/>
      <c r="B386" s="2183"/>
      <c r="C386" s="2183"/>
      <c r="D386" s="2183"/>
      <c r="E386" s="2183"/>
      <c r="F386" s="2295"/>
      <c r="G386" s="1411" t="s">
        <v>747</v>
      </c>
      <c r="H386" s="1411" t="s">
        <v>748</v>
      </c>
      <c r="I386" s="1411" t="s">
        <v>268</v>
      </c>
      <c r="J386" s="1411" t="s">
        <v>256</v>
      </c>
      <c r="K386" s="565"/>
      <c r="M386" s="551"/>
      <c r="N386" s="551"/>
      <c r="O386" s="551"/>
      <c r="P386" s="551"/>
      <c r="Q386" s="551"/>
      <c r="R386" s="551"/>
      <c r="S386" s="551"/>
      <c r="T386" s="551"/>
      <c r="U386" s="551"/>
      <c r="V386" s="551"/>
      <c r="W386" s="551"/>
      <c r="X386" s="551"/>
      <c r="Y386" s="551"/>
      <c r="Z386" s="551"/>
      <c r="AA386" s="551"/>
      <c r="AB386" s="551"/>
    </row>
    <row r="387" spans="1:28" ht="30.75" customHeight="1" x14ac:dyDescent="0.25">
      <c r="A387" s="1411">
        <v>1</v>
      </c>
      <c r="B387" s="2258" t="s">
        <v>1164</v>
      </c>
      <c r="C387" s="2258"/>
      <c r="D387" s="2258"/>
      <c r="E387" s="2258"/>
      <c r="F387" s="1411" t="s">
        <v>1862</v>
      </c>
      <c r="G387" s="1411">
        <v>7</v>
      </c>
      <c r="H387" s="628">
        <v>10</v>
      </c>
      <c r="I387" s="624">
        <v>640</v>
      </c>
      <c r="J387" s="624">
        <f>G387*H387*I387</f>
        <v>44800</v>
      </c>
      <c r="K387" s="610"/>
      <c r="L387" s="551"/>
      <c r="M387" s="551"/>
      <c r="N387" s="551"/>
      <c r="O387" s="551"/>
      <c r="P387" s="551"/>
      <c r="Q387" s="551"/>
      <c r="R387" s="551"/>
      <c r="S387" s="551"/>
      <c r="T387" s="551"/>
      <c r="U387" s="551"/>
      <c r="V387" s="551"/>
      <c r="W387" s="551"/>
      <c r="X387" s="551"/>
      <c r="Y387" s="551"/>
      <c r="Z387" s="551"/>
      <c r="AA387" s="551"/>
      <c r="AB387" s="551"/>
    </row>
    <row r="388" spans="1:28" ht="30" customHeight="1" x14ac:dyDescent="0.25">
      <c r="A388" s="1411">
        <v>2</v>
      </c>
      <c r="B388" s="2311" t="s">
        <v>1165</v>
      </c>
      <c r="C388" s="2311"/>
      <c r="D388" s="2311"/>
      <c r="E388" s="2311"/>
      <c r="F388" s="1411" t="s">
        <v>1862</v>
      </c>
      <c r="G388" s="1411">
        <v>8</v>
      </c>
      <c r="H388" s="628">
        <v>10</v>
      </c>
      <c r="I388" s="624">
        <v>640</v>
      </c>
      <c r="J388" s="624">
        <f>G388*H388*I388</f>
        <v>51200</v>
      </c>
      <c r="K388" s="610"/>
      <c r="L388" s="551"/>
      <c r="M388" s="551"/>
      <c r="N388" s="551"/>
      <c r="O388" s="551"/>
      <c r="P388" s="551"/>
      <c r="Q388" s="551"/>
      <c r="R388" s="551"/>
      <c r="S388" s="551"/>
      <c r="T388" s="551"/>
      <c r="U388" s="551"/>
      <c r="V388" s="551"/>
      <c r="W388" s="551"/>
      <c r="X388" s="551"/>
      <c r="Y388" s="551"/>
      <c r="Z388" s="551"/>
      <c r="AA388" s="551"/>
      <c r="AB388" s="551"/>
    </row>
    <row r="389" spans="1:28" ht="15.75" customHeight="1" x14ac:dyDescent="0.25">
      <c r="A389" s="2296" t="s">
        <v>39</v>
      </c>
      <c r="B389" s="2296"/>
      <c r="C389" s="2296"/>
      <c r="D389" s="2296"/>
      <c r="E389" s="2296"/>
      <c r="F389" s="2296"/>
      <c r="G389" s="2296"/>
      <c r="H389" s="2296"/>
      <c r="I389" s="2296"/>
      <c r="J389" s="1020">
        <f>SUM(J387:J388)</f>
        <v>96000</v>
      </c>
      <c r="K389" s="564">
        <v>0</v>
      </c>
      <c r="L389" s="739">
        <f>J389-K389</f>
        <v>96000</v>
      </c>
      <c r="M389" s="551"/>
      <c r="N389" s="551"/>
      <c r="O389" s="551"/>
      <c r="P389" s="551"/>
      <c r="Q389" s="551"/>
      <c r="R389" s="551"/>
      <c r="S389" s="551"/>
      <c r="T389" s="551"/>
      <c r="U389" s="551"/>
      <c r="V389" s="551"/>
      <c r="W389" s="551"/>
      <c r="X389" s="551"/>
      <c r="Y389" s="551"/>
      <c r="Z389" s="551"/>
      <c r="AA389" s="551"/>
      <c r="AB389" s="551"/>
    </row>
    <row r="390" spans="1:28" hidden="1" x14ac:dyDescent="0.25">
      <c r="A390" s="2258" t="s">
        <v>1147</v>
      </c>
      <c r="B390" s="2258"/>
      <c r="C390" s="2258"/>
      <c r="D390" s="2258"/>
      <c r="E390" s="2258"/>
      <c r="F390" s="2258"/>
      <c r="G390" s="2258"/>
      <c r="H390" s="2258"/>
      <c r="I390" s="2258"/>
      <c r="J390" s="569">
        <v>0</v>
      </c>
      <c r="K390" s="551"/>
      <c r="M390" s="551"/>
      <c r="N390" s="551"/>
      <c r="O390" s="551"/>
      <c r="P390" s="551"/>
      <c r="Q390" s="551"/>
      <c r="R390" s="551"/>
      <c r="S390" s="551"/>
      <c r="T390" s="551"/>
      <c r="U390" s="551"/>
      <c r="V390" s="551"/>
      <c r="W390" s="551"/>
      <c r="X390" s="551"/>
      <c r="Y390" s="551"/>
      <c r="Z390" s="551"/>
      <c r="AA390" s="551"/>
      <c r="AB390" s="551"/>
    </row>
    <row r="391" spans="1:28" x14ac:dyDescent="0.25">
      <c r="A391" s="779"/>
      <c r="B391" s="779"/>
      <c r="C391" s="779"/>
      <c r="D391" s="779"/>
      <c r="E391" s="779"/>
      <c r="F391" s="779"/>
      <c r="G391" s="779"/>
      <c r="H391" s="779"/>
      <c r="I391" s="779"/>
      <c r="J391" s="629"/>
      <c r="K391" s="550"/>
      <c r="M391" s="551"/>
      <c r="N391" s="551"/>
      <c r="O391" s="551"/>
      <c r="P391" s="551"/>
      <c r="Q391" s="551"/>
      <c r="R391" s="551"/>
      <c r="S391" s="551"/>
      <c r="T391" s="551"/>
      <c r="U391" s="551"/>
      <c r="V391" s="551"/>
      <c r="W391" s="551"/>
      <c r="X391" s="551"/>
      <c r="Y391" s="551"/>
      <c r="Z391" s="551"/>
      <c r="AA391" s="551"/>
      <c r="AB391" s="551"/>
    </row>
    <row r="392" spans="1:28" ht="15" customHeight="1" x14ac:dyDescent="0.25">
      <c r="A392" s="2302" t="s">
        <v>308</v>
      </c>
      <c r="B392" s="2302"/>
      <c r="C392" s="2302"/>
      <c r="D392" s="2302"/>
      <c r="E392" s="2302"/>
      <c r="F392" s="2302"/>
      <c r="G392" s="2302"/>
      <c r="H392" s="2302"/>
      <c r="I392" s="779"/>
      <c r="J392" s="629"/>
      <c r="K392" s="550"/>
      <c r="L392" s="550"/>
      <c r="M392" s="550"/>
      <c r="N392" s="550"/>
      <c r="O392" s="550"/>
      <c r="P392" s="551"/>
      <c r="Q392" s="551"/>
      <c r="R392" s="551"/>
      <c r="S392" s="551"/>
      <c r="T392" s="551"/>
      <c r="U392" s="551"/>
      <c r="V392" s="551"/>
      <c r="W392" s="551"/>
      <c r="X392" s="551"/>
      <c r="Y392" s="551"/>
      <c r="Z392" s="551"/>
      <c r="AA392" s="551"/>
      <c r="AB392" s="551"/>
    </row>
    <row r="393" spans="1:28" x14ac:dyDescent="0.25">
      <c r="A393" s="2183" t="s">
        <v>8</v>
      </c>
      <c r="B393" s="2183" t="s">
        <v>1</v>
      </c>
      <c r="C393" s="2183"/>
      <c r="D393" s="2183"/>
      <c r="E393" s="2183"/>
      <c r="F393" s="2295" t="s">
        <v>736</v>
      </c>
      <c r="G393" s="2183" t="s">
        <v>2046</v>
      </c>
      <c r="H393" s="2183" t="s">
        <v>735</v>
      </c>
      <c r="I393" s="2183"/>
      <c r="J393" s="2183"/>
      <c r="K393" s="552" t="s">
        <v>1478</v>
      </c>
      <c r="L393" s="550"/>
      <c r="M393" s="550"/>
      <c r="N393" s="550"/>
      <c r="O393" s="550"/>
      <c r="P393" s="551"/>
      <c r="Q393" s="551"/>
      <c r="R393" s="551"/>
      <c r="S393" s="551"/>
      <c r="T393" s="551"/>
      <c r="U393" s="551"/>
      <c r="V393" s="551"/>
      <c r="W393" s="551"/>
      <c r="X393" s="551"/>
      <c r="Y393" s="551"/>
      <c r="Z393" s="551"/>
      <c r="AA393" s="551"/>
      <c r="AB393" s="551"/>
    </row>
    <row r="394" spans="1:28" ht="47.25" customHeight="1" x14ac:dyDescent="0.25">
      <c r="A394" s="2183"/>
      <c r="B394" s="2183"/>
      <c r="C394" s="2183"/>
      <c r="D394" s="2183"/>
      <c r="E394" s="2183"/>
      <c r="F394" s="2295"/>
      <c r="G394" s="1411" t="s">
        <v>747</v>
      </c>
      <c r="H394" s="1411" t="s">
        <v>748</v>
      </c>
      <c r="I394" s="1411" t="s">
        <v>268</v>
      </c>
      <c r="J394" s="1411" t="s">
        <v>256</v>
      </c>
      <c r="K394" s="550"/>
      <c r="L394" s="550"/>
      <c r="M394" s="550"/>
      <c r="N394" s="550"/>
      <c r="O394" s="550"/>
      <c r="P394" s="551"/>
      <c r="Q394" s="551"/>
      <c r="R394" s="551"/>
      <c r="S394" s="551"/>
      <c r="T394" s="551"/>
      <c r="U394" s="551"/>
      <c r="V394" s="551"/>
      <c r="W394" s="551"/>
      <c r="X394" s="551"/>
      <c r="Y394" s="551"/>
      <c r="Z394" s="551"/>
      <c r="AA394" s="551"/>
      <c r="AB394" s="551"/>
    </row>
    <row r="395" spans="1:28" ht="28.5" customHeight="1" x14ac:dyDescent="0.25">
      <c r="A395" s="1411">
        <v>1</v>
      </c>
      <c r="B395" s="2258" t="s">
        <v>1487</v>
      </c>
      <c r="C395" s="2258"/>
      <c r="D395" s="2258"/>
      <c r="E395" s="2258"/>
      <c r="F395" s="1411" t="s">
        <v>108</v>
      </c>
      <c r="G395" s="630">
        <v>2</v>
      </c>
      <c r="H395" s="631">
        <v>12</v>
      </c>
      <c r="I395" s="632">
        <v>1500</v>
      </c>
      <c r="J395" s="633">
        <f>G395*H395*I395</f>
        <v>36000</v>
      </c>
      <c r="K395" s="564"/>
      <c r="L395" s="553"/>
      <c r="M395" s="550"/>
      <c r="N395" s="550"/>
      <c r="O395" s="550"/>
      <c r="P395" s="551"/>
      <c r="Q395" s="551"/>
      <c r="R395" s="551"/>
      <c r="S395" s="551"/>
      <c r="T395" s="551"/>
      <c r="U395" s="551"/>
      <c r="V395" s="551"/>
      <c r="W395" s="551"/>
      <c r="X395" s="551"/>
      <c r="Y395" s="551"/>
      <c r="Z395" s="551"/>
      <c r="AA395" s="551"/>
      <c r="AB395" s="551"/>
    </row>
    <row r="396" spans="1:28" x14ac:dyDescent="0.25">
      <c r="A396" s="2296" t="s">
        <v>39</v>
      </c>
      <c r="B396" s="2296"/>
      <c r="C396" s="2296"/>
      <c r="D396" s="2296"/>
      <c r="E396" s="2296"/>
      <c r="F396" s="2296"/>
      <c r="G396" s="2296"/>
      <c r="H396" s="2296"/>
      <c r="I396" s="2296"/>
      <c r="J396" s="1020">
        <f>SUM(J395:J395)</f>
        <v>36000</v>
      </c>
      <c r="K396" s="564">
        <v>0</v>
      </c>
      <c r="L396" s="739">
        <f>J396-K396</f>
        <v>36000</v>
      </c>
      <c r="M396" s="550"/>
      <c r="N396" s="550"/>
      <c r="O396" s="550"/>
      <c r="P396" s="551"/>
      <c r="Q396" s="551"/>
      <c r="R396" s="551"/>
      <c r="S396" s="551"/>
      <c r="T396" s="551"/>
      <c r="U396" s="551"/>
      <c r="V396" s="551"/>
      <c r="W396" s="551"/>
      <c r="X396" s="551"/>
      <c r="Y396" s="551"/>
      <c r="Z396" s="551"/>
      <c r="AA396" s="551"/>
      <c r="AB396" s="551"/>
    </row>
    <row r="397" spans="1:28" ht="15" hidden="1" customHeight="1" x14ac:dyDescent="0.25">
      <c r="A397" s="2264" t="s">
        <v>514</v>
      </c>
      <c r="B397" s="2265"/>
      <c r="C397" s="2265"/>
      <c r="D397" s="2265"/>
      <c r="E397" s="2265"/>
      <c r="F397" s="2265"/>
      <c r="G397" s="2265"/>
      <c r="H397" s="2265"/>
      <c r="I397" s="2265"/>
      <c r="J397" s="2265"/>
      <c r="L397" s="564"/>
      <c r="N397" s="551"/>
      <c r="O397" s="551"/>
      <c r="P397" s="551"/>
      <c r="Q397" s="551"/>
      <c r="R397" s="551"/>
      <c r="S397" s="551"/>
      <c r="T397" s="551"/>
      <c r="U397" s="551"/>
      <c r="V397" s="551"/>
      <c r="W397" s="551"/>
      <c r="X397" s="551"/>
      <c r="Y397" s="551"/>
      <c r="Z397" s="551"/>
      <c r="AA397" s="551"/>
      <c r="AB397" s="551"/>
    </row>
    <row r="398" spans="1:28" hidden="1" x14ac:dyDescent="0.25">
      <c r="A398" s="2266" t="s">
        <v>1134</v>
      </c>
      <c r="B398" s="2266"/>
      <c r="C398" s="2266"/>
      <c r="D398" s="2266"/>
      <c r="E398" s="2266"/>
      <c r="F398" s="2266"/>
      <c r="G398" s="2266"/>
      <c r="H398" s="2266"/>
      <c r="I398" s="2266"/>
      <c r="J398" s="1435">
        <v>0</v>
      </c>
      <c r="K398" s="564"/>
      <c r="L398" s="564"/>
      <c r="N398" s="551"/>
      <c r="O398" s="551"/>
      <c r="P398" s="551"/>
      <c r="Q398" s="551"/>
      <c r="R398" s="551"/>
      <c r="S398" s="551"/>
      <c r="T398" s="551"/>
      <c r="U398" s="551"/>
      <c r="V398" s="551"/>
      <c r="W398" s="551"/>
      <c r="X398" s="551"/>
      <c r="Y398" s="551"/>
      <c r="Z398" s="551"/>
      <c r="AA398" s="551"/>
      <c r="AB398" s="551"/>
    </row>
    <row r="399" spans="1:28" hidden="1" x14ac:dyDescent="0.25">
      <c r="A399" s="2266" t="s">
        <v>153</v>
      </c>
      <c r="B399" s="2266"/>
      <c r="C399" s="2266"/>
      <c r="D399" s="2266"/>
      <c r="E399" s="2266"/>
      <c r="F399" s="2266"/>
      <c r="G399" s="2266"/>
      <c r="H399" s="2266"/>
      <c r="I399" s="2266"/>
      <c r="J399" s="1403">
        <f>3000*6+3000</f>
        <v>21000</v>
      </c>
      <c r="N399" s="551"/>
      <c r="O399" s="551"/>
      <c r="P399" s="551"/>
      <c r="Q399" s="551"/>
      <c r="R399" s="551"/>
      <c r="S399" s="551"/>
      <c r="T399" s="551"/>
      <c r="U399" s="551"/>
      <c r="V399" s="551"/>
      <c r="W399" s="551"/>
      <c r="X399" s="551"/>
      <c r="Y399" s="551"/>
      <c r="Z399" s="551"/>
      <c r="AA399" s="551"/>
      <c r="AB399" s="551"/>
    </row>
    <row r="400" spans="1:28" ht="15" hidden="1" customHeight="1" x14ac:dyDescent="0.25">
      <c r="A400" s="2258" t="s">
        <v>619</v>
      </c>
      <c r="B400" s="2258"/>
      <c r="C400" s="2258"/>
      <c r="D400" s="2258"/>
      <c r="E400" s="2258"/>
      <c r="F400" s="2258"/>
      <c r="G400" s="2258"/>
      <c r="H400" s="2258"/>
      <c r="I400" s="2258"/>
      <c r="J400" s="624">
        <f>J396-J399</f>
        <v>15000</v>
      </c>
      <c r="L400" s="564"/>
      <c r="N400" s="551"/>
      <c r="O400" s="551"/>
      <c r="P400" s="551"/>
      <c r="Q400" s="551"/>
      <c r="R400" s="551"/>
      <c r="S400" s="551"/>
      <c r="T400" s="551"/>
      <c r="U400" s="551"/>
      <c r="V400" s="551"/>
      <c r="W400" s="551"/>
      <c r="X400" s="551"/>
      <c r="Y400" s="551"/>
      <c r="Z400" s="551"/>
      <c r="AA400" s="551"/>
      <c r="AB400" s="551"/>
    </row>
    <row r="401" spans="1:28" ht="15" hidden="1" customHeight="1" x14ac:dyDescent="0.25">
      <c r="A401" s="2258" t="s">
        <v>1147</v>
      </c>
      <c r="B401" s="2258"/>
      <c r="C401" s="2258"/>
      <c r="D401" s="2258"/>
      <c r="E401" s="2258"/>
      <c r="F401" s="2258"/>
      <c r="G401" s="2258"/>
      <c r="H401" s="2258"/>
      <c r="I401" s="2258"/>
      <c r="J401" s="569">
        <v>0</v>
      </c>
      <c r="L401" s="564"/>
      <c r="N401" s="551"/>
      <c r="O401" s="551"/>
      <c r="P401" s="551"/>
      <c r="Q401" s="551"/>
      <c r="R401" s="551"/>
      <c r="S401" s="551"/>
      <c r="T401" s="551"/>
      <c r="U401" s="551"/>
      <c r="V401" s="551"/>
      <c r="W401" s="551"/>
      <c r="X401" s="551"/>
      <c r="Y401" s="551"/>
      <c r="Z401" s="551"/>
      <c r="AA401" s="551"/>
      <c r="AB401" s="551"/>
    </row>
    <row r="402" spans="1:28" ht="15" customHeight="1" x14ac:dyDescent="0.25">
      <c r="A402" s="652"/>
      <c r="B402" s="652"/>
      <c r="C402" s="652"/>
      <c r="D402" s="652"/>
      <c r="E402" s="652"/>
      <c r="F402" s="652"/>
      <c r="G402" s="652"/>
      <c r="H402" s="653"/>
      <c r="I402" s="654"/>
      <c r="J402" s="654"/>
      <c r="L402" s="564"/>
      <c r="N402" s="551"/>
      <c r="O402" s="551"/>
      <c r="P402" s="551"/>
      <c r="Q402" s="551"/>
      <c r="R402" s="551"/>
      <c r="S402" s="551"/>
      <c r="T402" s="551"/>
      <c r="U402" s="551"/>
      <c r="V402" s="551"/>
      <c r="W402" s="551"/>
      <c r="X402" s="551"/>
      <c r="Y402" s="551"/>
      <c r="Z402" s="551"/>
      <c r="AA402" s="551"/>
      <c r="AB402" s="551"/>
    </row>
    <row r="403" spans="1:28" ht="15" hidden="1" customHeight="1" x14ac:dyDescent="0.25">
      <c r="A403" s="2258" t="s">
        <v>1147</v>
      </c>
      <c r="B403" s="2258"/>
      <c r="C403" s="2258"/>
      <c r="D403" s="2258"/>
      <c r="E403" s="2258"/>
      <c r="F403" s="2258"/>
      <c r="G403" s="2258"/>
      <c r="H403" s="2258"/>
      <c r="I403" s="2258"/>
      <c r="J403" s="569">
        <v>0</v>
      </c>
      <c r="L403" s="564"/>
      <c r="N403" s="551"/>
      <c r="O403" s="551"/>
      <c r="P403" s="551"/>
      <c r="Q403" s="551"/>
      <c r="R403" s="551"/>
      <c r="S403" s="551"/>
      <c r="T403" s="551"/>
      <c r="U403" s="551"/>
      <c r="V403" s="551"/>
      <c r="W403" s="551"/>
      <c r="X403" s="551"/>
      <c r="Y403" s="551"/>
      <c r="Z403" s="551"/>
      <c r="AA403" s="551"/>
      <c r="AB403" s="551"/>
    </row>
    <row r="404" spans="1:28" x14ac:dyDescent="0.25">
      <c r="A404" s="1449" t="s">
        <v>323</v>
      </c>
      <c r="L404" s="564"/>
      <c r="N404" s="551"/>
      <c r="O404" s="551"/>
      <c r="P404" s="551"/>
      <c r="Q404" s="551"/>
      <c r="R404" s="551"/>
      <c r="S404" s="551"/>
      <c r="T404" s="551"/>
      <c r="U404" s="551"/>
      <c r="V404" s="551"/>
      <c r="W404" s="551"/>
      <c r="X404" s="551"/>
      <c r="Y404" s="551"/>
      <c r="Z404" s="551"/>
      <c r="AA404" s="551"/>
      <c r="AB404" s="551"/>
    </row>
    <row r="405" spans="1:28" ht="15" customHeight="1" x14ac:dyDescent="0.25">
      <c r="A405" s="2183" t="s">
        <v>8</v>
      </c>
      <c r="B405" s="2192" t="s">
        <v>1</v>
      </c>
      <c r="C405" s="2157"/>
      <c r="D405" s="2158"/>
      <c r="E405" s="2183" t="s">
        <v>1664</v>
      </c>
      <c r="F405" s="2183" t="s">
        <v>271</v>
      </c>
      <c r="G405" s="2183" t="s">
        <v>2046</v>
      </c>
      <c r="H405" s="2183"/>
      <c r="I405" s="2183"/>
      <c r="J405" s="2183"/>
      <c r="K405" s="552" t="s">
        <v>1478</v>
      </c>
      <c r="L405" s="564"/>
      <c r="N405" s="551"/>
      <c r="O405" s="551"/>
      <c r="P405" s="551"/>
      <c r="Q405" s="551"/>
      <c r="R405" s="551"/>
      <c r="S405" s="551"/>
      <c r="T405" s="551"/>
      <c r="U405" s="551"/>
      <c r="V405" s="551"/>
      <c r="W405" s="551"/>
      <c r="X405" s="551"/>
      <c r="Y405" s="551"/>
      <c r="Z405" s="551"/>
      <c r="AA405" s="551"/>
      <c r="AB405" s="551"/>
    </row>
    <row r="406" spans="1:28" ht="31.5" customHeight="1" x14ac:dyDescent="0.25">
      <c r="A406" s="2183"/>
      <c r="B406" s="2159"/>
      <c r="C406" s="2160"/>
      <c r="D406" s="2161"/>
      <c r="E406" s="2183"/>
      <c r="F406" s="2183"/>
      <c r="G406" s="1408" t="s">
        <v>267</v>
      </c>
      <c r="H406" s="1408" t="s">
        <v>749</v>
      </c>
      <c r="I406" s="1434" t="s">
        <v>253</v>
      </c>
      <c r="J406" s="1434" t="s">
        <v>256</v>
      </c>
      <c r="L406" s="564"/>
      <c r="N406" s="551"/>
      <c r="O406" s="551"/>
      <c r="P406" s="551"/>
      <c r="Q406" s="551"/>
      <c r="R406" s="551"/>
      <c r="S406" s="551"/>
      <c r="T406" s="551"/>
      <c r="U406" s="551"/>
      <c r="V406" s="551"/>
      <c r="W406" s="551"/>
      <c r="X406" s="551"/>
      <c r="Y406" s="551"/>
      <c r="Z406" s="551"/>
      <c r="AA406" s="551"/>
      <c r="AB406" s="551"/>
    </row>
    <row r="407" spans="1:28" x14ac:dyDescent="0.25">
      <c r="A407" s="1902" t="s">
        <v>1168</v>
      </c>
      <c r="B407" s="2104"/>
      <c r="C407" s="2105"/>
      <c r="D407" s="2104"/>
      <c r="E407" s="2104"/>
      <c r="F407" s="2104"/>
      <c r="G407" s="2104"/>
      <c r="H407" s="2104"/>
      <c r="I407" s="2104"/>
      <c r="J407" s="2106"/>
      <c r="L407" s="612"/>
      <c r="N407" s="551"/>
      <c r="O407" s="551"/>
      <c r="P407" s="551"/>
      <c r="Q407" s="551"/>
      <c r="R407" s="551"/>
      <c r="S407" s="551"/>
      <c r="T407" s="551"/>
      <c r="U407" s="551"/>
      <c r="V407" s="551"/>
      <c r="W407" s="551"/>
      <c r="X407" s="551"/>
      <c r="Y407" s="551"/>
      <c r="Z407" s="551"/>
      <c r="AA407" s="551"/>
      <c r="AB407" s="551"/>
    </row>
    <row r="408" spans="1:28" x14ac:dyDescent="0.25">
      <c r="A408" s="1447">
        <v>1</v>
      </c>
      <c r="B408" s="1453" t="s">
        <v>727</v>
      </c>
      <c r="C408" s="1453"/>
      <c r="D408" s="1453"/>
      <c r="E408" s="676" t="s">
        <v>1676</v>
      </c>
      <c r="F408" s="1434">
        <v>600</v>
      </c>
      <c r="G408" s="1434">
        <v>10</v>
      </c>
      <c r="H408" s="513">
        <v>1</v>
      </c>
      <c r="I408" s="513">
        <v>4</v>
      </c>
      <c r="J408" s="1434">
        <f>G408*H408*I408*F408</f>
        <v>24000</v>
      </c>
      <c r="K408" s="577"/>
      <c r="L408" s="945"/>
      <c r="N408" s="945"/>
      <c r="P408" s="945"/>
      <c r="R408" s="945"/>
      <c r="T408" s="945"/>
      <c r="U408" s="551"/>
      <c r="V408" s="551"/>
      <c r="W408" s="551"/>
      <c r="X408" s="551"/>
      <c r="Y408" s="551"/>
      <c r="Z408" s="551"/>
      <c r="AA408" s="551"/>
      <c r="AB408" s="551"/>
    </row>
    <row r="409" spans="1:28" x14ac:dyDescent="0.25">
      <c r="A409" s="1447">
        <v>2</v>
      </c>
      <c r="B409" s="2283" t="s">
        <v>726</v>
      </c>
      <c r="C409" s="2219"/>
      <c r="D409" s="2219"/>
      <c r="E409" s="676" t="s">
        <v>1676</v>
      </c>
      <c r="F409" s="1434">
        <v>3610</v>
      </c>
      <c r="G409" s="1434">
        <v>12</v>
      </c>
      <c r="H409" s="513">
        <f>1</f>
        <v>1</v>
      </c>
      <c r="I409" s="513">
        <v>6</v>
      </c>
      <c r="J409" s="1434">
        <f>G409*H409*I409*F409</f>
        <v>259920</v>
      </c>
      <c r="K409" s="577"/>
      <c r="L409" s="945"/>
      <c r="N409" s="945"/>
      <c r="P409" s="945"/>
      <c r="R409" s="945"/>
      <c r="T409" s="945"/>
      <c r="U409" s="551"/>
      <c r="V409" s="551"/>
      <c r="W409" s="551"/>
      <c r="X409" s="551"/>
      <c r="Y409" s="551"/>
      <c r="Z409" s="551"/>
      <c r="AA409" s="551"/>
      <c r="AB409" s="551"/>
    </row>
    <row r="410" spans="1:28" ht="15" customHeight="1" x14ac:dyDescent="0.25">
      <c r="A410" s="2181" t="s">
        <v>39</v>
      </c>
      <c r="B410" s="2181"/>
      <c r="C410" s="2181"/>
      <c r="D410" s="2181"/>
      <c r="E410" s="2181"/>
      <c r="F410" s="2181"/>
      <c r="G410" s="2181"/>
      <c r="H410" s="2181"/>
      <c r="I410" s="2181"/>
      <c r="J410" s="1406">
        <f>SUM(J408:J409)</f>
        <v>283920</v>
      </c>
      <c r="K410" s="564">
        <v>0</v>
      </c>
      <c r="L410" s="739">
        <f>J410-K410</f>
        <v>283920</v>
      </c>
      <c r="M410" s="579"/>
      <c r="O410" s="579"/>
      <c r="Q410" s="579"/>
      <c r="S410" s="579"/>
      <c r="U410" s="551"/>
      <c r="V410" s="551"/>
      <c r="W410" s="551"/>
      <c r="X410" s="551"/>
      <c r="Y410" s="551"/>
      <c r="Z410" s="551"/>
      <c r="AA410" s="551"/>
      <c r="AB410" s="551"/>
    </row>
    <row r="411" spans="1:28" hidden="1" x14ac:dyDescent="0.25">
      <c r="A411" s="2264" t="s">
        <v>514</v>
      </c>
      <c r="B411" s="2265"/>
      <c r="C411" s="2265"/>
      <c r="D411" s="2265"/>
      <c r="E411" s="2265"/>
      <c r="F411" s="2265"/>
      <c r="G411" s="2265"/>
      <c r="H411" s="2265"/>
      <c r="I411" s="2265"/>
      <c r="J411" s="2265"/>
      <c r="U411" s="551"/>
      <c r="V411" s="551"/>
      <c r="W411" s="551"/>
      <c r="X411" s="551"/>
      <c r="Y411" s="551"/>
      <c r="Z411" s="551"/>
      <c r="AA411" s="551"/>
      <c r="AB411" s="551"/>
    </row>
    <row r="412" spans="1:28" hidden="1" x14ac:dyDescent="0.25">
      <c r="A412" s="2266" t="s">
        <v>1134</v>
      </c>
      <c r="B412" s="2266"/>
      <c r="C412" s="2266"/>
      <c r="D412" s="2266"/>
      <c r="E412" s="2266"/>
      <c r="F412" s="2266"/>
      <c r="G412" s="2266"/>
      <c r="H412" s="2266"/>
      <c r="I412" s="2266"/>
      <c r="J412" s="1435">
        <v>0</v>
      </c>
      <c r="K412" s="551"/>
      <c r="Q412" s="551"/>
      <c r="R412" s="551"/>
      <c r="S412" s="551"/>
      <c r="T412" s="551"/>
      <c r="U412" s="551"/>
      <c r="V412" s="551"/>
      <c r="W412" s="551"/>
      <c r="X412" s="551"/>
      <c r="Y412" s="551"/>
      <c r="Z412" s="551"/>
      <c r="AA412" s="551"/>
      <c r="AB412" s="551"/>
    </row>
    <row r="413" spans="1:28" hidden="1" x14ac:dyDescent="0.25">
      <c r="A413" s="2266" t="s">
        <v>153</v>
      </c>
      <c r="B413" s="2266"/>
      <c r="C413" s="2266"/>
      <c r="D413" s="2266"/>
      <c r="E413" s="2266"/>
      <c r="F413" s="2266"/>
      <c r="G413" s="2266"/>
      <c r="H413" s="2266"/>
      <c r="I413" s="2266"/>
      <c r="J413" s="724">
        <v>161280</v>
      </c>
      <c r="K413" s="551"/>
      <c r="L413" s="551"/>
      <c r="Q413" s="551"/>
      <c r="R413" s="551"/>
      <c r="S413" s="551"/>
      <c r="T413" s="551"/>
      <c r="U413" s="551"/>
      <c r="V413" s="551"/>
      <c r="W413" s="551"/>
      <c r="X413" s="551"/>
      <c r="Y413" s="551"/>
      <c r="Z413" s="551"/>
      <c r="AA413" s="551"/>
      <c r="AB413" s="551"/>
    </row>
    <row r="414" spans="1:28" ht="15" hidden="1" customHeight="1" x14ac:dyDescent="0.25">
      <c r="A414" s="2258" t="s">
        <v>619</v>
      </c>
      <c r="B414" s="2258"/>
      <c r="C414" s="2258"/>
      <c r="D414" s="2258"/>
      <c r="E414" s="2258"/>
      <c r="F414" s="2258"/>
      <c r="G414" s="2258"/>
      <c r="H414" s="2258"/>
      <c r="I414" s="2258"/>
      <c r="J414" s="821">
        <f>J410-J412-J413-J415</f>
        <v>122640</v>
      </c>
      <c r="K414" s="564"/>
      <c r="L414" s="739"/>
      <c r="Q414" s="551"/>
      <c r="R414" s="551"/>
      <c r="S414" s="551"/>
      <c r="T414" s="551"/>
      <c r="U414" s="551"/>
      <c r="V414" s="551"/>
      <c r="W414" s="551"/>
      <c r="X414" s="551"/>
      <c r="Y414" s="551"/>
      <c r="Z414" s="551"/>
      <c r="AA414" s="551"/>
      <c r="AB414" s="551"/>
    </row>
    <row r="415" spans="1:28" ht="15" hidden="1" customHeight="1" x14ac:dyDescent="0.25">
      <c r="A415" s="2258" t="s">
        <v>1147</v>
      </c>
      <c r="B415" s="2258"/>
      <c r="C415" s="2258"/>
      <c r="D415" s="2258"/>
      <c r="E415" s="2258"/>
      <c r="F415" s="2258"/>
      <c r="G415" s="2258"/>
      <c r="H415" s="2258"/>
      <c r="I415" s="2258"/>
      <c r="J415" s="569">
        <v>0</v>
      </c>
      <c r="Q415" s="551"/>
      <c r="R415" s="551"/>
      <c r="S415" s="551"/>
      <c r="T415" s="551"/>
      <c r="U415" s="551"/>
      <c r="V415" s="551"/>
      <c r="W415" s="551"/>
      <c r="X415" s="551"/>
      <c r="Y415" s="551"/>
      <c r="Z415" s="551"/>
      <c r="AA415" s="551"/>
      <c r="AB415" s="551"/>
    </row>
    <row r="416" spans="1:28" ht="15" customHeight="1" x14ac:dyDescent="0.25">
      <c r="A416" s="652"/>
      <c r="B416" s="652"/>
      <c r="C416" s="652"/>
      <c r="D416" s="652"/>
      <c r="E416" s="652"/>
      <c r="F416" s="652"/>
      <c r="G416" s="652"/>
      <c r="H416" s="653"/>
      <c r="I416" s="654"/>
      <c r="J416" s="654"/>
      <c r="Q416" s="551"/>
      <c r="R416" s="551"/>
      <c r="S416" s="551"/>
      <c r="T416" s="551"/>
      <c r="U416" s="551"/>
      <c r="V416" s="551"/>
      <c r="W416" s="551"/>
      <c r="X416" s="551"/>
      <c r="Y416" s="551"/>
      <c r="Z416" s="551"/>
      <c r="AA416" s="551"/>
      <c r="AB416" s="551"/>
    </row>
    <row r="417" spans="1:28" ht="15" customHeight="1" x14ac:dyDescent="0.25">
      <c r="A417" s="1449" t="s">
        <v>323</v>
      </c>
      <c r="Q417" s="551"/>
      <c r="R417" s="551"/>
      <c r="S417" s="551"/>
      <c r="T417" s="551"/>
      <c r="U417" s="551"/>
      <c r="V417" s="551"/>
      <c r="W417" s="551"/>
      <c r="X417" s="551"/>
      <c r="Y417" s="551"/>
      <c r="Z417" s="551"/>
      <c r="AA417" s="551"/>
      <c r="AB417" s="551"/>
    </row>
    <row r="418" spans="1:28" ht="15" customHeight="1" x14ac:dyDescent="0.25">
      <c r="A418" s="2183" t="s">
        <v>8</v>
      </c>
      <c r="B418" s="2192" t="s">
        <v>1</v>
      </c>
      <c r="C418" s="2157"/>
      <c r="D418" s="2158"/>
      <c r="E418" s="2183" t="s">
        <v>1664</v>
      </c>
      <c r="F418" s="2183" t="s">
        <v>271</v>
      </c>
      <c r="G418" s="2183" t="s">
        <v>2046</v>
      </c>
      <c r="H418" s="2183"/>
      <c r="I418" s="2183"/>
      <c r="J418" s="2183"/>
      <c r="K418" s="552" t="s">
        <v>1478</v>
      </c>
      <c r="Q418" s="551"/>
      <c r="R418" s="551"/>
      <c r="S418" s="551"/>
      <c r="T418" s="551"/>
      <c r="U418" s="551"/>
      <c r="V418" s="551"/>
      <c r="W418" s="551"/>
      <c r="X418" s="551"/>
      <c r="Y418" s="551"/>
      <c r="Z418" s="551"/>
      <c r="AA418" s="551"/>
      <c r="AB418" s="551"/>
    </row>
    <row r="419" spans="1:28" ht="30.75" customHeight="1" x14ac:dyDescent="0.25">
      <c r="A419" s="2183"/>
      <c r="B419" s="2159"/>
      <c r="C419" s="2160"/>
      <c r="D419" s="2161"/>
      <c r="E419" s="2183"/>
      <c r="F419" s="2183"/>
      <c r="G419" s="1408" t="s">
        <v>267</v>
      </c>
      <c r="H419" s="1408" t="s">
        <v>749</v>
      </c>
      <c r="I419" s="1434" t="s">
        <v>253</v>
      </c>
      <c r="J419" s="1434" t="s">
        <v>256</v>
      </c>
      <c r="Q419" s="551"/>
      <c r="R419" s="551"/>
      <c r="S419" s="551"/>
      <c r="T419" s="551"/>
      <c r="U419" s="551"/>
      <c r="V419" s="551"/>
      <c r="W419" s="551"/>
      <c r="X419" s="551"/>
      <c r="Y419" s="551"/>
      <c r="Z419" s="551"/>
      <c r="AA419" s="551"/>
      <c r="AB419" s="551"/>
    </row>
    <row r="420" spans="1:28" x14ac:dyDescent="0.25">
      <c r="A420" s="1902" t="s">
        <v>725</v>
      </c>
      <c r="B420" s="2104"/>
      <c r="C420" s="2105"/>
      <c r="D420" s="2104"/>
      <c r="E420" s="2104"/>
      <c r="F420" s="2104"/>
      <c r="G420" s="2104"/>
      <c r="H420" s="2104"/>
      <c r="I420" s="2104"/>
      <c r="J420" s="2106"/>
      <c r="L420" s="564"/>
      <c r="N420" s="551"/>
      <c r="P420" s="551"/>
      <c r="Q420" s="551"/>
      <c r="R420" s="551"/>
      <c r="S420" s="551"/>
      <c r="T420" s="551"/>
      <c r="U420" s="551"/>
      <c r="V420" s="551"/>
      <c r="W420" s="551"/>
      <c r="X420" s="551"/>
      <c r="Y420" s="551"/>
      <c r="Z420" s="551"/>
      <c r="AA420" s="551"/>
      <c r="AB420" s="551"/>
    </row>
    <row r="421" spans="1:28" ht="15" customHeight="1" x14ac:dyDescent="0.25">
      <c r="A421" s="1447">
        <v>1</v>
      </c>
      <c r="B421" s="1453" t="s">
        <v>727</v>
      </c>
      <c r="C421" s="1453"/>
      <c r="D421" s="1453"/>
      <c r="E421" s="676" t="s">
        <v>1676</v>
      </c>
      <c r="F421" s="1434">
        <v>550</v>
      </c>
      <c r="G421" s="1434">
        <v>10</v>
      </c>
      <c r="H421" s="513">
        <v>1</v>
      </c>
      <c r="I421" s="513">
        <v>4</v>
      </c>
      <c r="J421" s="1434">
        <f>G421*H421*I421*F421</f>
        <v>22000</v>
      </c>
      <c r="K421" s="577"/>
      <c r="L421" s="945"/>
      <c r="N421" s="945"/>
      <c r="P421" s="945"/>
      <c r="R421" s="945"/>
      <c r="T421" s="551"/>
      <c r="U421" s="551"/>
      <c r="V421" s="551"/>
      <c r="W421" s="551"/>
      <c r="X421" s="551"/>
      <c r="Y421" s="551"/>
      <c r="Z421" s="551"/>
      <c r="AA421" s="551"/>
      <c r="AB421" s="551"/>
    </row>
    <row r="422" spans="1:28" ht="29.25" customHeight="1" x14ac:dyDescent="0.25">
      <c r="A422" s="1447">
        <v>2</v>
      </c>
      <c r="B422" s="2243" t="s">
        <v>751</v>
      </c>
      <c r="C422" s="2163"/>
      <c r="D422" s="2244"/>
      <c r="E422" s="676" t="s">
        <v>1676</v>
      </c>
      <c r="F422" s="1434">
        <v>45</v>
      </c>
      <c r="G422" s="1434">
        <v>40.630000000000003</v>
      </c>
      <c r="H422" s="513">
        <v>1</v>
      </c>
      <c r="I422" s="513">
        <v>3</v>
      </c>
      <c r="J422" s="1434">
        <f>G422*H422*I422*F422</f>
        <v>5485.05</v>
      </c>
      <c r="K422" s="577"/>
      <c r="L422" s="945"/>
      <c r="N422" s="945"/>
      <c r="P422" s="945"/>
      <c r="R422" s="945"/>
      <c r="T422" s="551"/>
      <c r="U422" s="551"/>
      <c r="V422" s="551"/>
      <c r="W422" s="551"/>
      <c r="X422" s="551"/>
      <c r="Y422" s="551"/>
      <c r="Z422" s="551"/>
      <c r="AA422" s="551"/>
      <c r="AB422" s="551"/>
    </row>
    <row r="423" spans="1:28" ht="15" customHeight="1" x14ac:dyDescent="0.25">
      <c r="A423" s="1447">
        <v>3</v>
      </c>
      <c r="B423" s="2283" t="s">
        <v>726</v>
      </c>
      <c r="C423" s="2219"/>
      <c r="D423" s="2219"/>
      <c r="E423" s="676" t="s">
        <v>1676</v>
      </c>
      <c r="F423" s="1434">
        <v>4130</v>
      </c>
      <c r="G423" s="1434">
        <v>12</v>
      </c>
      <c r="H423" s="513">
        <v>1</v>
      </c>
      <c r="I423" s="513">
        <v>5</v>
      </c>
      <c r="J423" s="1434">
        <f>G423*H423*I423*F423</f>
        <v>247800</v>
      </c>
      <c r="K423" s="577"/>
      <c r="L423" s="945"/>
      <c r="N423" s="945"/>
      <c r="P423" s="945"/>
      <c r="R423" s="945"/>
      <c r="T423" s="551"/>
      <c r="U423" s="551"/>
      <c r="V423" s="551"/>
      <c r="W423" s="551"/>
      <c r="X423" s="551"/>
      <c r="Y423" s="551"/>
      <c r="Z423" s="551"/>
      <c r="AA423" s="551"/>
      <c r="AB423" s="551"/>
    </row>
    <row r="424" spans="1:28" ht="15" customHeight="1" x14ac:dyDescent="0.25">
      <c r="A424" s="2181" t="s">
        <v>39</v>
      </c>
      <c r="B424" s="2181"/>
      <c r="C424" s="2181"/>
      <c r="D424" s="2181"/>
      <c r="E424" s="2181"/>
      <c r="F424" s="2181"/>
      <c r="G424" s="2181"/>
      <c r="H424" s="2181"/>
      <c r="I424" s="2181"/>
      <c r="J424" s="1406">
        <f>SUM(J421:J423)</f>
        <v>275285.05</v>
      </c>
      <c r="K424" s="564">
        <v>0</v>
      </c>
      <c r="L424" s="739">
        <f>J424-K424</f>
        <v>275285.05</v>
      </c>
      <c r="M424" s="579"/>
      <c r="N424" s="945"/>
      <c r="O424" s="579"/>
      <c r="P424" s="945"/>
      <c r="Q424" s="579"/>
      <c r="R424" s="945"/>
      <c r="S424" s="551"/>
      <c r="T424" s="551"/>
      <c r="U424" s="551"/>
      <c r="V424" s="551"/>
      <c r="W424" s="551"/>
      <c r="X424" s="551"/>
      <c r="Y424" s="551"/>
      <c r="Z424" s="551"/>
      <c r="AA424" s="551"/>
      <c r="AB424" s="551"/>
    </row>
    <row r="425" spans="1:28" ht="15" hidden="1" customHeight="1" x14ac:dyDescent="0.25">
      <c r="A425" s="2264" t="s">
        <v>514</v>
      </c>
      <c r="B425" s="2265"/>
      <c r="C425" s="2265"/>
      <c r="D425" s="2265"/>
      <c r="E425" s="2265"/>
      <c r="F425" s="2265"/>
      <c r="G425" s="2265"/>
      <c r="H425" s="2265"/>
      <c r="I425" s="2265"/>
      <c r="J425" s="2265"/>
      <c r="M425" s="579"/>
      <c r="O425" s="579"/>
      <c r="Q425" s="579"/>
      <c r="S425" s="551"/>
      <c r="T425" s="551"/>
      <c r="U425" s="551"/>
      <c r="V425" s="551"/>
      <c r="W425" s="551"/>
      <c r="X425" s="551"/>
      <c r="Y425" s="551"/>
      <c r="Z425" s="551"/>
      <c r="AA425" s="551"/>
      <c r="AB425" s="551"/>
    </row>
    <row r="426" spans="1:28" ht="15" hidden="1" customHeight="1" x14ac:dyDescent="0.25">
      <c r="A426" s="2266" t="s">
        <v>1134</v>
      </c>
      <c r="B426" s="2266"/>
      <c r="C426" s="2266"/>
      <c r="D426" s="2266"/>
      <c r="E426" s="2266"/>
      <c r="F426" s="2266"/>
      <c r="G426" s="2266"/>
      <c r="H426" s="2266"/>
      <c r="I426" s="2266"/>
      <c r="J426" s="1435">
        <v>0</v>
      </c>
      <c r="P426" s="551"/>
      <c r="Q426" s="551"/>
      <c r="R426" s="551"/>
      <c r="S426" s="551"/>
      <c r="T426" s="551"/>
      <c r="U426" s="551"/>
      <c r="V426" s="551"/>
      <c r="W426" s="551"/>
      <c r="X426" s="551"/>
      <c r="Y426" s="551"/>
      <c r="Z426" s="551"/>
      <c r="AA426" s="551"/>
      <c r="AB426" s="551"/>
    </row>
    <row r="427" spans="1:28" ht="15" hidden="1" customHeight="1" x14ac:dyDescent="0.25">
      <c r="A427" s="2266" t="s">
        <v>153</v>
      </c>
      <c r="B427" s="2266"/>
      <c r="C427" s="2266"/>
      <c r="D427" s="2266"/>
      <c r="E427" s="2266"/>
      <c r="F427" s="2266"/>
      <c r="G427" s="2266"/>
      <c r="H427" s="2266"/>
      <c r="I427" s="2266"/>
      <c r="J427" s="724">
        <v>168396.7</v>
      </c>
      <c r="K427" s="551"/>
      <c r="L427" s="551"/>
      <c r="P427" s="551"/>
      <c r="Q427" s="551"/>
      <c r="R427" s="551"/>
      <c r="S427" s="551"/>
      <c r="T427" s="551"/>
      <c r="U427" s="551"/>
      <c r="V427" s="551"/>
      <c r="W427" s="551"/>
      <c r="X427" s="551"/>
      <c r="Y427" s="551"/>
      <c r="Z427" s="551"/>
      <c r="AA427" s="551"/>
      <c r="AB427" s="551"/>
    </row>
    <row r="428" spans="1:28" ht="15" hidden="1" customHeight="1" x14ac:dyDescent="0.25">
      <c r="A428" s="2258" t="s">
        <v>619</v>
      </c>
      <c r="B428" s="2258"/>
      <c r="C428" s="2258"/>
      <c r="D428" s="2258"/>
      <c r="E428" s="2258"/>
      <c r="F428" s="2258"/>
      <c r="G428" s="2258"/>
      <c r="H428" s="2258"/>
      <c r="I428" s="2258"/>
      <c r="J428" s="821">
        <f>J424-J426-J427-J429</f>
        <v>106888.35</v>
      </c>
      <c r="K428" s="564"/>
      <c r="L428" s="739"/>
      <c r="P428" s="551"/>
      <c r="Q428" s="551"/>
      <c r="R428" s="551"/>
      <c r="S428" s="551"/>
      <c r="T428" s="551"/>
      <c r="U428" s="551"/>
      <c r="V428" s="551"/>
      <c r="W428" s="551"/>
      <c r="X428" s="551"/>
      <c r="Y428" s="551"/>
      <c r="Z428" s="551"/>
      <c r="AA428" s="551"/>
      <c r="AB428" s="551"/>
    </row>
    <row r="429" spans="1:28" ht="15" hidden="1" customHeight="1" x14ac:dyDescent="0.25">
      <c r="A429" s="2258" t="s">
        <v>1147</v>
      </c>
      <c r="B429" s="2258"/>
      <c r="C429" s="2258"/>
      <c r="D429" s="2258"/>
      <c r="E429" s="2258"/>
      <c r="F429" s="2258"/>
      <c r="G429" s="2258"/>
      <c r="H429" s="2258"/>
      <c r="I429" s="2258"/>
      <c r="J429" s="569">
        <v>0</v>
      </c>
      <c r="L429" s="739">
        <f>J429-K429</f>
        <v>0</v>
      </c>
      <c r="P429" s="551"/>
      <c r="Q429" s="551"/>
      <c r="R429" s="551"/>
      <c r="S429" s="551"/>
      <c r="T429" s="551"/>
      <c r="U429" s="551"/>
      <c r="V429" s="551"/>
      <c r="W429" s="551"/>
      <c r="X429" s="551"/>
      <c r="Y429" s="551"/>
      <c r="Z429" s="551"/>
      <c r="AA429" s="551"/>
      <c r="AB429" s="551"/>
    </row>
    <row r="430" spans="1:28" ht="15" customHeight="1" x14ac:dyDescent="0.25">
      <c r="A430" s="652"/>
      <c r="B430" s="652"/>
      <c r="C430" s="652"/>
      <c r="D430" s="652"/>
      <c r="E430" s="652"/>
      <c r="F430" s="652"/>
      <c r="G430" s="652"/>
      <c r="H430" s="653"/>
      <c r="I430" s="654"/>
      <c r="J430" s="654"/>
      <c r="P430" s="551"/>
      <c r="Q430" s="551"/>
      <c r="R430" s="551"/>
      <c r="S430" s="551"/>
      <c r="T430" s="551"/>
      <c r="U430" s="551"/>
      <c r="V430" s="551"/>
      <c r="W430" s="551"/>
      <c r="X430" s="551"/>
      <c r="Y430" s="551"/>
      <c r="Z430" s="551"/>
      <c r="AA430" s="551"/>
      <c r="AB430" s="551"/>
    </row>
    <row r="431" spans="1:28" ht="15" customHeight="1" x14ac:dyDescent="0.25">
      <c r="A431" s="799" t="s">
        <v>308</v>
      </c>
      <c r="B431" s="799"/>
      <c r="C431" s="799"/>
      <c r="D431" s="799"/>
      <c r="E431" s="799"/>
      <c r="F431" s="799"/>
      <c r="G431" s="799"/>
      <c r="H431" s="502"/>
      <c r="I431" s="502"/>
      <c r="J431" s="502"/>
      <c r="K431" s="61"/>
      <c r="L431" s="75"/>
      <c r="P431" s="551"/>
      <c r="Q431" s="551"/>
      <c r="R431" s="551"/>
      <c r="S431" s="551"/>
      <c r="T431" s="551"/>
      <c r="U431" s="551"/>
      <c r="V431" s="551"/>
      <c r="W431" s="551"/>
      <c r="X431" s="551"/>
      <c r="Y431" s="551"/>
      <c r="Z431" s="551"/>
      <c r="AA431" s="551"/>
      <c r="AB431" s="551"/>
    </row>
    <row r="432" spans="1:28" ht="15" customHeight="1" x14ac:dyDescent="0.25">
      <c r="A432" s="2170" t="s">
        <v>8</v>
      </c>
      <c r="B432" s="2192" t="s">
        <v>35</v>
      </c>
      <c r="C432" s="2202"/>
      <c r="D432" s="2202"/>
      <c r="E432" s="2202"/>
      <c r="F432" s="2220"/>
      <c r="G432" s="2170" t="s">
        <v>2046</v>
      </c>
      <c r="H432" s="2170"/>
      <c r="I432" s="2170"/>
      <c r="J432" s="2170"/>
      <c r="K432" s="61" t="s">
        <v>1478</v>
      </c>
      <c r="L432" s="75"/>
      <c r="P432" s="551"/>
      <c r="Q432" s="551"/>
      <c r="R432" s="551"/>
      <c r="S432" s="551"/>
      <c r="T432" s="551"/>
      <c r="U432" s="551"/>
      <c r="V432" s="551"/>
      <c r="W432" s="551"/>
      <c r="X432" s="551"/>
      <c r="Y432" s="551"/>
      <c r="Z432" s="551"/>
      <c r="AA432" s="551"/>
      <c r="AB432" s="551"/>
    </row>
    <row r="433" spans="1:28" ht="15" customHeight="1" x14ac:dyDescent="0.25">
      <c r="A433" s="2170"/>
      <c r="B433" s="2206"/>
      <c r="C433" s="2207"/>
      <c r="D433" s="2207"/>
      <c r="E433" s="2207"/>
      <c r="F433" s="2221"/>
      <c r="G433" s="1410" t="s">
        <v>741</v>
      </c>
      <c r="H433" s="1410" t="s">
        <v>748</v>
      </c>
      <c r="I433" s="1410" t="s">
        <v>268</v>
      </c>
      <c r="J433" s="1410" t="s">
        <v>256</v>
      </c>
      <c r="K433" s="61"/>
      <c r="L433" s="75"/>
      <c r="P433" s="551"/>
      <c r="Q433" s="551"/>
      <c r="R433" s="551"/>
      <c r="S433" s="551"/>
      <c r="T433" s="551"/>
      <c r="U433" s="551"/>
      <c r="V433" s="551"/>
      <c r="W433" s="551"/>
      <c r="X433" s="551"/>
      <c r="Y433" s="551"/>
      <c r="Z433" s="551"/>
      <c r="AA433" s="551"/>
      <c r="AB433" s="551"/>
    </row>
    <row r="434" spans="1:28" ht="15" customHeight="1" x14ac:dyDescent="0.25">
      <c r="A434" s="2222" t="s">
        <v>1865</v>
      </c>
      <c r="B434" s="2316"/>
      <c r="C434" s="2316"/>
      <c r="D434" s="2316"/>
      <c r="E434" s="2316"/>
      <c r="F434" s="2316"/>
      <c r="G434" s="2316"/>
      <c r="H434" s="2316"/>
      <c r="I434" s="2317"/>
      <c r="J434" s="1124">
        <f>SUM(J435:J437)</f>
        <v>132000</v>
      </c>
      <c r="K434" s="61"/>
      <c r="L434" s="75"/>
      <c r="P434" s="551"/>
      <c r="Q434" s="551"/>
      <c r="R434" s="551"/>
      <c r="S434" s="551"/>
      <c r="T434" s="551"/>
      <c r="U434" s="551"/>
      <c r="V434" s="551"/>
      <c r="W434" s="551"/>
      <c r="X434" s="551"/>
      <c r="Y434" s="551"/>
      <c r="Z434" s="551"/>
      <c r="AA434" s="551"/>
      <c r="AB434" s="551"/>
    </row>
    <row r="435" spans="1:28" ht="30" customHeight="1" x14ac:dyDescent="0.25">
      <c r="A435" s="1127">
        <v>1</v>
      </c>
      <c r="B435" s="2312" t="s">
        <v>1867</v>
      </c>
      <c r="C435" s="2313"/>
      <c r="D435" s="2313"/>
      <c r="E435" s="2313"/>
      <c r="F435" s="2314"/>
      <c r="G435" s="1229">
        <v>1</v>
      </c>
      <c r="H435" s="1229">
        <v>12</v>
      </c>
      <c r="I435" s="1420">
        <v>2000</v>
      </c>
      <c r="J435" s="1426">
        <f t="shared" ref="J435:J437" si="3">G435*H435*I435</f>
        <v>24000</v>
      </c>
      <c r="K435" s="61"/>
      <c r="L435" s="75"/>
      <c r="P435" s="551"/>
      <c r="Q435" s="551"/>
      <c r="R435" s="551"/>
      <c r="S435" s="551"/>
      <c r="T435" s="551"/>
      <c r="U435" s="551"/>
      <c r="V435" s="551"/>
      <c r="W435" s="551"/>
      <c r="X435" s="551"/>
      <c r="Y435" s="551"/>
      <c r="Z435" s="551"/>
      <c r="AA435" s="551"/>
      <c r="AB435" s="551"/>
    </row>
    <row r="436" spans="1:28" ht="15" customHeight="1" x14ac:dyDescent="0.25">
      <c r="A436" s="1127">
        <v>2</v>
      </c>
      <c r="B436" s="2312" t="s">
        <v>1863</v>
      </c>
      <c r="C436" s="2313"/>
      <c r="D436" s="2313"/>
      <c r="E436" s="2313"/>
      <c r="F436" s="2314"/>
      <c r="G436" s="1229">
        <v>1</v>
      </c>
      <c r="H436" s="1229">
        <v>12</v>
      </c>
      <c r="I436" s="1420">
        <v>4000</v>
      </c>
      <c r="J436" s="1426">
        <f t="shared" si="3"/>
        <v>48000</v>
      </c>
      <c r="K436" s="61"/>
      <c r="L436" s="75"/>
      <c r="P436" s="551"/>
      <c r="Q436" s="551"/>
      <c r="R436" s="551"/>
      <c r="S436" s="551"/>
      <c r="T436" s="551"/>
      <c r="U436" s="551"/>
      <c r="V436" s="551"/>
      <c r="W436" s="551"/>
      <c r="X436" s="551"/>
      <c r="Y436" s="551"/>
      <c r="Z436" s="551"/>
      <c r="AA436" s="551"/>
      <c r="AB436" s="551"/>
    </row>
    <row r="437" spans="1:28" ht="15" customHeight="1" x14ac:dyDescent="0.25">
      <c r="A437" s="1127">
        <v>3</v>
      </c>
      <c r="B437" s="2312" t="s">
        <v>86</v>
      </c>
      <c r="C437" s="2313"/>
      <c r="D437" s="2313"/>
      <c r="E437" s="2313"/>
      <c r="F437" s="2314"/>
      <c r="G437" s="1229">
        <v>1</v>
      </c>
      <c r="H437" s="1229">
        <v>12</v>
      </c>
      <c r="I437" s="1420">
        <v>5000</v>
      </c>
      <c r="J437" s="1426">
        <f t="shared" si="3"/>
        <v>60000</v>
      </c>
      <c r="K437" s="61"/>
      <c r="L437" s="75"/>
      <c r="P437" s="551"/>
      <c r="Q437" s="551"/>
      <c r="R437" s="551"/>
      <c r="S437" s="551"/>
      <c r="T437" s="551"/>
      <c r="U437" s="551"/>
      <c r="V437" s="551"/>
      <c r="W437" s="551"/>
      <c r="X437" s="551"/>
      <c r="Y437" s="551"/>
      <c r="Z437" s="551"/>
      <c r="AA437" s="551"/>
      <c r="AB437" s="551"/>
    </row>
    <row r="438" spans="1:28" ht="15" customHeight="1" x14ac:dyDescent="0.25">
      <c r="A438" s="2278" t="s">
        <v>39</v>
      </c>
      <c r="B438" s="2278"/>
      <c r="C438" s="2278"/>
      <c r="D438" s="2278"/>
      <c r="E438" s="2278"/>
      <c r="F438" s="2278"/>
      <c r="G438" s="1190" t="s">
        <v>5</v>
      </c>
      <c r="H438" s="1190" t="s">
        <v>5</v>
      </c>
      <c r="I438" s="1190" t="s">
        <v>5</v>
      </c>
      <c r="J438" s="1192">
        <f>J434</f>
        <v>132000</v>
      </c>
      <c r="K438" s="344">
        <v>0</v>
      </c>
      <c r="L438" s="784">
        <f>J438-K438</f>
        <v>132000</v>
      </c>
      <c r="P438" s="551"/>
      <c r="Q438" s="551"/>
      <c r="R438" s="551"/>
      <c r="S438" s="551"/>
      <c r="T438" s="551"/>
      <c r="U438" s="551"/>
      <c r="V438" s="551"/>
      <c r="W438" s="551"/>
      <c r="X438" s="551"/>
      <c r="Y438" s="551"/>
      <c r="Z438" s="551"/>
      <c r="AA438" s="551"/>
      <c r="AB438" s="551"/>
    </row>
    <row r="439" spans="1:28" ht="15" customHeight="1" x14ac:dyDescent="0.25">
      <c r="A439" s="2222" t="s">
        <v>1866</v>
      </c>
      <c r="B439" s="2316"/>
      <c r="C439" s="2316"/>
      <c r="D439" s="2316"/>
      <c r="E439" s="2316"/>
      <c r="F439" s="2316"/>
      <c r="G439" s="2316"/>
      <c r="H439" s="2316"/>
      <c r="I439" s="2317"/>
      <c r="J439" s="1124">
        <f>SUM(J440:J442)</f>
        <v>132000</v>
      </c>
      <c r="K439" s="61"/>
      <c r="L439" s="75"/>
      <c r="P439" s="551"/>
      <c r="Q439" s="551"/>
      <c r="R439" s="551"/>
      <c r="S439" s="551"/>
      <c r="T439" s="551"/>
      <c r="U439" s="551"/>
      <c r="V439" s="551"/>
      <c r="W439" s="551"/>
      <c r="X439" s="551"/>
      <c r="Y439" s="551"/>
      <c r="Z439" s="551"/>
      <c r="AA439" s="551"/>
      <c r="AB439" s="551"/>
    </row>
    <row r="440" spans="1:28" ht="30" customHeight="1" x14ac:dyDescent="0.25">
      <c r="A440" s="1127">
        <v>1</v>
      </c>
      <c r="B440" s="2312" t="s">
        <v>1867</v>
      </c>
      <c r="C440" s="2313"/>
      <c r="D440" s="2313"/>
      <c r="E440" s="2313"/>
      <c r="F440" s="2314"/>
      <c r="G440" s="1229">
        <v>1</v>
      </c>
      <c r="H440" s="1229">
        <v>12</v>
      </c>
      <c r="I440" s="1420">
        <v>2000</v>
      </c>
      <c r="J440" s="1426">
        <f t="shared" ref="J440:J442" si="4">G440*H440*I440</f>
        <v>24000</v>
      </c>
      <c r="K440" s="61"/>
      <c r="L440" s="75"/>
      <c r="P440" s="551"/>
      <c r="Q440" s="551"/>
      <c r="R440" s="551"/>
      <c r="S440" s="551"/>
      <c r="T440" s="551"/>
      <c r="U440" s="551"/>
      <c r="V440" s="551"/>
      <c r="W440" s="551"/>
      <c r="X440" s="551"/>
      <c r="Y440" s="551"/>
      <c r="Z440" s="551"/>
      <c r="AA440" s="551"/>
      <c r="AB440" s="551"/>
    </row>
    <row r="441" spans="1:28" ht="15" customHeight="1" x14ac:dyDescent="0.25">
      <c r="A441" s="1127">
        <v>2</v>
      </c>
      <c r="B441" s="2312" t="s">
        <v>1863</v>
      </c>
      <c r="C441" s="2313"/>
      <c r="D441" s="2313"/>
      <c r="E441" s="2313"/>
      <c r="F441" s="2314"/>
      <c r="G441" s="1229">
        <v>1</v>
      </c>
      <c r="H441" s="1229">
        <v>12</v>
      </c>
      <c r="I441" s="1420">
        <v>4000</v>
      </c>
      <c r="J441" s="1426">
        <f t="shared" si="4"/>
        <v>48000</v>
      </c>
      <c r="K441" s="61"/>
      <c r="L441" s="75"/>
      <c r="P441" s="551"/>
      <c r="Q441" s="551"/>
      <c r="R441" s="551"/>
      <c r="S441" s="551"/>
      <c r="T441" s="551"/>
      <c r="U441" s="551"/>
      <c r="V441" s="551"/>
      <c r="W441" s="551"/>
      <c r="X441" s="551"/>
      <c r="Y441" s="551"/>
      <c r="Z441" s="551"/>
      <c r="AA441" s="551"/>
      <c r="AB441" s="551"/>
    </row>
    <row r="442" spans="1:28" ht="15" customHeight="1" x14ac:dyDescent="0.25">
      <c r="A442" s="1127">
        <v>3</v>
      </c>
      <c r="B442" s="2312" t="s">
        <v>86</v>
      </c>
      <c r="C442" s="2313"/>
      <c r="D442" s="2313"/>
      <c r="E442" s="2313"/>
      <c r="F442" s="2314"/>
      <c r="G442" s="1229">
        <v>1</v>
      </c>
      <c r="H442" s="1229">
        <v>12</v>
      </c>
      <c r="I442" s="1420">
        <v>5000</v>
      </c>
      <c r="J442" s="1426">
        <f t="shared" si="4"/>
        <v>60000</v>
      </c>
      <c r="K442" s="61"/>
      <c r="L442" s="75"/>
      <c r="P442" s="551"/>
      <c r="Q442" s="551"/>
      <c r="R442" s="551"/>
      <c r="S442" s="551"/>
      <c r="T442" s="551"/>
      <c r="U442" s="551"/>
      <c r="V442" s="551"/>
      <c r="W442" s="551"/>
      <c r="X442" s="551"/>
      <c r="Y442" s="551"/>
      <c r="Z442" s="551"/>
      <c r="AA442" s="551"/>
      <c r="AB442" s="551"/>
    </row>
    <row r="443" spans="1:28" ht="15" customHeight="1" x14ac:dyDescent="0.25">
      <c r="A443" s="2278" t="s">
        <v>39</v>
      </c>
      <c r="B443" s="2278"/>
      <c r="C443" s="2278"/>
      <c r="D443" s="2278"/>
      <c r="E443" s="2278"/>
      <c r="F443" s="2278"/>
      <c r="G443" s="1190" t="s">
        <v>5</v>
      </c>
      <c r="H443" s="1190" t="s">
        <v>5</v>
      </c>
      <c r="I443" s="1190" t="s">
        <v>5</v>
      </c>
      <c r="J443" s="1192">
        <f>J439</f>
        <v>132000</v>
      </c>
      <c r="K443" s="344">
        <v>0</v>
      </c>
      <c r="L443" s="784">
        <f>J443-K443</f>
        <v>132000</v>
      </c>
      <c r="P443" s="551"/>
      <c r="Q443" s="551"/>
      <c r="R443" s="551"/>
      <c r="S443" s="551"/>
      <c r="T443" s="551"/>
      <c r="U443" s="551"/>
      <c r="V443" s="551"/>
      <c r="W443" s="551"/>
      <c r="X443" s="551"/>
      <c r="Y443" s="551"/>
      <c r="Z443" s="551"/>
      <c r="AA443" s="551"/>
      <c r="AB443" s="551"/>
    </row>
    <row r="444" spans="1:28" ht="15" customHeight="1" x14ac:dyDescent="0.25">
      <c r="A444" s="2278" t="s">
        <v>1864</v>
      </c>
      <c r="B444" s="2278"/>
      <c r="C444" s="2278"/>
      <c r="D444" s="2278"/>
      <c r="E444" s="2278"/>
      <c r="F444" s="2278"/>
      <c r="G444" s="1190" t="s">
        <v>5</v>
      </c>
      <c r="H444" s="1190" t="s">
        <v>5</v>
      </c>
      <c r="I444" s="1190" t="s">
        <v>5</v>
      </c>
      <c r="J444" s="1192">
        <f>J438+J443</f>
        <v>264000</v>
      </c>
      <c r="K444" s="61"/>
      <c r="L444" s="75"/>
      <c r="P444" s="551"/>
      <c r="Q444" s="551"/>
      <c r="R444" s="551"/>
      <c r="S444" s="551"/>
      <c r="T444" s="551"/>
      <c r="U444" s="551"/>
      <c r="V444" s="551"/>
      <c r="W444" s="551"/>
      <c r="X444" s="551"/>
      <c r="Y444" s="551"/>
      <c r="Z444" s="551"/>
      <c r="AA444" s="551"/>
      <c r="AB444" s="551"/>
    </row>
    <row r="445" spans="1:28" x14ac:dyDescent="0.25">
      <c r="A445" s="652"/>
      <c r="B445" s="652"/>
      <c r="C445" s="652"/>
      <c r="D445" s="652"/>
      <c r="E445" s="652"/>
      <c r="F445" s="652"/>
      <c r="G445" s="652"/>
      <c r="H445" s="653"/>
      <c r="I445" s="654"/>
      <c r="J445" s="654"/>
      <c r="P445" s="551"/>
      <c r="Q445" s="551"/>
      <c r="R445" s="551"/>
      <c r="S445" s="551"/>
      <c r="T445" s="551"/>
      <c r="U445" s="551"/>
      <c r="V445" s="551"/>
      <c r="W445" s="551"/>
      <c r="X445" s="551"/>
      <c r="Y445" s="551"/>
      <c r="Z445" s="551"/>
      <c r="AA445" s="551"/>
      <c r="AB445" s="551"/>
    </row>
    <row r="446" spans="1:28" ht="15" customHeight="1" x14ac:dyDescent="0.25">
      <c r="A446" s="1449" t="s">
        <v>323</v>
      </c>
      <c r="P446" s="551"/>
      <c r="Q446" s="551"/>
      <c r="R446" s="551"/>
      <c r="S446" s="551"/>
      <c r="T446" s="551"/>
      <c r="U446" s="551"/>
      <c r="V446" s="551"/>
      <c r="W446" s="551"/>
      <c r="X446" s="551"/>
      <c r="Y446" s="551"/>
      <c r="Z446" s="551"/>
      <c r="AA446" s="551"/>
      <c r="AB446" s="551"/>
    </row>
    <row r="447" spans="1:28" x14ac:dyDescent="0.25">
      <c r="A447" s="2183" t="s">
        <v>8</v>
      </c>
      <c r="B447" s="2170" t="s">
        <v>1</v>
      </c>
      <c r="C447" s="2173"/>
      <c r="D447" s="2173"/>
      <c r="E447" s="2173"/>
      <c r="F447" s="2315" t="s">
        <v>1664</v>
      </c>
      <c r="G447" s="2183" t="s">
        <v>2046</v>
      </c>
      <c r="H447" s="2183"/>
      <c r="I447" s="2183"/>
      <c r="J447" s="2183"/>
      <c r="P447" s="551"/>
      <c r="Q447" s="551"/>
      <c r="R447" s="551"/>
      <c r="S447" s="551"/>
      <c r="T447" s="551"/>
      <c r="U447" s="551"/>
      <c r="V447" s="551"/>
      <c r="W447" s="551"/>
      <c r="X447" s="551"/>
      <c r="Y447" s="551"/>
      <c r="Z447" s="551"/>
      <c r="AA447" s="551"/>
      <c r="AB447" s="551"/>
    </row>
    <row r="448" spans="1:28" ht="31.5" customHeight="1" x14ac:dyDescent="0.25">
      <c r="A448" s="2183"/>
      <c r="B448" s="2173"/>
      <c r="C448" s="2173"/>
      <c r="D448" s="2173"/>
      <c r="E448" s="2173"/>
      <c r="F448" s="2162"/>
      <c r="G448" s="1418" t="s">
        <v>1661</v>
      </c>
      <c r="H448" s="1418" t="s">
        <v>1662</v>
      </c>
      <c r="I448" s="1426" t="s">
        <v>1663</v>
      </c>
      <c r="J448" s="1426" t="s">
        <v>256</v>
      </c>
      <c r="P448" s="551"/>
      <c r="Q448" s="551"/>
      <c r="R448" s="551"/>
      <c r="S448" s="551"/>
      <c r="T448" s="551"/>
      <c r="U448" s="551"/>
      <c r="V448" s="551"/>
      <c r="W448" s="551"/>
      <c r="X448" s="551"/>
      <c r="Y448" s="551"/>
      <c r="Z448" s="551"/>
      <c r="AA448" s="551"/>
      <c r="AB448" s="551"/>
    </row>
    <row r="449" spans="1:34" s="556" customFormat="1" ht="15" customHeight="1" x14ac:dyDescent="0.25">
      <c r="A449" s="2318" t="s">
        <v>728</v>
      </c>
      <c r="B449" s="2319"/>
      <c r="C449" s="2319"/>
      <c r="D449" s="2319"/>
      <c r="E449" s="2319"/>
      <c r="F449" s="2320"/>
      <c r="G449" s="1178"/>
      <c r="H449" s="1437"/>
      <c r="I449" s="1178"/>
      <c r="J449" s="619">
        <f>SUM(J450:J463)</f>
        <v>57786</v>
      </c>
      <c r="K449" s="582"/>
      <c r="L449" s="1078"/>
      <c r="M449" s="579"/>
      <c r="N449" s="579"/>
      <c r="O449" s="579"/>
    </row>
    <row r="450" spans="1:34" ht="29.25" customHeight="1" x14ac:dyDescent="0.2">
      <c r="A450" s="1127">
        <v>1</v>
      </c>
      <c r="B450" s="2283" t="s">
        <v>1647</v>
      </c>
      <c r="C450" s="2219"/>
      <c r="D450" s="2219"/>
      <c r="E450" s="2219"/>
      <c r="F450" s="1144" t="s">
        <v>304</v>
      </c>
      <c r="G450" s="1180">
        <v>4</v>
      </c>
      <c r="H450" s="1180">
        <v>2</v>
      </c>
      <c r="I450" s="1179">
        <v>2142</v>
      </c>
      <c r="J450" s="1179">
        <f>H450*I450*G450</f>
        <v>17136</v>
      </c>
      <c r="K450" s="1195"/>
      <c r="L450" s="1193"/>
      <c r="M450" s="1193"/>
      <c r="N450" s="1194"/>
      <c r="O450" s="1177"/>
      <c r="P450" s="1177"/>
      <c r="Q450" s="1177"/>
      <c r="R450" s="1177"/>
      <c r="S450" s="1177"/>
      <c r="T450" s="1177"/>
      <c r="U450" s="1177"/>
      <c r="V450" s="1177"/>
      <c r="W450" s="1177"/>
      <c r="X450" s="1177"/>
      <c r="Y450" s="1177"/>
      <c r="Z450" s="1177"/>
      <c r="AA450" s="1177"/>
      <c r="AB450" s="1177"/>
      <c r="AC450" s="1177"/>
      <c r="AD450" s="1177"/>
      <c r="AE450" s="1177"/>
      <c r="AF450" s="1177"/>
      <c r="AG450" s="1177"/>
      <c r="AH450" s="508"/>
    </row>
    <row r="451" spans="1:34" x14ac:dyDescent="0.2">
      <c r="A451" s="1127">
        <v>2</v>
      </c>
      <c r="B451" s="2283" t="s">
        <v>1648</v>
      </c>
      <c r="C451" s="2219"/>
      <c r="D451" s="2219"/>
      <c r="E451" s="2219"/>
      <c r="F451" s="1144" t="s">
        <v>304</v>
      </c>
      <c r="G451" s="1180">
        <v>4</v>
      </c>
      <c r="H451" s="1180">
        <v>2</v>
      </c>
      <c r="I451" s="1179">
        <v>2252</v>
      </c>
      <c r="J451" s="1179">
        <f t="shared" ref="J451:J463" si="5">H451*I451*G451</f>
        <v>18016</v>
      </c>
      <c r="K451" s="1195"/>
      <c r="L451" s="1193"/>
      <c r="M451" s="1193"/>
      <c r="N451" s="1194"/>
      <c r="O451" s="1177"/>
      <c r="P451" s="1177"/>
      <c r="Q451" s="1177"/>
      <c r="R451" s="1177"/>
      <c r="S451" s="1177"/>
      <c r="T451" s="1177"/>
      <c r="U451" s="1177"/>
      <c r="V451" s="1177"/>
      <c r="W451" s="1177"/>
      <c r="X451" s="1177"/>
      <c r="Y451" s="1177"/>
      <c r="Z451" s="1177"/>
      <c r="AA451" s="1177"/>
      <c r="AB451" s="1177"/>
      <c r="AC451" s="1177"/>
      <c r="AD451" s="1177"/>
      <c r="AE451" s="1177"/>
      <c r="AF451" s="1177"/>
      <c r="AG451" s="1177"/>
      <c r="AH451" s="508"/>
    </row>
    <row r="452" spans="1:34" x14ac:dyDescent="0.2">
      <c r="A452" s="1127">
        <v>3</v>
      </c>
      <c r="B452" s="2283" t="s">
        <v>1649</v>
      </c>
      <c r="C452" s="2219"/>
      <c r="D452" s="2219"/>
      <c r="E452" s="2219"/>
      <c r="F452" s="1144" t="s">
        <v>304</v>
      </c>
      <c r="G452" s="1180">
        <v>2</v>
      </c>
      <c r="H452" s="1180">
        <v>2</v>
      </c>
      <c r="I452" s="1179">
        <v>2295</v>
      </c>
      <c r="J452" s="1179">
        <f t="shared" si="5"/>
        <v>9180</v>
      </c>
      <c r="K452" s="1195"/>
      <c r="L452" s="1193"/>
      <c r="M452" s="1193"/>
      <c r="N452" s="1194"/>
      <c r="O452" s="1177"/>
      <c r="P452" s="1177"/>
      <c r="Q452" s="1177"/>
      <c r="R452" s="1177"/>
      <c r="S452" s="1177"/>
      <c r="T452" s="1177"/>
      <c r="U452" s="1177"/>
      <c r="V452" s="1177"/>
      <c r="W452" s="1177"/>
      <c r="X452" s="1177"/>
      <c r="Y452" s="1177"/>
      <c r="Z452" s="1177"/>
      <c r="AA452" s="1177"/>
      <c r="AB452" s="1177"/>
      <c r="AC452" s="1177"/>
      <c r="AD452" s="1177"/>
      <c r="AE452" s="1177"/>
      <c r="AF452" s="1177"/>
      <c r="AG452" s="1177"/>
      <c r="AH452" s="508"/>
    </row>
    <row r="453" spans="1:34" x14ac:dyDescent="0.2">
      <c r="A453" s="1127">
        <v>4</v>
      </c>
      <c r="B453" s="2283" t="s">
        <v>1650</v>
      </c>
      <c r="C453" s="2219"/>
      <c r="D453" s="2219"/>
      <c r="E453" s="2219"/>
      <c r="F453" s="1144" t="s">
        <v>304</v>
      </c>
      <c r="G453" s="1180">
        <v>1</v>
      </c>
      <c r="H453" s="1180" t="s">
        <v>244</v>
      </c>
      <c r="I453" s="1179">
        <v>438</v>
      </c>
      <c r="J453" s="1179">
        <f t="shared" si="5"/>
        <v>438</v>
      </c>
      <c r="K453" s="1195"/>
      <c r="L453" s="1193"/>
      <c r="M453" s="1193"/>
      <c r="N453" s="1194"/>
      <c r="O453" s="1194"/>
      <c r="P453" s="1194"/>
      <c r="Q453" s="1194"/>
      <c r="R453" s="1177"/>
      <c r="S453" s="1177"/>
      <c r="T453" s="1177"/>
      <c r="U453" s="1177"/>
      <c r="V453" s="1177"/>
      <c r="W453" s="1177"/>
      <c r="X453" s="1177"/>
      <c r="Y453" s="1177"/>
      <c r="Z453" s="1177"/>
      <c r="AA453" s="1177"/>
      <c r="AB453" s="1177"/>
      <c r="AC453" s="1177"/>
      <c r="AD453" s="1177"/>
      <c r="AE453" s="1177"/>
      <c r="AF453" s="1177"/>
      <c r="AG453" s="1177"/>
      <c r="AH453" s="508"/>
    </row>
    <row r="454" spans="1:34" x14ac:dyDescent="0.2">
      <c r="A454" s="1127">
        <v>5</v>
      </c>
      <c r="B454" s="2283" t="s">
        <v>1651</v>
      </c>
      <c r="C454" s="2219"/>
      <c r="D454" s="2219"/>
      <c r="E454" s="2219"/>
      <c r="F454" s="1144" t="s">
        <v>304</v>
      </c>
      <c r="G454" s="1180">
        <v>2</v>
      </c>
      <c r="H454" s="1180">
        <v>2</v>
      </c>
      <c r="I454" s="1179">
        <v>1048</v>
      </c>
      <c r="J454" s="1179">
        <f t="shared" si="5"/>
        <v>4192</v>
      </c>
      <c r="K454" s="1195"/>
      <c r="L454" s="1193"/>
      <c r="M454" s="1193"/>
      <c r="N454" s="1194"/>
      <c r="O454" s="1194"/>
      <c r="P454" s="1194"/>
      <c r="Q454" s="1194"/>
      <c r="R454" s="1177"/>
      <c r="S454" s="1177"/>
      <c r="T454" s="1177"/>
      <c r="U454" s="1177"/>
      <c r="V454" s="1177"/>
      <c r="W454" s="1177"/>
      <c r="X454" s="1177"/>
      <c r="Y454" s="1177"/>
      <c r="Z454" s="1177"/>
      <c r="AA454" s="1177"/>
      <c r="AB454" s="1177"/>
      <c r="AC454" s="1177"/>
      <c r="AD454" s="1177"/>
      <c r="AE454" s="1177"/>
      <c r="AF454" s="1177"/>
      <c r="AG454" s="1177"/>
      <c r="AH454" s="508"/>
    </row>
    <row r="455" spans="1:34" x14ac:dyDescent="0.2">
      <c r="A455" s="1127">
        <v>6</v>
      </c>
      <c r="B455" s="2283" t="s">
        <v>1652</v>
      </c>
      <c r="C455" s="2219"/>
      <c r="D455" s="2219"/>
      <c r="E455" s="2219"/>
      <c r="F455" s="1144" t="s">
        <v>304</v>
      </c>
      <c r="G455" s="1180">
        <v>2</v>
      </c>
      <c r="H455" s="1180">
        <v>2</v>
      </c>
      <c r="I455" s="1179">
        <v>351</v>
      </c>
      <c r="J455" s="1179">
        <f t="shared" si="5"/>
        <v>1404</v>
      </c>
      <c r="K455" s="1195"/>
      <c r="L455" s="1193"/>
      <c r="M455" s="1193"/>
      <c r="N455" s="1194"/>
      <c r="O455" s="1194"/>
      <c r="P455" s="1194"/>
      <c r="Q455" s="1194"/>
      <c r="R455" s="1177"/>
      <c r="S455" s="1177"/>
      <c r="T455" s="1177"/>
      <c r="U455" s="1177"/>
      <c r="V455" s="1177"/>
      <c r="W455" s="1177"/>
      <c r="X455" s="1177"/>
      <c r="Y455" s="1177"/>
      <c r="Z455" s="1177"/>
      <c r="AA455" s="1177"/>
      <c r="AB455" s="1177"/>
      <c r="AC455" s="1177"/>
      <c r="AD455" s="1177"/>
      <c r="AE455" s="1177"/>
      <c r="AF455" s="1177"/>
      <c r="AG455" s="1177"/>
      <c r="AH455" s="508"/>
    </row>
    <row r="456" spans="1:34" x14ac:dyDescent="0.2">
      <c r="A456" s="1127">
        <v>7</v>
      </c>
      <c r="B456" s="2283" t="s">
        <v>1653</v>
      </c>
      <c r="C456" s="2219"/>
      <c r="D456" s="2219"/>
      <c r="E456" s="2219"/>
      <c r="F456" s="1144" t="s">
        <v>304</v>
      </c>
      <c r="G456" s="1180">
        <v>2</v>
      </c>
      <c r="H456" s="1180">
        <v>2</v>
      </c>
      <c r="I456" s="1179">
        <v>256</v>
      </c>
      <c r="J456" s="1179">
        <f t="shared" si="5"/>
        <v>1024</v>
      </c>
      <c r="K456" s="1195"/>
      <c r="L456" s="1193"/>
      <c r="M456" s="1193"/>
      <c r="N456" s="1194"/>
      <c r="O456" s="1194"/>
      <c r="P456" s="1194"/>
      <c r="Q456" s="1194"/>
      <c r="R456" s="1177"/>
      <c r="S456" s="1177"/>
      <c r="T456" s="1177"/>
      <c r="U456" s="1177"/>
      <c r="V456" s="1177"/>
      <c r="W456" s="1177"/>
      <c r="X456" s="1177"/>
      <c r="Y456" s="1177"/>
      <c r="Z456" s="1177"/>
      <c r="AA456" s="1177"/>
      <c r="AB456" s="1177"/>
      <c r="AC456" s="1177"/>
      <c r="AD456" s="1177"/>
      <c r="AE456" s="1177"/>
      <c r="AF456" s="1177"/>
      <c r="AG456" s="1177"/>
      <c r="AH456" s="508"/>
    </row>
    <row r="457" spans="1:34" x14ac:dyDescent="0.2">
      <c r="A457" s="1127">
        <v>8</v>
      </c>
      <c r="B457" s="2283" t="s">
        <v>1654</v>
      </c>
      <c r="C457" s="2219"/>
      <c r="D457" s="2219"/>
      <c r="E457" s="2219"/>
      <c r="F457" s="1144" t="s">
        <v>304</v>
      </c>
      <c r="G457" s="1180">
        <v>2</v>
      </c>
      <c r="H457" s="1180">
        <v>2</v>
      </c>
      <c r="I457" s="1179">
        <v>284</v>
      </c>
      <c r="J457" s="1179">
        <f t="shared" si="5"/>
        <v>1136</v>
      </c>
      <c r="K457" s="1195"/>
      <c r="L457" s="1193"/>
      <c r="M457" s="1193"/>
      <c r="N457" s="1194"/>
      <c r="O457" s="1194"/>
      <c r="P457" s="1194"/>
      <c r="Q457" s="1194"/>
      <c r="R457" s="1177"/>
      <c r="S457" s="1177"/>
      <c r="T457" s="1177"/>
      <c r="U457" s="1177"/>
      <c r="V457" s="1177"/>
      <c r="W457" s="1177"/>
      <c r="X457" s="1177"/>
      <c r="Y457" s="1177"/>
      <c r="Z457" s="1177"/>
      <c r="AA457" s="1177"/>
      <c r="AB457" s="1177"/>
      <c r="AC457" s="1177"/>
      <c r="AD457" s="1177"/>
      <c r="AE457" s="1177"/>
      <c r="AF457" s="1177"/>
      <c r="AG457" s="1177"/>
      <c r="AH457" s="508"/>
    </row>
    <row r="458" spans="1:34" ht="29.25" customHeight="1" x14ac:dyDescent="0.2">
      <c r="A458" s="1127">
        <v>9</v>
      </c>
      <c r="B458" s="2283" t="s">
        <v>1655</v>
      </c>
      <c r="C458" s="2219"/>
      <c r="D458" s="2219"/>
      <c r="E458" s="2219"/>
      <c r="F458" s="1144" t="s">
        <v>304</v>
      </c>
      <c r="G458" s="1180">
        <v>1</v>
      </c>
      <c r="H458" s="1180">
        <v>4</v>
      </c>
      <c r="I458" s="1179">
        <v>315</v>
      </c>
      <c r="J458" s="1179">
        <f t="shared" si="5"/>
        <v>1260</v>
      </c>
      <c r="K458" s="1195"/>
      <c r="L458" s="1193"/>
      <c r="M458" s="1193"/>
      <c r="N458" s="1194"/>
      <c r="O458" s="1194"/>
      <c r="P458" s="1194"/>
      <c r="Q458" s="1194"/>
      <c r="R458" s="1177"/>
      <c r="S458" s="1177"/>
      <c r="T458" s="1177"/>
      <c r="U458" s="1177"/>
      <c r="V458" s="1177"/>
      <c r="W458" s="1177"/>
      <c r="X458" s="1177"/>
      <c r="Y458" s="1177"/>
      <c r="Z458" s="1177"/>
      <c r="AA458" s="1177"/>
      <c r="AB458" s="1177"/>
      <c r="AC458" s="1177"/>
      <c r="AD458" s="1177"/>
      <c r="AE458" s="1177"/>
      <c r="AF458" s="1177"/>
      <c r="AG458" s="1177"/>
      <c r="AH458" s="508"/>
    </row>
    <row r="459" spans="1:34" x14ac:dyDescent="0.2">
      <c r="A459" s="1127">
        <v>10</v>
      </c>
      <c r="B459" s="2283" t="s">
        <v>1656</v>
      </c>
      <c r="C459" s="2219"/>
      <c r="D459" s="2219"/>
      <c r="E459" s="2219"/>
      <c r="F459" s="1144" t="s">
        <v>304</v>
      </c>
      <c r="G459" s="1180">
        <v>1</v>
      </c>
      <c r="H459" s="1180">
        <v>2</v>
      </c>
      <c r="I459" s="1179">
        <v>487</v>
      </c>
      <c r="J459" s="1179">
        <f t="shared" si="5"/>
        <v>974</v>
      </c>
      <c r="K459" s="1195"/>
      <c r="L459" s="1193"/>
      <c r="M459" s="1193"/>
      <c r="N459" s="1194"/>
      <c r="O459" s="1194"/>
      <c r="P459" s="1194"/>
      <c r="Q459" s="1194"/>
      <c r="R459" s="1177"/>
      <c r="S459" s="1177"/>
      <c r="T459" s="1177"/>
      <c r="U459" s="1177"/>
      <c r="V459" s="1177"/>
      <c r="W459" s="1177"/>
      <c r="X459" s="1177"/>
      <c r="Y459" s="1177"/>
      <c r="Z459" s="1177"/>
      <c r="AA459" s="1177"/>
      <c r="AB459" s="1177"/>
      <c r="AC459" s="1177"/>
      <c r="AD459" s="1177"/>
      <c r="AE459" s="1177"/>
      <c r="AF459" s="1177"/>
      <c r="AG459" s="1177"/>
      <c r="AH459" s="508"/>
    </row>
    <row r="460" spans="1:34" x14ac:dyDescent="0.2">
      <c r="A460" s="1127">
        <v>11</v>
      </c>
      <c r="B460" s="2283" t="s">
        <v>1657</v>
      </c>
      <c r="C460" s="2219"/>
      <c r="D460" s="2219"/>
      <c r="E460" s="2219"/>
      <c r="F460" s="1144" t="s">
        <v>304</v>
      </c>
      <c r="G460" s="1180">
        <v>1</v>
      </c>
      <c r="H460" s="1180">
        <v>2</v>
      </c>
      <c r="I460" s="1179">
        <v>284</v>
      </c>
      <c r="J460" s="1179">
        <f t="shared" si="5"/>
        <v>568</v>
      </c>
      <c r="K460" s="1195"/>
      <c r="L460" s="1193"/>
      <c r="M460" s="1193"/>
      <c r="N460" s="1194"/>
      <c r="O460" s="1194"/>
      <c r="P460" s="1194"/>
      <c r="Q460" s="1194"/>
      <c r="R460" s="1177"/>
      <c r="S460" s="1177"/>
      <c r="T460" s="1177"/>
      <c r="U460" s="1177"/>
      <c r="V460" s="1177"/>
      <c r="W460" s="1177"/>
      <c r="X460" s="1177"/>
      <c r="Y460" s="1177"/>
      <c r="Z460" s="1177"/>
      <c r="AA460" s="1177"/>
      <c r="AB460" s="1177"/>
      <c r="AC460" s="1177"/>
      <c r="AD460" s="1177"/>
      <c r="AE460" s="1177"/>
      <c r="AF460" s="1177"/>
      <c r="AG460" s="1177"/>
      <c r="AH460" s="508"/>
    </row>
    <row r="461" spans="1:34" x14ac:dyDescent="0.2">
      <c r="A461" s="1127">
        <v>12</v>
      </c>
      <c r="B461" s="2283" t="s">
        <v>1658</v>
      </c>
      <c r="C461" s="2219"/>
      <c r="D461" s="2219"/>
      <c r="E461" s="2219"/>
      <c r="F461" s="1144" t="s">
        <v>304</v>
      </c>
      <c r="G461" s="1180">
        <v>1</v>
      </c>
      <c r="H461" s="1180">
        <v>2</v>
      </c>
      <c r="I461" s="1179">
        <v>284</v>
      </c>
      <c r="J461" s="1179">
        <f t="shared" si="5"/>
        <v>568</v>
      </c>
      <c r="K461" s="1195"/>
      <c r="L461" s="1193"/>
      <c r="M461" s="1193"/>
      <c r="N461" s="1194"/>
      <c r="O461" s="1194"/>
      <c r="P461" s="1194"/>
      <c r="Q461" s="1194"/>
      <c r="R461" s="1177"/>
      <c r="S461" s="1177"/>
      <c r="T461" s="1177"/>
      <c r="U461" s="1177"/>
      <c r="V461" s="1177"/>
      <c r="W461" s="1177"/>
      <c r="X461" s="1177"/>
      <c r="Y461" s="1177"/>
      <c r="Z461" s="1177"/>
      <c r="AA461" s="1177"/>
      <c r="AB461" s="1177"/>
      <c r="AC461" s="1177"/>
      <c r="AD461" s="1177"/>
      <c r="AE461" s="1177"/>
      <c r="AF461" s="1177"/>
      <c r="AG461" s="1177"/>
      <c r="AH461" s="508"/>
    </row>
    <row r="462" spans="1:34" ht="29.25" customHeight="1" x14ac:dyDescent="0.2">
      <c r="A462" s="1127">
        <v>13</v>
      </c>
      <c r="B462" s="2283" t="s">
        <v>1659</v>
      </c>
      <c r="C462" s="2219"/>
      <c r="D462" s="2219"/>
      <c r="E462" s="2219"/>
      <c r="F462" s="1144" t="s">
        <v>304</v>
      </c>
      <c r="G462" s="1180">
        <v>1</v>
      </c>
      <c r="H462" s="1180">
        <v>3</v>
      </c>
      <c r="I462" s="1179">
        <v>315</v>
      </c>
      <c r="J462" s="1179">
        <f t="shared" si="5"/>
        <v>945</v>
      </c>
      <c r="K462" s="1195"/>
      <c r="L462" s="1193"/>
      <c r="M462" s="1193"/>
      <c r="N462" s="1194"/>
      <c r="O462" s="1194"/>
      <c r="P462" s="1194"/>
      <c r="Q462" s="1194"/>
      <c r="R462" s="1177"/>
      <c r="S462" s="1177"/>
      <c r="T462" s="1177"/>
      <c r="U462" s="1177"/>
      <c r="V462" s="1177"/>
      <c r="W462" s="1177"/>
      <c r="X462" s="1177"/>
      <c r="Y462" s="1177"/>
      <c r="Z462" s="1177"/>
      <c r="AA462" s="1177"/>
      <c r="AB462" s="1177"/>
      <c r="AC462" s="1177"/>
      <c r="AD462" s="1177"/>
      <c r="AE462" s="1177"/>
      <c r="AF462" s="1177"/>
      <c r="AG462" s="1177"/>
      <c r="AH462" s="508"/>
    </row>
    <row r="463" spans="1:34" ht="29.25" customHeight="1" x14ac:dyDescent="0.2">
      <c r="A463" s="1127">
        <v>14</v>
      </c>
      <c r="B463" s="1986" t="s">
        <v>1660</v>
      </c>
      <c r="C463" s="2322"/>
      <c r="D463" s="2322"/>
      <c r="E463" s="2322"/>
      <c r="F463" s="1144" t="s">
        <v>304</v>
      </c>
      <c r="G463" s="1180">
        <v>1</v>
      </c>
      <c r="H463" s="1180">
        <v>3</v>
      </c>
      <c r="I463" s="1179">
        <v>315</v>
      </c>
      <c r="J463" s="1179">
        <f t="shared" si="5"/>
        <v>945</v>
      </c>
      <c r="K463" s="1195"/>
      <c r="L463" s="1193"/>
      <c r="M463" s="1193"/>
      <c r="N463" s="1194"/>
      <c r="O463" s="1194"/>
      <c r="P463" s="1194"/>
      <c r="Q463" s="1194"/>
      <c r="R463" s="1177"/>
      <c r="S463" s="1177"/>
      <c r="T463" s="1177"/>
      <c r="U463" s="1177"/>
      <c r="V463" s="1177"/>
      <c r="W463" s="1177"/>
      <c r="X463" s="1177"/>
      <c r="Y463" s="1177"/>
      <c r="Z463" s="1177"/>
      <c r="AA463" s="1177"/>
      <c r="AB463" s="1177"/>
      <c r="AC463" s="1177"/>
      <c r="AD463" s="1177"/>
      <c r="AE463" s="1177"/>
      <c r="AF463" s="1177"/>
      <c r="AG463" s="1177"/>
      <c r="AH463" s="508"/>
    </row>
    <row r="464" spans="1:34" ht="15" customHeight="1" x14ac:dyDescent="0.25">
      <c r="A464" s="2181" t="s">
        <v>39</v>
      </c>
      <c r="B464" s="2181"/>
      <c r="C464" s="2181"/>
      <c r="D464" s="2181"/>
      <c r="E464" s="2181"/>
      <c r="F464" s="2181"/>
      <c r="G464" s="2181"/>
      <c r="H464" s="2181"/>
      <c r="I464" s="2181"/>
      <c r="J464" s="1406">
        <f>J449</f>
        <v>57786</v>
      </c>
      <c r="K464" s="564"/>
      <c r="L464" s="739"/>
      <c r="P464" s="551"/>
      <c r="Q464" s="551"/>
      <c r="R464" s="551"/>
      <c r="S464" s="551"/>
      <c r="T464" s="551"/>
      <c r="U464" s="551"/>
      <c r="V464" s="551"/>
      <c r="W464" s="551"/>
      <c r="X464" s="551"/>
      <c r="Y464" s="551"/>
      <c r="Z464" s="551"/>
      <c r="AA464" s="551"/>
      <c r="AB464" s="551"/>
    </row>
    <row r="465" spans="1:28" x14ac:dyDescent="0.25">
      <c r="A465" s="779"/>
      <c r="B465" s="779"/>
      <c r="C465" s="779"/>
      <c r="D465" s="779"/>
      <c r="E465" s="779"/>
      <c r="F465" s="779"/>
      <c r="G465" s="779"/>
      <c r="H465" s="779"/>
      <c r="I465" s="779"/>
      <c r="J465" s="720"/>
      <c r="P465" s="551"/>
      <c r="Q465" s="551"/>
      <c r="R465" s="551"/>
      <c r="S465" s="551"/>
      <c r="T465" s="551"/>
      <c r="U465" s="551"/>
      <c r="V465" s="551"/>
      <c r="W465" s="551"/>
      <c r="X465" s="551"/>
      <c r="Y465" s="551"/>
      <c r="Z465" s="551"/>
      <c r="AA465" s="551"/>
      <c r="AB465" s="551"/>
    </row>
    <row r="466" spans="1:28" x14ac:dyDescent="0.25">
      <c r="A466" s="2302" t="s">
        <v>1868</v>
      </c>
      <c r="B466" s="2302"/>
      <c r="C466" s="2302"/>
      <c r="D466" s="2302"/>
      <c r="E466" s="2302"/>
      <c r="F466" s="2302"/>
      <c r="G466" s="2302"/>
      <c r="H466" s="2302"/>
      <c r="I466" s="779"/>
      <c r="J466" s="629"/>
      <c r="P466" s="551"/>
      <c r="Q466" s="551"/>
      <c r="R466" s="551"/>
      <c r="S466" s="551"/>
      <c r="T466" s="551"/>
      <c r="U466" s="551"/>
      <c r="V466" s="551"/>
      <c r="W466" s="551"/>
      <c r="X466" s="551"/>
      <c r="Y466" s="551"/>
      <c r="Z466" s="551"/>
      <c r="AA466" s="551"/>
      <c r="AB466" s="551"/>
    </row>
    <row r="467" spans="1:28" x14ac:dyDescent="0.25">
      <c r="A467" s="2170" t="s">
        <v>8</v>
      </c>
      <c r="B467" s="2170" t="s">
        <v>1</v>
      </c>
      <c r="C467" s="2170"/>
      <c r="D467" s="2170"/>
      <c r="E467" s="2170"/>
      <c r="F467" s="2321" t="s">
        <v>736</v>
      </c>
      <c r="G467" s="2170" t="s">
        <v>2046</v>
      </c>
      <c r="H467" s="2170" t="s">
        <v>735</v>
      </c>
      <c r="I467" s="2170"/>
      <c r="J467" s="2170"/>
      <c r="P467" s="551"/>
      <c r="Q467" s="551"/>
      <c r="R467" s="551"/>
      <c r="S467" s="551"/>
      <c r="T467" s="551"/>
      <c r="U467" s="551"/>
      <c r="V467" s="551"/>
      <c r="W467" s="551"/>
      <c r="X467" s="551"/>
      <c r="Y467" s="551"/>
      <c r="Z467" s="551"/>
      <c r="AA467" s="551"/>
      <c r="AB467" s="551"/>
    </row>
    <row r="468" spans="1:28" ht="120" x14ac:dyDescent="0.25">
      <c r="A468" s="2170"/>
      <c r="B468" s="2170"/>
      <c r="C468" s="2170"/>
      <c r="D468" s="2170"/>
      <c r="E468" s="2170"/>
      <c r="F468" s="2321"/>
      <c r="G468" s="1441" t="s">
        <v>1869</v>
      </c>
      <c r="H468" s="1441" t="s">
        <v>1871</v>
      </c>
      <c r="I468" s="1441" t="s">
        <v>748</v>
      </c>
      <c r="J468" s="1441" t="s">
        <v>256</v>
      </c>
      <c r="P468" s="551"/>
      <c r="Q468" s="551"/>
      <c r="R468" s="551"/>
      <c r="S468" s="551"/>
      <c r="T468" s="551"/>
      <c r="U468" s="551"/>
      <c r="V468" s="551"/>
      <c r="W468" s="551"/>
      <c r="X468" s="551"/>
      <c r="Y468" s="551"/>
      <c r="Z468" s="551"/>
      <c r="AA468" s="551"/>
      <c r="AB468" s="551"/>
    </row>
    <row r="469" spans="1:28" x14ac:dyDescent="0.25">
      <c r="A469" s="630">
        <v>1</v>
      </c>
      <c r="B469" s="2301" t="s">
        <v>1870</v>
      </c>
      <c r="C469" s="2302"/>
      <c r="D469" s="2302"/>
      <c r="E469" s="2302"/>
      <c r="F469" s="630" t="s">
        <v>108</v>
      </c>
      <c r="G469" s="1229">
        <v>2</v>
      </c>
      <c r="H469" s="1420">
        <v>9000</v>
      </c>
      <c r="I469" s="1229">
        <v>12</v>
      </c>
      <c r="J469" s="1019">
        <f>G469*H469*I469</f>
        <v>216000</v>
      </c>
      <c r="P469" s="551"/>
      <c r="Q469" s="551"/>
      <c r="R469" s="551"/>
      <c r="S469" s="551"/>
      <c r="T469" s="551"/>
      <c r="U469" s="551"/>
      <c r="V469" s="551"/>
      <c r="W469" s="551"/>
      <c r="X469" s="551"/>
      <c r="Y469" s="551"/>
      <c r="Z469" s="551"/>
      <c r="AA469" s="551"/>
      <c r="AB469" s="551"/>
    </row>
    <row r="470" spans="1:28" x14ac:dyDescent="0.25">
      <c r="A470" s="2236" t="s">
        <v>39</v>
      </c>
      <c r="B470" s="2237"/>
      <c r="C470" s="2237"/>
      <c r="D470" s="2237"/>
      <c r="E470" s="2237"/>
      <c r="F470" s="2237"/>
      <c r="G470" s="2238"/>
      <c r="H470" s="2238"/>
      <c r="I470" s="2239"/>
      <c r="J470" s="1192">
        <f>SUM(J469:J469)</f>
        <v>216000</v>
      </c>
      <c r="P470" s="551"/>
      <c r="Q470" s="551"/>
      <c r="R470" s="551"/>
      <c r="S470" s="551"/>
      <c r="T470" s="551"/>
      <c r="U470" s="551"/>
      <c r="V470" s="551"/>
      <c r="W470" s="551"/>
      <c r="X470" s="551"/>
      <c r="Y470" s="551"/>
      <c r="Z470" s="551"/>
      <c r="AA470" s="551"/>
      <c r="AB470" s="551"/>
    </row>
    <row r="471" spans="1:28" x14ac:dyDescent="0.25">
      <c r="A471" s="779"/>
      <c r="B471" s="779"/>
      <c r="C471" s="779"/>
      <c r="D471" s="779"/>
      <c r="E471" s="779"/>
      <c r="F471" s="779"/>
      <c r="G471" s="779"/>
      <c r="H471" s="779"/>
      <c r="I471" s="779"/>
      <c r="J471" s="720"/>
      <c r="P471" s="551"/>
      <c r="Q471" s="551"/>
      <c r="R471" s="551"/>
      <c r="S471" s="551"/>
      <c r="T471" s="551"/>
      <c r="U471" s="551"/>
      <c r="V471" s="551"/>
      <c r="W471" s="551"/>
      <c r="X471" s="551"/>
      <c r="Y471" s="551"/>
      <c r="Z471" s="551"/>
      <c r="AA471" s="551"/>
      <c r="AB471" s="551"/>
    </row>
    <row r="472" spans="1:28" ht="15" customHeight="1" x14ac:dyDescent="0.25">
      <c r="A472" s="507" t="s">
        <v>63</v>
      </c>
      <c r="B472" s="504"/>
      <c r="C472" s="504"/>
      <c r="D472" s="551"/>
      <c r="E472" s="509" t="s">
        <v>70</v>
      </c>
      <c r="J472" s="511">
        <f>J473+J564+J573</f>
        <v>7157673.8700000001</v>
      </c>
      <c r="K472" s="341"/>
      <c r="L472" s="2" t="s">
        <v>1284</v>
      </c>
      <c r="M472" s="75"/>
      <c r="N472" s="75"/>
      <c r="O472" s="551"/>
      <c r="P472" s="551"/>
      <c r="Q472" s="551"/>
      <c r="R472" s="551"/>
      <c r="S472" s="551"/>
      <c r="T472" s="551"/>
      <c r="U472" s="551"/>
      <c r="V472" s="551"/>
      <c r="W472" s="551"/>
      <c r="X472" s="551"/>
      <c r="Y472" s="551"/>
      <c r="Z472" s="551"/>
      <c r="AA472" s="551"/>
      <c r="AB472" s="551"/>
    </row>
    <row r="473" spans="1:28" ht="15" customHeight="1" x14ac:dyDescent="0.25">
      <c r="A473" s="786" t="s">
        <v>26</v>
      </c>
      <c r="B473" s="794"/>
      <c r="C473" s="794"/>
      <c r="D473" s="936"/>
      <c r="E473" s="793" t="s">
        <v>624</v>
      </c>
      <c r="F473" s="787"/>
      <c r="G473" s="787"/>
      <c r="H473" s="788"/>
      <c r="I473" s="986"/>
      <c r="J473" s="789">
        <f>J474+J547+J556</f>
        <v>5757573.8700000001</v>
      </c>
      <c r="K473" s="341"/>
      <c r="L473" s="2" t="s">
        <v>1285</v>
      </c>
      <c r="M473" s="81"/>
      <c r="N473" s="341"/>
      <c r="O473" s="551"/>
      <c r="P473" s="551"/>
      <c r="Q473" s="551"/>
      <c r="R473" s="551"/>
      <c r="S473" s="551"/>
      <c r="T473" s="551"/>
      <c r="U473" s="551"/>
      <c r="V473" s="551"/>
      <c r="W473" s="551"/>
      <c r="X473" s="551"/>
      <c r="Y473" s="551"/>
      <c r="Z473" s="551"/>
      <c r="AA473" s="551"/>
      <c r="AB473" s="551"/>
    </row>
    <row r="474" spans="1:28" x14ac:dyDescent="0.25">
      <c r="A474" s="507" t="s">
        <v>27</v>
      </c>
      <c r="B474" s="504"/>
      <c r="C474" s="504"/>
      <c r="D474" s="551"/>
      <c r="E474" s="71" t="s">
        <v>1830</v>
      </c>
      <c r="J474" s="511">
        <f>J483+J506+J515+J524+J530+J536+J545</f>
        <v>4750978.87</v>
      </c>
      <c r="K474" s="341"/>
      <c r="L474" s="828" t="s">
        <v>1286</v>
      </c>
      <c r="M474" s="573"/>
      <c r="N474" s="829" t="s">
        <v>1287</v>
      </c>
      <c r="O474" s="565">
        <f>K473+M474</f>
        <v>0</v>
      </c>
      <c r="P474" s="551"/>
      <c r="Q474" s="551"/>
      <c r="R474" s="551"/>
      <c r="S474" s="551"/>
      <c r="T474" s="551"/>
      <c r="U474" s="551"/>
      <c r="V474" s="551"/>
      <c r="W474" s="551"/>
      <c r="X474" s="551"/>
      <c r="Y474" s="551"/>
      <c r="Z474" s="551"/>
      <c r="AA474" s="551"/>
      <c r="AB474" s="551"/>
    </row>
    <row r="475" spans="1:28" x14ac:dyDescent="0.25">
      <c r="A475" s="1" t="s">
        <v>1140</v>
      </c>
      <c r="B475" s="1"/>
      <c r="C475" s="1"/>
      <c r="D475" s="1"/>
      <c r="E475" s="1"/>
      <c r="F475" s="1"/>
      <c r="G475" s="1"/>
      <c r="H475" s="4"/>
      <c r="I475" s="4"/>
      <c r="J475" s="4"/>
      <c r="K475" s="70"/>
      <c r="M475" s="579"/>
      <c r="N475" s="579"/>
      <c r="O475" s="579"/>
      <c r="P475" s="551"/>
      <c r="Q475" s="551"/>
      <c r="R475" s="551"/>
      <c r="S475" s="551"/>
      <c r="T475" s="551"/>
      <c r="U475" s="551"/>
      <c r="V475" s="551"/>
      <c r="W475" s="551"/>
      <c r="X475" s="551"/>
      <c r="Y475" s="551"/>
      <c r="Z475" s="551"/>
      <c r="AA475" s="551"/>
      <c r="AB475" s="551"/>
    </row>
    <row r="476" spans="1:28" x14ac:dyDescent="0.25">
      <c r="A476" s="2183" t="s">
        <v>8</v>
      </c>
      <c r="B476" s="2183" t="s">
        <v>35</v>
      </c>
      <c r="C476" s="2183"/>
      <c r="D476" s="2183"/>
      <c r="E476" s="2183"/>
      <c r="F476" s="2183"/>
      <c r="G476" s="2183" t="s">
        <v>2046</v>
      </c>
      <c r="H476" s="2183"/>
      <c r="I476" s="2183"/>
      <c r="J476" s="2183"/>
      <c r="K476" s="61" t="s">
        <v>1478</v>
      </c>
    </row>
    <row r="477" spans="1:28" ht="45" x14ac:dyDescent="0.25">
      <c r="A477" s="2183"/>
      <c r="B477" s="2183"/>
      <c r="C477" s="2183"/>
      <c r="D477" s="2183"/>
      <c r="E477" s="2183"/>
      <c r="F477" s="2183"/>
      <c r="G477" s="1408" t="s">
        <v>1141</v>
      </c>
      <c r="H477" s="1408" t="s">
        <v>1142</v>
      </c>
      <c r="I477" s="1408" t="s">
        <v>1143</v>
      </c>
      <c r="J477" s="1408" t="s">
        <v>256</v>
      </c>
      <c r="K477" s="343"/>
    </row>
    <row r="478" spans="1:28" x14ac:dyDescent="0.25">
      <c r="A478" s="2245" t="s">
        <v>2056</v>
      </c>
      <c r="B478" s="2324"/>
      <c r="C478" s="2324"/>
      <c r="D478" s="2324"/>
      <c r="E478" s="2324"/>
      <c r="F478" s="2324"/>
      <c r="G478" s="2324"/>
      <c r="H478" s="2324"/>
      <c r="I478" s="2324"/>
      <c r="J478" s="2325"/>
      <c r="K478" s="61"/>
    </row>
    <row r="479" spans="1:28" ht="33" customHeight="1" x14ac:dyDescent="0.25">
      <c r="A479" s="2326">
        <v>1</v>
      </c>
      <c r="B479" s="2180" t="s">
        <v>1145</v>
      </c>
      <c r="C479" s="2327"/>
      <c r="D479" s="2327"/>
      <c r="E479" s="2327"/>
      <c r="F479" s="2327"/>
      <c r="G479" s="717">
        <v>1</v>
      </c>
      <c r="H479" s="513">
        <v>8755</v>
      </c>
      <c r="I479" s="1434">
        <v>160.65</v>
      </c>
      <c r="J479" s="1404">
        <f>H479*I479</f>
        <v>1406490.75</v>
      </c>
      <c r="K479" s="61"/>
    </row>
    <row r="480" spans="1:28" ht="30" customHeight="1" x14ac:dyDescent="0.25">
      <c r="A480" s="2162"/>
      <c r="B480" s="2180" t="s">
        <v>1146</v>
      </c>
      <c r="C480" s="2327"/>
      <c r="D480" s="2327"/>
      <c r="E480" s="2327"/>
      <c r="F480" s="2327"/>
      <c r="G480" s="717">
        <v>1</v>
      </c>
      <c r="H480" s="513">
        <v>8755</v>
      </c>
      <c r="I480" s="1434">
        <v>160.65</v>
      </c>
      <c r="J480" s="1404">
        <f>H480*I480</f>
        <v>1406490.75</v>
      </c>
      <c r="K480" s="61"/>
      <c r="L480" s="552"/>
    </row>
    <row r="481" spans="1:14" x14ac:dyDescent="0.25">
      <c r="A481" s="2222" t="s">
        <v>2057</v>
      </c>
      <c r="B481" s="2316"/>
      <c r="C481" s="2316"/>
      <c r="D481" s="2316"/>
      <c r="E481" s="2316"/>
      <c r="F481" s="2316"/>
      <c r="G481" s="2316"/>
      <c r="H481" s="2316"/>
      <c r="I481" s="2316"/>
      <c r="J481" s="2317"/>
      <c r="K481" s="61"/>
      <c r="L481" s="552"/>
    </row>
    <row r="482" spans="1:14" x14ac:dyDescent="0.25">
      <c r="A482" s="1415">
        <v>2</v>
      </c>
      <c r="B482" s="2283" t="s">
        <v>1878</v>
      </c>
      <c r="C482" s="2219"/>
      <c r="D482" s="2219"/>
      <c r="E482" s="2219"/>
      <c r="F482" s="2219"/>
      <c r="G482" s="1377">
        <v>2</v>
      </c>
      <c r="H482" s="1229">
        <f>299*12</f>
        <v>3588</v>
      </c>
      <c r="I482" s="1420">
        <v>180</v>
      </c>
      <c r="J482" s="1426">
        <f>G482*H482*I482</f>
        <v>1291680</v>
      </c>
      <c r="K482" s="61"/>
      <c r="L482" s="552"/>
    </row>
    <row r="483" spans="1:14" x14ac:dyDescent="0.25">
      <c r="A483" s="2323" t="s">
        <v>39</v>
      </c>
      <c r="B483" s="2323"/>
      <c r="C483" s="2323"/>
      <c r="D483" s="2323"/>
      <c r="E483" s="2323"/>
      <c r="F483" s="2323"/>
      <c r="G483" s="2323"/>
      <c r="H483" s="2323"/>
      <c r="I483" s="2323"/>
      <c r="J483" s="1406">
        <f>SUM(J479:J482)</f>
        <v>4104661.5</v>
      </c>
      <c r="K483" s="344">
        <v>0</v>
      </c>
      <c r="L483" s="739">
        <f>J483-K483</f>
        <v>4104661.5</v>
      </c>
      <c r="M483" s="552"/>
    </row>
    <row r="484" spans="1:14" hidden="1" x14ac:dyDescent="0.25">
      <c r="A484" s="2264" t="s">
        <v>514</v>
      </c>
      <c r="B484" s="2265"/>
      <c r="C484" s="2265"/>
      <c r="D484" s="2265"/>
      <c r="E484" s="2265"/>
      <c r="F484" s="2265"/>
      <c r="G484" s="2265"/>
      <c r="H484" s="2265"/>
      <c r="I484" s="2265"/>
      <c r="J484" s="2265"/>
      <c r="K484" s="61"/>
    </row>
    <row r="485" spans="1:14" hidden="1" x14ac:dyDescent="0.25">
      <c r="A485" s="2266" t="s">
        <v>1134</v>
      </c>
      <c r="B485" s="2266"/>
      <c r="C485" s="2266"/>
      <c r="D485" s="2266"/>
      <c r="E485" s="2266"/>
      <c r="F485" s="2266"/>
      <c r="G485" s="2266"/>
      <c r="H485" s="2266"/>
      <c r="I485" s="2266"/>
      <c r="J485" s="1403">
        <v>0</v>
      </c>
      <c r="K485" s="344"/>
      <c r="L485" s="739"/>
    </row>
    <row r="486" spans="1:14" hidden="1" x14ac:dyDescent="0.25">
      <c r="A486" s="2266" t="s">
        <v>153</v>
      </c>
      <c r="B486" s="2266"/>
      <c r="C486" s="2266"/>
      <c r="D486" s="2266"/>
      <c r="E486" s="2266"/>
      <c r="F486" s="2266"/>
      <c r="G486" s="2266"/>
      <c r="H486" s="2266"/>
      <c r="I486" s="2266"/>
      <c r="J486" s="1403">
        <f>1242020+186158.5</f>
        <v>1428178.5</v>
      </c>
      <c r="N486" s="1051"/>
    </row>
    <row r="487" spans="1:14" hidden="1" x14ac:dyDescent="0.25">
      <c r="A487" s="2258" t="s">
        <v>619</v>
      </c>
      <c r="B487" s="2258"/>
      <c r="C487" s="2258"/>
      <c r="D487" s="2258"/>
      <c r="E487" s="2258"/>
      <c r="F487" s="2258"/>
      <c r="G487" s="2258"/>
      <c r="H487" s="2258"/>
      <c r="I487" s="2258"/>
      <c r="J487" s="821"/>
      <c r="K487" s="344"/>
      <c r="L487" s="739"/>
    </row>
    <row r="488" spans="1:14" hidden="1" x14ac:dyDescent="0.25">
      <c r="A488" s="2258" t="s">
        <v>1147</v>
      </c>
      <c r="B488" s="2258"/>
      <c r="C488" s="2258"/>
      <c r="D488" s="2258"/>
      <c r="E488" s="2258"/>
      <c r="F488" s="2258"/>
      <c r="G488" s="2258"/>
      <c r="H488" s="2258"/>
      <c r="I488" s="2258"/>
      <c r="J488" s="1098"/>
      <c r="K488" s="1483"/>
    </row>
    <row r="489" spans="1:14" x14ac:dyDescent="0.25">
      <c r="A489" s="909"/>
      <c r="B489" s="910"/>
      <c r="C489" s="910"/>
      <c r="D489" s="910"/>
      <c r="E489" s="910"/>
      <c r="F489" s="910"/>
      <c r="G489" s="910"/>
      <c r="H489" s="910"/>
      <c r="I489" s="910"/>
      <c r="J489" s="911"/>
      <c r="K489" s="70"/>
    </row>
    <row r="490" spans="1:14" hidden="1" x14ac:dyDescent="0.25">
      <c r="A490" s="1449" t="s">
        <v>310</v>
      </c>
      <c r="K490" s="561"/>
    </row>
    <row r="491" spans="1:14" hidden="1" x14ac:dyDescent="0.25">
      <c r="A491" s="2183" t="s">
        <v>8</v>
      </c>
      <c r="B491" s="2183" t="s">
        <v>35</v>
      </c>
      <c r="C491" s="2183"/>
      <c r="D491" s="2183"/>
      <c r="E491" s="2183"/>
      <c r="F491" s="2183"/>
      <c r="G491" s="2183" t="s">
        <v>61</v>
      </c>
      <c r="H491" s="2183" t="s">
        <v>1476</v>
      </c>
      <c r="I491" s="2183"/>
      <c r="J491" s="2183"/>
    </row>
    <row r="492" spans="1:14" ht="28.5" hidden="1" customHeight="1" x14ac:dyDescent="0.25">
      <c r="A492" s="2183"/>
      <c r="B492" s="2183"/>
      <c r="C492" s="2183"/>
      <c r="D492" s="2183"/>
      <c r="E492" s="2183"/>
      <c r="F492" s="2183"/>
      <c r="G492" s="2183"/>
      <c r="H492" s="1408" t="s">
        <v>248</v>
      </c>
      <c r="I492" s="1434" t="s">
        <v>264</v>
      </c>
      <c r="J492" s="1434" t="s">
        <v>256</v>
      </c>
      <c r="K492" s="551"/>
    </row>
    <row r="493" spans="1:14" ht="15" hidden="1" customHeight="1" x14ac:dyDescent="0.25">
      <c r="A493" s="1447">
        <v>1</v>
      </c>
      <c r="B493" s="2180" t="s">
        <v>87</v>
      </c>
      <c r="C493" s="2180"/>
      <c r="D493" s="2180"/>
      <c r="E493" s="2180"/>
      <c r="F493" s="2180"/>
      <c r="G493" s="1434" t="s">
        <v>298</v>
      </c>
      <c r="H493" s="513">
        <v>22</v>
      </c>
      <c r="I493" s="1434">
        <v>88</v>
      </c>
      <c r="J493" s="993">
        <f>H493*I493</f>
        <v>1936</v>
      </c>
      <c r="K493" s="564" t="s">
        <v>1478</v>
      </c>
    </row>
    <row r="494" spans="1:14" ht="15" hidden="1" customHeight="1" x14ac:dyDescent="0.25">
      <c r="A494" s="1447">
        <v>2</v>
      </c>
      <c r="B494" s="2180" t="s">
        <v>87</v>
      </c>
      <c r="C494" s="2180"/>
      <c r="D494" s="2180"/>
      <c r="E494" s="2180"/>
      <c r="F494" s="2180"/>
      <c r="G494" s="1434" t="s">
        <v>298</v>
      </c>
      <c r="H494" s="513">
        <v>192</v>
      </c>
      <c r="I494" s="1434">
        <v>35</v>
      </c>
      <c r="J494" s="993">
        <f>H494*I494</f>
        <v>6720</v>
      </c>
      <c r="K494" s="564" t="s">
        <v>1478</v>
      </c>
    </row>
    <row r="495" spans="1:14" hidden="1" x14ac:dyDescent="0.25">
      <c r="A495" s="2181" t="s">
        <v>39</v>
      </c>
      <c r="B495" s="2181"/>
      <c r="C495" s="2181"/>
      <c r="D495" s="2181"/>
      <c r="E495" s="2181"/>
      <c r="F495" s="2181"/>
      <c r="G495" s="2181"/>
      <c r="H495" s="2181"/>
      <c r="I495" s="2181"/>
      <c r="J495" s="1406">
        <f>SUM(J493:J494)</f>
        <v>8656</v>
      </c>
    </row>
    <row r="496" spans="1:14" hidden="1" x14ac:dyDescent="0.25">
      <c r="A496" s="2264" t="s">
        <v>514</v>
      </c>
      <c r="B496" s="2265"/>
      <c r="C496" s="2265"/>
      <c r="D496" s="2265"/>
      <c r="E496" s="2265"/>
      <c r="F496" s="2265"/>
      <c r="G496" s="2265"/>
      <c r="H496" s="2265"/>
      <c r="I496" s="2265"/>
      <c r="J496" s="2265"/>
    </row>
    <row r="497" spans="1:12" hidden="1" x14ac:dyDescent="0.25">
      <c r="A497" s="2266" t="s">
        <v>1134</v>
      </c>
      <c r="B497" s="2266"/>
      <c r="C497" s="2266"/>
      <c r="D497" s="2266"/>
      <c r="E497" s="2266"/>
      <c r="F497" s="2266"/>
      <c r="G497" s="2266"/>
      <c r="H497" s="2266"/>
      <c r="I497" s="2266"/>
      <c r="J497" s="1403">
        <v>0</v>
      </c>
    </row>
    <row r="498" spans="1:12" hidden="1" x14ac:dyDescent="0.25">
      <c r="A498" s="2266" t="s">
        <v>153</v>
      </c>
      <c r="B498" s="2266"/>
      <c r="C498" s="2266"/>
      <c r="D498" s="2266"/>
      <c r="E498" s="2266"/>
      <c r="F498" s="2266"/>
      <c r="G498" s="2266"/>
      <c r="H498" s="2266"/>
      <c r="I498" s="2266"/>
      <c r="J498" s="1403"/>
      <c r="K498" s="344">
        <v>0</v>
      </c>
      <c r="L498" s="739">
        <f>J498-K498</f>
        <v>0</v>
      </c>
    </row>
    <row r="499" spans="1:12" hidden="1" x14ac:dyDescent="0.25">
      <c r="A499" s="2258" t="s">
        <v>619</v>
      </c>
      <c r="B499" s="2258"/>
      <c r="C499" s="2258"/>
      <c r="D499" s="2258"/>
      <c r="E499" s="2258"/>
      <c r="F499" s="2258"/>
      <c r="G499" s="2258"/>
      <c r="H499" s="2258"/>
      <c r="I499" s="2258"/>
      <c r="J499" s="624"/>
    </row>
    <row r="500" spans="1:12" hidden="1" x14ac:dyDescent="0.25">
      <c r="A500" s="656"/>
      <c r="B500" s="656"/>
      <c r="C500" s="656"/>
      <c r="D500" s="656"/>
      <c r="E500" s="656"/>
      <c r="F500" s="656"/>
      <c r="G500" s="656"/>
      <c r="H500" s="656"/>
      <c r="I500" s="656"/>
      <c r="J500" s="559"/>
    </row>
    <row r="501" spans="1:12" x14ac:dyDescent="0.25">
      <c r="A501" s="799" t="s">
        <v>823</v>
      </c>
      <c r="B501" s="799"/>
      <c r="C501" s="799"/>
      <c r="D501" s="799"/>
      <c r="E501" s="799"/>
      <c r="F501" s="799"/>
      <c r="G501" s="799"/>
      <c r="H501" s="502"/>
      <c r="I501" s="502"/>
      <c r="J501" s="502"/>
    </row>
    <row r="502" spans="1:12" ht="15" customHeight="1" x14ac:dyDescent="0.25">
      <c r="A502" s="2170" t="s">
        <v>8</v>
      </c>
      <c r="B502" s="2170" t="s">
        <v>35</v>
      </c>
      <c r="C502" s="2170"/>
      <c r="D502" s="2170"/>
      <c r="E502" s="2170"/>
      <c r="F502" s="2170"/>
      <c r="G502" s="2170" t="s">
        <v>61</v>
      </c>
      <c r="H502" s="2170" t="s">
        <v>2046</v>
      </c>
      <c r="I502" s="2170"/>
      <c r="J502" s="2170"/>
      <c r="K502" s="552" t="s">
        <v>1478</v>
      </c>
    </row>
    <row r="503" spans="1:12" ht="32.25" customHeight="1" x14ac:dyDescent="0.25">
      <c r="A503" s="2170"/>
      <c r="B503" s="2170"/>
      <c r="C503" s="2170"/>
      <c r="D503" s="2170"/>
      <c r="E503" s="2170"/>
      <c r="F503" s="2170"/>
      <c r="G503" s="2170"/>
      <c r="H503" s="1410" t="s">
        <v>248</v>
      </c>
      <c r="I503" s="1410" t="s">
        <v>738</v>
      </c>
      <c r="J503" s="1410" t="s">
        <v>256</v>
      </c>
    </row>
    <row r="504" spans="1:12" ht="30" customHeight="1" x14ac:dyDescent="0.25">
      <c r="A504" s="1127">
        <v>1</v>
      </c>
      <c r="B504" s="2312" t="s">
        <v>2058</v>
      </c>
      <c r="C504" s="2313"/>
      <c r="D504" s="2313"/>
      <c r="E504" s="2313"/>
      <c r="F504" s="2314"/>
      <c r="G504" s="1420" t="s">
        <v>618</v>
      </c>
      <c r="H504" s="1421">
        <f>744*2</f>
        <v>1488</v>
      </c>
      <c r="I504" s="1420">
        <v>12.45</v>
      </c>
      <c r="J504" s="1426">
        <f>H504*I504</f>
        <v>18525.599999999999</v>
      </c>
    </row>
    <row r="505" spans="1:12" ht="30" customHeight="1" x14ac:dyDescent="0.25">
      <c r="A505" s="1127">
        <v>2</v>
      </c>
      <c r="B505" s="2312" t="s">
        <v>2059</v>
      </c>
      <c r="C505" s="2313"/>
      <c r="D505" s="2313"/>
      <c r="E505" s="2313"/>
      <c r="F505" s="2314"/>
      <c r="G505" s="1420" t="s">
        <v>618</v>
      </c>
      <c r="H505" s="1421">
        <v>16032</v>
      </c>
      <c r="I505" s="1420">
        <v>12.45</v>
      </c>
      <c r="J505" s="1426">
        <f>H505*I505</f>
        <v>199598.4</v>
      </c>
    </row>
    <row r="506" spans="1:12" ht="15" customHeight="1" x14ac:dyDescent="0.25">
      <c r="A506" s="2278" t="s">
        <v>39</v>
      </c>
      <c r="B506" s="2278"/>
      <c r="C506" s="2278"/>
      <c r="D506" s="2278"/>
      <c r="E506" s="2278"/>
      <c r="F506" s="2278"/>
      <c r="G506" s="2278"/>
      <c r="H506" s="1190" t="s">
        <v>5</v>
      </c>
      <c r="I506" s="1190" t="s">
        <v>5</v>
      </c>
      <c r="J506" s="1192">
        <f>SUM(J504:J505)</f>
        <v>218124</v>
      </c>
      <c r="K506" s="61"/>
    </row>
    <row r="507" spans="1:12" x14ac:dyDescent="0.25">
      <c r="A507" s="1444"/>
      <c r="B507" s="1444"/>
      <c r="C507" s="1444"/>
      <c r="D507" s="1444"/>
      <c r="E507" s="1444"/>
      <c r="F507" s="1444"/>
      <c r="G507" s="1444"/>
      <c r="H507" s="1444"/>
      <c r="I507" s="1444"/>
      <c r="J507" s="559"/>
    </row>
    <row r="508" spans="1:12" x14ac:dyDescent="0.25">
      <c r="A508" s="1457" t="s">
        <v>823</v>
      </c>
      <c r="B508" s="1457"/>
      <c r="C508" s="1457"/>
      <c r="D508" s="1457"/>
      <c r="E508" s="1457"/>
      <c r="F508" s="1457"/>
      <c r="G508" s="1457"/>
      <c r="H508" s="60"/>
      <c r="I508" s="69"/>
      <c r="J508" s="69"/>
      <c r="K508" s="61"/>
      <c r="L508" s="1378"/>
    </row>
    <row r="509" spans="1:12" x14ac:dyDescent="0.25">
      <c r="A509" s="2170" t="s">
        <v>8</v>
      </c>
      <c r="B509" s="2170" t="s">
        <v>35</v>
      </c>
      <c r="C509" s="2170"/>
      <c r="D509" s="2170"/>
      <c r="E509" s="2170"/>
      <c r="F509" s="2170"/>
      <c r="G509" s="2170" t="s">
        <v>61</v>
      </c>
      <c r="H509" s="2170" t="s">
        <v>2046</v>
      </c>
      <c r="I509" s="2170"/>
      <c r="J509" s="2170"/>
      <c r="K509" s="61" t="s">
        <v>1478</v>
      </c>
      <c r="L509" s="1378"/>
    </row>
    <row r="510" spans="1:12" ht="30" x14ac:dyDescent="0.25">
      <c r="A510" s="2170"/>
      <c r="B510" s="2170"/>
      <c r="C510" s="2170"/>
      <c r="D510" s="2170"/>
      <c r="E510" s="2170"/>
      <c r="F510" s="2170"/>
      <c r="G510" s="2170"/>
      <c r="H510" s="1418" t="s">
        <v>248</v>
      </c>
      <c r="I510" s="1426" t="s">
        <v>264</v>
      </c>
      <c r="J510" s="1426" t="s">
        <v>256</v>
      </c>
      <c r="K510" s="81"/>
      <c r="L510" s="1378"/>
    </row>
    <row r="511" spans="1:12" x14ac:dyDescent="0.25">
      <c r="A511" s="2086" t="s">
        <v>1881</v>
      </c>
      <c r="B511" s="2328"/>
      <c r="C511" s="2328"/>
      <c r="D511" s="2328"/>
      <c r="E511" s="2328"/>
      <c r="F511" s="2328"/>
      <c r="G511" s="2328"/>
      <c r="H511" s="2328"/>
      <c r="I511" s="2329"/>
      <c r="J511" s="1426"/>
      <c r="K511" s="81"/>
      <c r="L511" s="1378"/>
    </row>
    <row r="512" spans="1:12" x14ac:dyDescent="0.25">
      <c r="A512" s="1141">
        <v>1</v>
      </c>
      <c r="B512" s="2071" t="s">
        <v>1882</v>
      </c>
      <c r="C512" s="2030"/>
      <c r="D512" s="2030"/>
      <c r="E512" s="2030"/>
      <c r="F512" s="2031"/>
      <c r="G512" s="1426" t="s">
        <v>1862</v>
      </c>
      <c r="H512" s="1230">
        <v>25</v>
      </c>
      <c r="I512" s="1426">
        <v>373.13</v>
      </c>
      <c r="J512" s="1426">
        <f>H512*I512</f>
        <v>9328.25</v>
      </c>
      <c r="K512" s="344"/>
      <c r="L512" s="1378"/>
    </row>
    <row r="513" spans="1:12" x14ac:dyDescent="0.25">
      <c r="A513" s="1141">
        <v>2</v>
      </c>
      <c r="B513" s="2071" t="s">
        <v>1883</v>
      </c>
      <c r="C513" s="2030"/>
      <c r="D513" s="2030"/>
      <c r="E513" s="2030"/>
      <c r="F513" s="2031"/>
      <c r="G513" s="1426" t="s">
        <v>1862</v>
      </c>
      <c r="H513" s="1230">
        <v>64</v>
      </c>
      <c r="I513" s="1426">
        <v>531.33000000000004</v>
      </c>
      <c r="J513" s="1426">
        <f t="shared" ref="J513:J514" si="6">H513*I513</f>
        <v>34005.120000000003</v>
      </c>
      <c r="K513" s="344"/>
      <c r="L513" s="1378"/>
    </row>
    <row r="514" spans="1:12" x14ac:dyDescent="0.25">
      <c r="A514" s="1141">
        <v>3</v>
      </c>
      <c r="B514" s="1986" t="s">
        <v>1884</v>
      </c>
      <c r="C514" s="1986"/>
      <c r="D514" s="1986"/>
      <c r="E514" s="1986"/>
      <c r="F514" s="1986"/>
      <c r="G514" s="1426" t="s">
        <v>1862</v>
      </c>
      <c r="H514" s="1230">
        <v>110</v>
      </c>
      <c r="I514" s="1426">
        <v>597</v>
      </c>
      <c r="J514" s="1426">
        <f t="shared" si="6"/>
        <v>65670</v>
      </c>
      <c r="K514" s="344"/>
      <c r="L514" s="1378"/>
    </row>
    <row r="515" spans="1:12" x14ac:dyDescent="0.25">
      <c r="A515" s="2039" t="s">
        <v>39</v>
      </c>
      <c r="B515" s="2040"/>
      <c r="C515" s="2040"/>
      <c r="D515" s="2040"/>
      <c r="E515" s="2040"/>
      <c r="F515" s="2040"/>
      <c r="G515" s="2040"/>
      <c r="H515" s="2040"/>
      <c r="I515" s="2041"/>
      <c r="J515" s="1192">
        <f>SUM(J512:J514)</f>
        <v>109003.37</v>
      </c>
      <c r="K515" s="1379">
        <v>0</v>
      </c>
      <c r="L515" s="1380">
        <f>J515-K515</f>
        <v>109003.37</v>
      </c>
    </row>
    <row r="516" spans="1:12" x14ac:dyDescent="0.25">
      <c r="A516" s="63"/>
      <c r="B516" s="63"/>
      <c r="C516" s="63"/>
      <c r="D516" s="63"/>
      <c r="E516" s="63"/>
      <c r="F516" s="63"/>
      <c r="G516" s="63"/>
      <c r="H516" s="63"/>
      <c r="I516" s="63"/>
      <c r="J516" s="64"/>
      <c r="K516" s="61"/>
      <c r="L516" s="1378"/>
    </row>
    <row r="517" spans="1:12" x14ac:dyDescent="0.25">
      <c r="A517" s="1457" t="s">
        <v>823</v>
      </c>
      <c r="B517" s="1457"/>
      <c r="C517" s="1457"/>
      <c r="D517" s="1457"/>
      <c r="E517" s="1457"/>
      <c r="F517" s="1457"/>
      <c r="G517" s="1457"/>
      <c r="H517" s="60"/>
      <c r="I517" s="69"/>
      <c r="J517" s="69"/>
      <c r="K517" s="61"/>
      <c r="L517" s="1378"/>
    </row>
    <row r="518" spans="1:12" x14ac:dyDescent="0.25">
      <c r="A518" s="2170" t="s">
        <v>8</v>
      </c>
      <c r="B518" s="2170" t="s">
        <v>35</v>
      </c>
      <c r="C518" s="2170"/>
      <c r="D518" s="2170"/>
      <c r="E518" s="2170"/>
      <c r="F518" s="2170"/>
      <c r="G518" s="2170" t="s">
        <v>61</v>
      </c>
      <c r="H518" s="2170" t="s">
        <v>2046</v>
      </c>
      <c r="I518" s="2170"/>
      <c r="J518" s="2170"/>
      <c r="K518" s="61" t="s">
        <v>1478</v>
      </c>
      <c r="L518" s="1378"/>
    </row>
    <row r="519" spans="1:12" ht="30" x14ac:dyDescent="0.25">
      <c r="A519" s="2170"/>
      <c r="B519" s="2170"/>
      <c r="C519" s="2170"/>
      <c r="D519" s="2170"/>
      <c r="E519" s="2170"/>
      <c r="F519" s="2170"/>
      <c r="G519" s="2170"/>
      <c r="H519" s="1418" t="s">
        <v>248</v>
      </c>
      <c r="I519" s="1426" t="s">
        <v>264</v>
      </c>
      <c r="J519" s="1426" t="s">
        <v>256</v>
      </c>
      <c r="K519" s="81"/>
      <c r="L519" s="1378"/>
    </row>
    <row r="520" spans="1:12" x14ac:dyDescent="0.25">
      <c r="A520" s="2086" t="s">
        <v>1885</v>
      </c>
      <c r="B520" s="2328"/>
      <c r="C520" s="2328"/>
      <c r="D520" s="2328"/>
      <c r="E520" s="2328"/>
      <c r="F520" s="2328"/>
      <c r="G520" s="2328"/>
      <c r="H520" s="2328"/>
      <c r="I520" s="2329"/>
      <c r="J520" s="1426"/>
      <c r="K520" s="81"/>
      <c r="L520" s="1378"/>
    </row>
    <row r="521" spans="1:12" x14ac:dyDescent="0.25">
      <c r="A521" s="1141">
        <v>1</v>
      </c>
      <c r="B521" s="1986" t="s">
        <v>1892</v>
      </c>
      <c r="C521" s="1986"/>
      <c r="D521" s="1986"/>
      <c r="E521" s="1986"/>
      <c r="F521" s="1986"/>
      <c r="G521" s="1426" t="s">
        <v>1862</v>
      </c>
      <c r="H521" s="1230">
        <v>10</v>
      </c>
      <c r="I521" s="1426">
        <v>1000</v>
      </c>
      <c r="J521" s="1426">
        <f>H521*I521</f>
        <v>10000</v>
      </c>
      <c r="K521" s="344"/>
      <c r="L521" s="1378"/>
    </row>
    <row r="522" spans="1:12" x14ac:dyDescent="0.25">
      <c r="A522" s="1141">
        <v>3</v>
      </c>
      <c r="B522" s="1986" t="s">
        <v>1893</v>
      </c>
      <c r="C522" s="1986"/>
      <c r="D522" s="1986"/>
      <c r="E522" s="1986"/>
      <c r="F522" s="1986"/>
      <c r="G522" s="1426" t="s">
        <v>1862</v>
      </c>
      <c r="H522" s="1230">
        <v>50</v>
      </c>
      <c r="I522" s="1426">
        <v>1200</v>
      </c>
      <c r="J522" s="1426">
        <f>H522*I522</f>
        <v>60000</v>
      </c>
      <c r="K522" s="344"/>
      <c r="L522" s="1378"/>
    </row>
    <row r="523" spans="1:12" x14ac:dyDescent="0.25">
      <c r="A523" s="1141">
        <v>5</v>
      </c>
      <c r="B523" s="1986" t="s">
        <v>1246</v>
      </c>
      <c r="C523" s="1986"/>
      <c r="D523" s="1986"/>
      <c r="E523" s="1986"/>
      <c r="F523" s="1986"/>
      <c r="G523" s="1426" t="s">
        <v>1862</v>
      </c>
      <c r="H523" s="1230">
        <v>60</v>
      </c>
      <c r="I523" s="1426">
        <v>340</v>
      </c>
      <c r="J523" s="1426">
        <f t="shared" ref="J523" si="7">H523*I523</f>
        <v>20400</v>
      </c>
      <c r="K523" s="344"/>
      <c r="L523" s="1378"/>
    </row>
    <row r="524" spans="1:12" x14ac:dyDescent="0.25">
      <c r="A524" s="2039" t="s">
        <v>39</v>
      </c>
      <c r="B524" s="2040"/>
      <c r="C524" s="2040"/>
      <c r="D524" s="2040"/>
      <c r="E524" s="2040"/>
      <c r="F524" s="2040"/>
      <c r="G524" s="2040"/>
      <c r="H524" s="2040"/>
      <c r="I524" s="2041"/>
      <c r="J524" s="1192">
        <f>SUM(J521:J523)</f>
        <v>90400</v>
      </c>
      <c r="K524" s="1379">
        <v>0</v>
      </c>
      <c r="L524" s="1380">
        <f>J524-K524</f>
        <v>90400</v>
      </c>
    </row>
    <row r="525" spans="1:12" x14ac:dyDescent="0.25">
      <c r="A525" s="63"/>
      <c r="B525" s="63"/>
      <c r="C525" s="63"/>
      <c r="D525" s="63"/>
      <c r="E525" s="63"/>
      <c r="F525" s="63"/>
      <c r="G525" s="63"/>
      <c r="H525" s="63"/>
      <c r="I525" s="63"/>
      <c r="J525" s="64"/>
      <c r="K525" s="61"/>
      <c r="L525" s="1378"/>
    </row>
    <row r="526" spans="1:12" x14ac:dyDescent="0.25">
      <c r="A526" s="1457" t="s">
        <v>823</v>
      </c>
      <c r="B526" s="1457"/>
      <c r="C526" s="1457"/>
      <c r="D526" s="1457"/>
      <c r="E526" s="1457"/>
      <c r="F526" s="1457"/>
      <c r="G526" s="1457"/>
      <c r="H526" s="60"/>
      <c r="I526" s="69"/>
      <c r="J526" s="69"/>
      <c r="K526" s="61"/>
      <c r="L526" s="1378"/>
    </row>
    <row r="527" spans="1:12" x14ac:dyDescent="0.25">
      <c r="A527" s="2170" t="s">
        <v>8</v>
      </c>
      <c r="B527" s="2170" t="s">
        <v>35</v>
      </c>
      <c r="C527" s="2170"/>
      <c r="D527" s="2170"/>
      <c r="E527" s="2170"/>
      <c r="F527" s="2170"/>
      <c r="G527" s="2170" t="s">
        <v>61</v>
      </c>
      <c r="H527" s="2170" t="s">
        <v>2046</v>
      </c>
      <c r="I527" s="2170"/>
      <c r="J527" s="2170"/>
      <c r="K527" s="61"/>
      <c r="L527" s="1378"/>
    </row>
    <row r="528" spans="1:12" ht="30" x14ac:dyDescent="0.25">
      <c r="A528" s="2170"/>
      <c r="B528" s="2170"/>
      <c r="C528" s="2170"/>
      <c r="D528" s="2170"/>
      <c r="E528" s="2170"/>
      <c r="F528" s="2170"/>
      <c r="G528" s="2170"/>
      <c r="H528" s="1418" t="s">
        <v>248</v>
      </c>
      <c r="I528" s="1426" t="s">
        <v>264</v>
      </c>
      <c r="J528" s="1426" t="s">
        <v>256</v>
      </c>
      <c r="K528" s="81"/>
      <c r="L528" s="1378"/>
    </row>
    <row r="529" spans="1:12" ht="29.25" customHeight="1" x14ac:dyDescent="0.25">
      <c r="A529" s="1381">
        <v>1</v>
      </c>
      <c r="B529" s="2071" t="s">
        <v>1886</v>
      </c>
      <c r="C529" s="2030"/>
      <c r="D529" s="2030"/>
      <c r="E529" s="2030"/>
      <c r="F529" s="2031"/>
      <c r="G529" s="1426" t="s">
        <v>273</v>
      </c>
      <c r="H529" s="1230">
        <v>106</v>
      </c>
      <c r="I529" s="1426">
        <v>700</v>
      </c>
      <c r="J529" s="1426">
        <f>H529*I529</f>
        <v>74200</v>
      </c>
      <c r="K529" s="1382"/>
      <c r="L529" s="1378"/>
    </row>
    <row r="530" spans="1:12" x14ac:dyDescent="0.25">
      <c r="A530" s="2039" t="s">
        <v>39</v>
      </c>
      <c r="B530" s="2040"/>
      <c r="C530" s="2040"/>
      <c r="D530" s="2040"/>
      <c r="E530" s="2040"/>
      <c r="F530" s="2040"/>
      <c r="G530" s="2040"/>
      <c r="H530" s="2040"/>
      <c r="I530" s="2041"/>
      <c r="J530" s="1192">
        <f>SUM(J529:J529)</f>
        <v>74200</v>
      </c>
      <c r="K530" s="344">
        <v>0</v>
      </c>
      <c r="L530" s="1380">
        <f>J530-K530</f>
        <v>74200</v>
      </c>
    </row>
    <row r="531" spans="1:12" x14ac:dyDescent="0.25">
      <c r="A531" s="63"/>
      <c r="B531" s="63"/>
      <c r="C531" s="63"/>
      <c r="D531" s="63"/>
      <c r="E531" s="63"/>
      <c r="F531" s="63"/>
      <c r="G531" s="63"/>
      <c r="H531" s="63"/>
      <c r="I531" s="63"/>
      <c r="J531" s="64"/>
      <c r="K531" s="61"/>
      <c r="L531" s="1378"/>
    </row>
    <row r="532" spans="1:12" x14ac:dyDescent="0.25">
      <c r="A532" s="1457" t="s">
        <v>823</v>
      </c>
      <c r="B532" s="1457"/>
      <c r="C532" s="1457"/>
      <c r="D532" s="1457"/>
      <c r="E532" s="1457"/>
      <c r="F532" s="1457"/>
      <c r="G532" s="1457"/>
      <c r="H532" s="60"/>
      <c r="I532" s="69"/>
      <c r="J532" s="69"/>
      <c r="K532" s="61"/>
      <c r="L532" s="1378"/>
    </row>
    <row r="533" spans="1:12" x14ac:dyDescent="0.25">
      <c r="A533" s="2019" t="s">
        <v>8</v>
      </c>
      <c r="B533" s="1926" t="s">
        <v>35</v>
      </c>
      <c r="C533" s="2171"/>
      <c r="D533" s="2171"/>
      <c r="E533" s="2171"/>
      <c r="F533" s="2170" t="s">
        <v>61</v>
      </c>
      <c r="G533" s="1926" t="s">
        <v>2046</v>
      </c>
      <c r="H533" s="2173"/>
      <c r="I533" s="2173"/>
      <c r="J533" s="2173"/>
      <c r="K533" s="61" t="s">
        <v>1478</v>
      </c>
      <c r="L533" s="1378"/>
    </row>
    <row r="534" spans="1:12" ht="45" x14ac:dyDescent="0.25">
      <c r="A534" s="2161"/>
      <c r="B534" s="2171"/>
      <c r="C534" s="2171"/>
      <c r="D534" s="2171"/>
      <c r="E534" s="2171"/>
      <c r="F534" s="2170"/>
      <c r="G534" s="1418" t="s">
        <v>248</v>
      </c>
      <c r="H534" s="1418" t="s">
        <v>255</v>
      </c>
      <c r="I534" s="1426" t="s">
        <v>264</v>
      </c>
      <c r="J534" s="1426" t="s">
        <v>256</v>
      </c>
      <c r="K534" s="61"/>
      <c r="L534" s="1378"/>
    </row>
    <row r="535" spans="1:12" ht="30.75" customHeight="1" x14ac:dyDescent="0.25">
      <c r="A535" s="1141">
        <v>1</v>
      </c>
      <c r="B535" s="2003" t="s">
        <v>1267</v>
      </c>
      <c r="C535" s="2163"/>
      <c r="D535" s="2163"/>
      <c r="E535" s="2244"/>
      <c r="F535" s="1426" t="s">
        <v>1887</v>
      </c>
      <c r="G535" s="1230">
        <v>3</v>
      </c>
      <c r="H535" s="1230">
        <v>50</v>
      </c>
      <c r="I535" s="1426">
        <v>800</v>
      </c>
      <c r="J535" s="1426">
        <f>G535*H535*I535</f>
        <v>120000</v>
      </c>
      <c r="K535" s="344"/>
      <c r="L535" s="1378"/>
    </row>
    <row r="536" spans="1:12" x14ac:dyDescent="0.25">
      <c r="A536" s="2039" t="s">
        <v>39</v>
      </c>
      <c r="B536" s="2040"/>
      <c r="C536" s="2040"/>
      <c r="D536" s="2040"/>
      <c r="E536" s="2040"/>
      <c r="F536" s="2040"/>
      <c r="G536" s="2040"/>
      <c r="H536" s="2040"/>
      <c r="I536" s="2041"/>
      <c r="J536" s="1192">
        <f>SUM(J535)</f>
        <v>120000</v>
      </c>
      <c r="K536" s="344">
        <v>0</v>
      </c>
      <c r="L536" s="1380">
        <f>J536-K536</f>
        <v>120000</v>
      </c>
    </row>
    <row r="537" spans="1:12" x14ac:dyDescent="0.25">
      <c r="A537" s="63"/>
      <c r="B537" s="63"/>
      <c r="C537" s="63"/>
      <c r="D537" s="63"/>
      <c r="E537" s="63"/>
      <c r="F537" s="63"/>
      <c r="G537" s="63"/>
      <c r="H537" s="63"/>
      <c r="I537" s="63"/>
      <c r="J537" s="64"/>
      <c r="K537" s="61"/>
      <c r="L537" s="1378"/>
    </row>
    <row r="538" spans="1:12" x14ac:dyDescent="0.25">
      <c r="A538" s="1457" t="s">
        <v>1270</v>
      </c>
      <c r="B538" s="1457"/>
      <c r="C538" s="1457"/>
      <c r="D538" s="1457"/>
      <c r="E538" s="1457"/>
      <c r="F538" s="1457"/>
      <c r="G538" s="1457"/>
      <c r="H538" s="60"/>
      <c r="I538" s="69"/>
      <c r="J538" s="69"/>
      <c r="K538" s="61"/>
      <c r="L538" s="1378"/>
    </row>
    <row r="539" spans="1:12" x14ac:dyDescent="0.25">
      <c r="A539" s="2170" t="s">
        <v>8</v>
      </c>
      <c r="B539" s="2170" t="s">
        <v>35</v>
      </c>
      <c r="C539" s="2170"/>
      <c r="D539" s="2170"/>
      <c r="E539" s="2170"/>
      <c r="F539" s="2170"/>
      <c r="G539" s="1926" t="s">
        <v>2046</v>
      </c>
      <c r="H539" s="2173"/>
      <c r="I539" s="2173"/>
      <c r="J539" s="2173"/>
      <c r="K539" s="61"/>
      <c r="L539" s="1378"/>
    </row>
    <row r="540" spans="1:12" ht="30" x14ac:dyDescent="0.25">
      <c r="A540" s="2170"/>
      <c r="B540" s="2170"/>
      <c r="C540" s="2170"/>
      <c r="D540" s="2170"/>
      <c r="E540" s="2170"/>
      <c r="F540" s="2170"/>
      <c r="G540" s="1418" t="s">
        <v>61</v>
      </c>
      <c r="H540" s="1418" t="s">
        <v>248</v>
      </c>
      <c r="I540" s="1426" t="s">
        <v>264</v>
      </c>
      <c r="J540" s="1426" t="s">
        <v>256</v>
      </c>
      <c r="K540" s="1452"/>
      <c r="L540" s="1378"/>
    </row>
    <row r="541" spans="1:12" x14ac:dyDescent="0.25">
      <c r="A541" s="1141">
        <v>1</v>
      </c>
      <c r="B541" s="1986" t="s">
        <v>1888</v>
      </c>
      <c r="C541" s="1986"/>
      <c r="D541" s="1986"/>
      <c r="E541" s="1986"/>
      <c r="F541" s="1986"/>
      <c r="G541" s="1426" t="s">
        <v>273</v>
      </c>
      <c r="H541" s="1230">
        <v>1</v>
      </c>
      <c r="I541" s="1426">
        <v>1600</v>
      </c>
      <c r="J541" s="1426">
        <f t="shared" ref="J541:J544" si="8">H541*I541</f>
        <v>1600</v>
      </c>
      <c r="K541" s="70"/>
      <c r="L541" s="1378"/>
    </row>
    <row r="542" spans="1:12" x14ac:dyDescent="0.25">
      <c r="A542" s="1141">
        <v>2</v>
      </c>
      <c r="B542" s="1986" t="s">
        <v>1889</v>
      </c>
      <c r="C542" s="1986"/>
      <c r="D542" s="1986"/>
      <c r="E542" s="1986"/>
      <c r="F542" s="1986"/>
      <c r="G542" s="1426" t="s">
        <v>273</v>
      </c>
      <c r="H542" s="1230">
        <v>1</v>
      </c>
      <c r="I542" s="1426">
        <v>2400</v>
      </c>
      <c r="J542" s="1426">
        <f t="shared" si="8"/>
        <v>2400</v>
      </c>
      <c r="K542" s="70"/>
      <c r="L542" s="1378"/>
    </row>
    <row r="543" spans="1:12" x14ac:dyDescent="0.25">
      <c r="A543" s="1141">
        <v>3</v>
      </c>
      <c r="B543" s="1986" t="s">
        <v>1890</v>
      </c>
      <c r="C543" s="1986"/>
      <c r="D543" s="1986"/>
      <c r="E543" s="1986"/>
      <c r="F543" s="1986"/>
      <c r="G543" s="1426" t="s">
        <v>273</v>
      </c>
      <c r="H543" s="1230">
        <v>1</v>
      </c>
      <c r="I543" s="1426">
        <v>3000</v>
      </c>
      <c r="J543" s="1426">
        <f t="shared" si="8"/>
        <v>3000</v>
      </c>
      <c r="K543" s="61"/>
      <c r="L543" s="1378"/>
    </row>
    <row r="544" spans="1:12" x14ac:dyDescent="0.25">
      <c r="A544" s="1141">
        <v>4</v>
      </c>
      <c r="B544" s="1986" t="s">
        <v>1891</v>
      </c>
      <c r="C544" s="1986"/>
      <c r="D544" s="1986"/>
      <c r="E544" s="1986"/>
      <c r="F544" s="1986"/>
      <c r="G544" s="1426" t="s">
        <v>273</v>
      </c>
      <c r="H544" s="1230">
        <v>31</v>
      </c>
      <c r="I544" s="1426">
        <v>890</v>
      </c>
      <c r="J544" s="1426">
        <f t="shared" si="8"/>
        <v>27590</v>
      </c>
      <c r="K544" s="61"/>
      <c r="L544" s="1378"/>
    </row>
    <row r="545" spans="1:28" x14ac:dyDescent="0.25">
      <c r="A545" s="2039" t="s">
        <v>39</v>
      </c>
      <c r="B545" s="2040"/>
      <c r="C545" s="2040"/>
      <c r="D545" s="2040"/>
      <c r="E545" s="2040"/>
      <c r="F545" s="2040"/>
      <c r="G545" s="2040"/>
      <c r="H545" s="2040"/>
      <c r="I545" s="2041"/>
      <c r="J545" s="1192">
        <f>SUM(J541:J544)</f>
        <v>34590</v>
      </c>
      <c r="K545" s="344">
        <v>0</v>
      </c>
      <c r="L545" s="1383">
        <f>J545-K545</f>
        <v>34590</v>
      </c>
    </row>
    <row r="546" spans="1:28" x14ac:dyDescent="0.25">
      <c r="A546" s="1444"/>
      <c r="B546" s="1444"/>
      <c r="C546" s="1444"/>
      <c r="D546" s="1444"/>
      <c r="E546" s="1444"/>
      <c r="F546" s="1444"/>
      <c r="G546" s="1444"/>
      <c r="H546" s="1444"/>
      <c r="I546" s="1444"/>
      <c r="J546" s="559"/>
    </row>
    <row r="547" spans="1:28" x14ac:dyDescent="0.25">
      <c r="A547" s="994" t="s">
        <v>27</v>
      </c>
      <c r="B547" s="995"/>
      <c r="C547" s="995"/>
      <c r="D547" s="995"/>
      <c r="E547" s="795" t="s">
        <v>1896</v>
      </c>
      <c r="F547" s="995"/>
      <c r="G547" s="996"/>
      <c r="H547" s="999"/>
      <c r="I547" s="996"/>
      <c r="J547" s="998">
        <f>J582</f>
        <v>73195</v>
      </c>
      <c r="K547" s="561"/>
      <c r="M547" s="578"/>
      <c r="N547" s="561"/>
      <c r="O547" s="551"/>
      <c r="P547" s="551"/>
      <c r="Q547" s="551"/>
      <c r="R547" s="551"/>
      <c r="S547" s="551"/>
      <c r="T547" s="551"/>
      <c r="U547" s="551"/>
      <c r="V547" s="551"/>
      <c r="W547" s="551"/>
      <c r="X547" s="551"/>
      <c r="Y547" s="551"/>
      <c r="Z547" s="551"/>
      <c r="AA547" s="551"/>
      <c r="AB547" s="551"/>
    </row>
    <row r="548" spans="1:28" x14ac:dyDescent="0.25">
      <c r="A548" s="1449" t="s">
        <v>321</v>
      </c>
      <c r="E548" s="504"/>
      <c r="G548" s="505"/>
      <c r="H548" s="576"/>
      <c r="I548" s="505"/>
      <c r="J548" s="505"/>
      <c r="K548" s="561"/>
      <c r="M548" s="578"/>
      <c r="N548" s="561"/>
      <c r="O548" s="551"/>
      <c r="P548" s="551"/>
      <c r="Q548" s="551"/>
      <c r="R548" s="551"/>
      <c r="S548" s="551"/>
      <c r="T548" s="551"/>
      <c r="U548" s="551"/>
      <c r="V548" s="551"/>
      <c r="W548" s="551"/>
      <c r="X548" s="551"/>
      <c r="Y548" s="551"/>
      <c r="Z548" s="551"/>
      <c r="AA548" s="551"/>
      <c r="AB548" s="551"/>
    </row>
    <row r="549" spans="1:28" x14ac:dyDescent="0.25">
      <c r="A549" s="2183" t="s">
        <v>8</v>
      </c>
      <c r="B549" s="2183" t="s">
        <v>35</v>
      </c>
      <c r="C549" s="2183"/>
      <c r="D549" s="2183"/>
      <c r="E549" s="2183"/>
      <c r="F549" s="2183"/>
      <c r="G549" s="2183" t="s">
        <v>61</v>
      </c>
      <c r="H549" s="2184" t="s">
        <v>2046</v>
      </c>
      <c r="I549" s="2185"/>
      <c r="J549" s="2186"/>
      <c r="K549" s="561"/>
      <c r="M549" s="578"/>
      <c r="N549" s="561"/>
      <c r="O549" s="551"/>
      <c r="P549" s="551"/>
      <c r="Q549" s="551"/>
      <c r="R549" s="551"/>
      <c r="S549" s="551"/>
      <c r="T549" s="551"/>
      <c r="U549" s="551"/>
      <c r="V549" s="551"/>
      <c r="W549" s="551"/>
      <c r="X549" s="551"/>
      <c r="Y549" s="551"/>
      <c r="Z549" s="551"/>
      <c r="AA549" s="551"/>
      <c r="AB549" s="551"/>
    </row>
    <row r="550" spans="1:28" ht="30" customHeight="1" x14ac:dyDescent="0.25">
      <c r="A550" s="2183"/>
      <c r="B550" s="2183"/>
      <c r="C550" s="2183"/>
      <c r="D550" s="2183"/>
      <c r="E550" s="2183"/>
      <c r="F550" s="2183"/>
      <c r="G550" s="2183"/>
      <c r="H550" s="580" t="s">
        <v>1173</v>
      </c>
      <c r="I550" s="1408" t="s">
        <v>264</v>
      </c>
      <c r="J550" s="1408" t="s">
        <v>256</v>
      </c>
      <c r="K550" s="561"/>
      <c r="L550" s="561"/>
      <c r="M550" s="561"/>
      <c r="N550" s="561"/>
      <c r="O550" s="551"/>
      <c r="P550" s="551"/>
      <c r="Q550" s="551"/>
      <c r="R550" s="551"/>
      <c r="S550" s="551"/>
      <c r="T550" s="551"/>
      <c r="U550" s="551"/>
      <c r="V550" s="551"/>
      <c r="W550" s="551"/>
      <c r="X550" s="551"/>
      <c r="Y550" s="551"/>
      <c r="Z550" s="551"/>
      <c r="AA550" s="551"/>
      <c r="AB550" s="551"/>
    </row>
    <row r="551" spans="1:28" x14ac:dyDescent="0.25">
      <c r="A551" s="1447">
        <v>1</v>
      </c>
      <c r="B551" s="2180" t="s">
        <v>1613</v>
      </c>
      <c r="C551" s="2180"/>
      <c r="D551" s="2180"/>
      <c r="E551" s="2180"/>
      <c r="F551" s="2180"/>
      <c r="G551" s="1434" t="s">
        <v>108</v>
      </c>
      <c r="H551" s="580">
        <f>72</f>
        <v>72</v>
      </c>
      <c r="I551" s="1434">
        <v>391</v>
      </c>
      <c r="J551" s="59">
        <f>H551*I551</f>
        <v>28152</v>
      </c>
      <c r="K551" s="561"/>
      <c r="L551" s="854"/>
      <c r="M551" s="552"/>
      <c r="N551" s="561"/>
      <c r="O551" s="551"/>
      <c r="P551" s="551"/>
      <c r="Q551" s="551"/>
      <c r="R551" s="551"/>
      <c r="S551" s="551"/>
      <c r="T551" s="551"/>
      <c r="U551" s="551"/>
      <c r="V551" s="551"/>
      <c r="W551" s="551"/>
      <c r="X551" s="551"/>
      <c r="Y551" s="551"/>
      <c r="Z551" s="551"/>
      <c r="AA551" s="551"/>
      <c r="AB551" s="551"/>
    </row>
    <row r="552" spans="1:28" x14ac:dyDescent="0.25">
      <c r="A552" s="1447">
        <v>2</v>
      </c>
      <c r="B552" s="2180" t="s">
        <v>1614</v>
      </c>
      <c r="C552" s="2180"/>
      <c r="D552" s="2180"/>
      <c r="E552" s="2180"/>
      <c r="F552" s="2180"/>
      <c r="G552" s="1434" t="s">
        <v>108</v>
      </c>
      <c r="H552" s="580">
        <v>72</v>
      </c>
      <c r="I552" s="1434">
        <v>391</v>
      </c>
      <c r="J552" s="59">
        <f>H552*I552</f>
        <v>28152</v>
      </c>
      <c r="K552" s="561"/>
      <c r="L552" s="561"/>
      <c r="M552" s="561"/>
      <c r="N552" s="561"/>
      <c r="O552" s="551"/>
      <c r="P552" s="551"/>
      <c r="Q552" s="551"/>
      <c r="R552" s="551"/>
      <c r="S552" s="551"/>
      <c r="T552" s="551"/>
      <c r="U552" s="551"/>
      <c r="V552" s="551"/>
      <c r="W552" s="551"/>
      <c r="X552" s="551"/>
      <c r="Y552" s="551"/>
      <c r="Z552" s="551"/>
      <c r="AA552" s="551"/>
      <c r="AB552" s="551"/>
    </row>
    <row r="553" spans="1:28" x14ac:dyDescent="0.25">
      <c r="A553" s="1447">
        <v>3</v>
      </c>
      <c r="B553" s="2210" t="s">
        <v>1678</v>
      </c>
      <c r="C553" s="2211"/>
      <c r="D553" s="2211"/>
      <c r="E553" s="2211"/>
      <c r="F553" s="2211"/>
      <c r="G553" s="2211"/>
      <c r="H553" s="2211"/>
      <c r="I553" s="2330"/>
      <c r="J553" s="59">
        <f>(J551+J552)*30%</f>
        <v>16891</v>
      </c>
      <c r="L553" s="561"/>
      <c r="M553" s="561"/>
      <c r="N553" s="561"/>
      <c r="O553" s="551"/>
      <c r="P553" s="551"/>
      <c r="Q553" s="551"/>
      <c r="R553" s="551"/>
      <c r="S553" s="551"/>
      <c r="T553" s="551"/>
      <c r="U553" s="551"/>
      <c r="V553" s="551"/>
      <c r="W553" s="551"/>
      <c r="X553" s="551"/>
      <c r="Y553" s="551"/>
      <c r="Z553" s="551"/>
      <c r="AA553" s="551"/>
      <c r="AB553" s="551"/>
    </row>
    <row r="554" spans="1:28" x14ac:dyDescent="0.25">
      <c r="A554" s="2181" t="s">
        <v>39</v>
      </c>
      <c r="B554" s="2181"/>
      <c r="C554" s="2181"/>
      <c r="D554" s="2181"/>
      <c r="E554" s="2181"/>
      <c r="F554" s="2181"/>
      <c r="G554" s="2181"/>
      <c r="H554" s="581" t="s">
        <v>5</v>
      </c>
      <c r="I554" s="1437" t="s">
        <v>5</v>
      </c>
      <c r="J554" s="1406">
        <f>SUM(J551:J553)</f>
        <v>73195</v>
      </c>
      <c r="L554" s="552"/>
      <c r="M554" s="561"/>
      <c r="N554" s="561"/>
      <c r="O554" s="551"/>
      <c r="P554" s="551"/>
      <c r="Q554" s="551"/>
      <c r="R554" s="551"/>
      <c r="S554" s="551"/>
      <c r="T554" s="551"/>
      <c r="U554" s="551"/>
      <c r="V554" s="551"/>
      <c r="W554" s="551"/>
      <c r="X554" s="551"/>
      <c r="Y554" s="551"/>
      <c r="Z554" s="551"/>
      <c r="AA554" s="551"/>
      <c r="AB554" s="551"/>
    </row>
    <row r="555" spans="1:28" x14ac:dyDescent="0.25">
      <c r="M555" s="578"/>
    </row>
    <row r="556" spans="1:28" x14ac:dyDescent="0.25">
      <c r="A556" s="994" t="s">
        <v>27</v>
      </c>
      <c r="B556" s="796"/>
      <c r="C556" s="796"/>
      <c r="D556" s="796"/>
      <c r="E556" s="795" t="s">
        <v>1897</v>
      </c>
      <c r="F556" s="796"/>
      <c r="G556" s="796"/>
      <c r="H556" s="797"/>
      <c r="I556" s="1384"/>
      <c r="J556" s="798">
        <f>J562</f>
        <v>933400</v>
      </c>
      <c r="M556" s="578"/>
    </row>
    <row r="557" spans="1:28" x14ac:dyDescent="0.25">
      <c r="A557" s="1449" t="s">
        <v>318</v>
      </c>
      <c r="M557" s="578"/>
    </row>
    <row r="558" spans="1:28" x14ac:dyDescent="0.25">
      <c r="A558" s="2183" t="s">
        <v>8</v>
      </c>
      <c r="B558" s="2331" t="s">
        <v>35</v>
      </c>
      <c r="C558" s="2157"/>
      <c r="D558" s="2332"/>
      <c r="E558" s="2184" t="s">
        <v>2046</v>
      </c>
      <c r="F558" s="2225"/>
      <c r="G558" s="2225"/>
      <c r="H558" s="2225"/>
      <c r="I558" s="2225"/>
      <c r="J558" s="2226"/>
      <c r="M558" s="578"/>
    </row>
    <row r="559" spans="1:28" ht="30" x14ac:dyDescent="0.25">
      <c r="A559" s="2183"/>
      <c r="B559" s="2159"/>
      <c r="C559" s="2160"/>
      <c r="D559" s="2161"/>
      <c r="E559" s="1455" t="s">
        <v>61</v>
      </c>
      <c r="F559" s="1455" t="s">
        <v>1170</v>
      </c>
      <c r="G559" s="1455" t="s">
        <v>1171</v>
      </c>
      <c r="H559" s="1455" t="s">
        <v>931</v>
      </c>
      <c r="I559" s="1455" t="s">
        <v>1172</v>
      </c>
      <c r="J559" s="1455" t="s">
        <v>297</v>
      </c>
      <c r="M559" s="578"/>
    </row>
    <row r="560" spans="1:28" ht="48" customHeight="1" x14ac:dyDescent="0.25">
      <c r="A560" s="1447">
        <v>1</v>
      </c>
      <c r="B560" s="2210" t="s">
        <v>1717</v>
      </c>
      <c r="C560" s="2335"/>
      <c r="D560" s="2336"/>
      <c r="E560" s="1455" t="s">
        <v>299</v>
      </c>
      <c r="F560" s="513">
        <v>21</v>
      </c>
      <c r="G560" s="513">
        <f>125+125</f>
        <v>250</v>
      </c>
      <c r="H560" s="1434">
        <v>359</v>
      </c>
      <c r="I560" s="541">
        <v>40</v>
      </c>
      <c r="J560" s="1404">
        <f>F560*G560*H560*I560%</f>
        <v>753900</v>
      </c>
      <c r="M560" s="578"/>
    </row>
    <row r="561" spans="1:23" ht="48" customHeight="1" x14ac:dyDescent="0.25">
      <c r="A561" s="1447">
        <v>2</v>
      </c>
      <c r="B561" s="2210" t="s">
        <v>1489</v>
      </c>
      <c r="C561" s="2335"/>
      <c r="D561" s="2336"/>
      <c r="E561" s="1455" t="s">
        <v>299</v>
      </c>
      <c r="F561" s="513">
        <v>5</v>
      </c>
      <c r="G561" s="513">
        <f>125+125</f>
        <v>250</v>
      </c>
      <c r="H561" s="1434">
        <v>359</v>
      </c>
      <c r="I561" s="541">
        <v>40</v>
      </c>
      <c r="J561" s="1404">
        <f>F561*G561*H561*I561%</f>
        <v>179500</v>
      </c>
      <c r="M561" s="578"/>
    </row>
    <row r="562" spans="1:23" x14ac:dyDescent="0.25">
      <c r="A562" s="2181" t="s">
        <v>39</v>
      </c>
      <c r="B562" s="2181"/>
      <c r="C562" s="2181"/>
      <c r="D562" s="2181"/>
      <c r="E562" s="2181"/>
      <c r="F562" s="2181"/>
      <c r="G562" s="2181"/>
      <c r="H562" s="1437" t="s">
        <v>5</v>
      </c>
      <c r="I562" s="1437" t="s">
        <v>5</v>
      </c>
      <c r="J562" s="1437">
        <f>SUM(J560:J561)</f>
        <v>933400</v>
      </c>
      <c r="M562" s="578"/>
    </row>
    <row r="563" spans="1:23" x14ac:dyDescent="0.25">
      <c r="M563" s="578"/>
    </row>
    <row r="564" spans="1:23" x14ac:dyDescent="0.25">
      <c r="A564" s="994" t="s">
        <v>26</v>
      </c>
      <c r="B564" s="796"/>
      <c r="C564" s="796"/>
      <c r="D564" s="796"/>
      <c r="E564" s="795" t="s">
        <v>731</v>
      </c>
      <c r="F564" s="995"/>
      <c r="G564" s="995"/>
      <c r="H564" s="996"/>
      <c r="I564" s="997"/>
      <c r="J564" s="998">
        <f>J571</f>
        <v>1400100</v>
      </c>
      <c r="M564" s="578"/>
    </row>
    <row r="565" spans="1:23" x14ac:dyDescent="0.25">
      <c r="A565" s="507" t="s">
        <v>27</v>
      </c>
      <c r="B565" s="504"/>
      <c r="C565" s="504"/>
      <c r="D565" s="504"/>
      <c r="E565" s="509" t="s">
        <v>1898</v>
      </c>
      <c r="J565" s="511">
        <f>J571</f>
        <v>1400100</v>
      </c>
      <c r="M565" s="578"/>
    </row>
    <row r="566" spans="1:23" x14ac:dyDescent="0.25">
      <c r="A566" s="1449" t="s">
        <v>318</v>
      </c>
      <c r="M566" s="578"/>
    </row>
    <row r="567" spans="1:23" ht="15" customHeight="1" x14ac:dyDescent="0.25">
      <c r="A567" s="2183" t="s">
        <v>8</v>
      </c>
      <c r="B567" s="2331" t="s">
        <v>35</v>
      </c>
      <c r="C567" s="2157"/>
      <c r="D567" s="2332"/>
      <c r="E567" s="2184" t="s">
        <v>2046</v>
      </c>
      <c r="F567" s="2225"/>
      <c r="G567" s="2225"/>
      <c r="H567" s="2225"/>
      <c r="I567" s="2225"/>
      <c r="J567" s="2226"/>
      <c r="M567" s="578"/>
      <c r="N567" s="1438"/>
      <c r="O567" s="2017"/>
      <c r="P567" s="2017"/>
      <c r="Q567" s="2333"/>
      <c r="R567" s="1438"/>
      <c r="S567" s="1438"/>
      <c r="T567" s="1438"/>
      <c r="U567" s="1438"/>
      <c r="V567" s="1438"/>
      <c r="W567" s="1438"/>
    </row>
    <row r="568" spans="1:23" ht="32.25" customHeight="1" x14ac:dyDescent="0.25">
      <c r="A568" s="2183"/>
      <c r="B568" s="2159"/>
      <c r="C568" s="2160"/>
      <c r="D568" s="2161"/>
      <c r="E568" s="1455" t="s">
        <v>61</v>
      </c>
      <c r="F568" s="1455" t="s">
        <v>1170</v>
      </c>
      <c r="G568" s="1455" t="s">
        <v>1171</v>
      </c>
      <c r="H568" s="1455" t="s">
        <v>931</v>
      </c>
      <c r="I568" s="1455" t="s">
        <v>1172</v>
      </c>
      <c r="J568" s="1455" t="s">
        <v>297</v>
      </c>
      <c r="M568" s="578"/>
      <c r="N568" s="1438"/>
      <c r="O568" s="2016"/>
      <c r="P568" s="2016"/>
      <c r="Q568" s="2334"/>
      <c r="R568" s="1438"/>
      <c r="S568" s="1438"/>
      <c r="T568" s="1438"/>
      <c r="U568" s="97"/>
      <c r="V568" s="508"/>
      <c r="W568" s="98"/>
    </row>
    <row r="569" spans="1:23" ht="42.75" customHeight="1" x14ac:dyDescent="0.25">
      <c r="A569" s="1447">
        <v>1</v>
      </c>
      <c r="B569" s="2210" t="s">
        <v>1717</v>
      </c>
      <c r="C569" s="2335"/>
      <c r="D569" s="2336"/>
      <c r="E569" s="1455" t="s">
        <v>299</v>
      </c>
      <c r="F569" s="513">
        <v>21</v>
      </c>
      <c r="G569" s="513">
        <f>125+125</f>
        <v>250</v>
      </c>
      <c r="H569" s="1434">
        <v>359</v>
      </c>
      <c r="I569" s="541">
        <v>60</v>
      </c>
      <c r="J569" s="1404">
        <f>F569*G569*H569*I569%</f>
        <v>1130850</v>
      </c>
      <c r="K569" s="564"/>
      <c r="L569" s="739"/>
      <c r="M569" s="578"/>
      <c r="N569" s="97"/>
      <c r="O569" s="2016"/>
      <c r="P569" s="2016"/>
      <c r="Q569" s="2334"/>
      <c r="R569" s="1438"/>
      <c r="S569" s="1438"/>
      <c r="T569" s="1438"/>
      <c r="U569" s="97"/>
      <c r="V569" s="508"/>
      <c r="W569" s="740"/>
    </row>
    <row r="570" spans="1:23" ht="42.75" customHeight="1" x14ac:dyDescent="0.25">
      <c r="A570" s="1447">
        <v>2</v>
      </c>
      <c r="B570" s="2210" t="s">
        <v>1489</v>
      </c>
      <c r="C570" s="2335"/>
      <c r="D570" s="2336"/>
      <c r="E570" s="1455" t="s">
        <v>299</v>
      </c>
      <c r="F570" s="513">
        <v>5</v>
      </c>
      <c r="G570" s="513">
        <f>125+125</f>
        <v>250</v>
      </c>
      <c r="H570" s="1434">
        <v>359</v>
      </c>
      <c r="I570" s="541">
        <v>60</v>
      </c>
      <c r="J570" s="1404">
        <f>F570*G570*H570*I570%</f>
        <v>269250</v>
      </c>
      <c r="K570" s="564"/>
      <c r="M570" s="578"/>
      <c r="N570" s="2077"/>
      <c r="O570" s="2077"/>
      <c r="P570" s="2077"/>
      <c r="Q570" s="2077"/>
      <c r="R570" s="2077"/>
      <c r="S570" s="2077"/>
      <c r="T570" s="2077"/>
      <c r="U570" s="2077"/>
      <c r="V570" s="2077"/>
      <c r="W570" s="741"/>
    </row>
    <row r="571" spans="1:23" x14ac:dyDescent="0.25">
      <c r="A571" s="2181" t="s">
        <v>39</v>
      </c>
      <c r="B571" s="2181"/>
      <c r="C571" s="2181"/>
      <c r="D571" s="2181"/>
      <c r="E571" s="2181"/>
      <c r="F571" s="2181"/>
      <c r="G571" s="2181"/>
      <c r="H571" s="1437" t="s">
        <v>5</v>
      </c>
      <c r="I571" s="1437" t="s">
        <v>5</v>
      </c>
      <c r="J571" s="1437">
        <f>SUM(J569:J570)</f>
        <v>1400100</v>
      </c>
      <c r="M571" s="578"/>
      <c r="N571" s="600"/>
      <c r="O571" s="600"/>
      <c r="P571" s="600"/>
      <c r="Q571" s="600"/>
      <c r="R571" s="600"/>
      <c r="S571" s="600"/>
      <c r="T571" s="600"/>
      <c r="U571" s="600"/>
      <c r="V571" s="600"/>
      <c r="W571" s="600"/>
    </row>
    <row r="572" spans="1:23" x14ac:dyDescent="0.25">
      <c r="A572" s="560"/>
      <c r="B572" s="560"/>
      <c r="C572" s="560"/>
      <c r="D572" s="560"/>
      <c r="E572" s="560"/>
      <c r="F572" s="560"/>
      <c r="G572" s="560"/>
      <c r="H572" s="554"/>
      <c r="I572" s="554"/>
      <c r="J572" s="554"/>
      <c r="M572" s="578"/>
      <c r="N572" s="600"/>
      <c r="O572" s="600"/>
      <c r="P572" s="600"/>
      <c r="Q572" s="600"/>
      <c r="R572" s="600"/>
      <c r="S572" s="600"/>
      <c r="T572" s="600"/>
      <c r="U572" s="600"/>
      <c r="V572" s="600"/>
      <c r="W572" s="600"/>
    </row>
    <row r="573" spans="1:23" hidden="1" x14ac:dyDescent="0.25">
      <c r="A573" s="973" t="s">
        <v>26</v>
      </c>
      <c r="B573" s="981"/>
      <c r="C573" s="981"/>
      <c r="D573" s="981"/>
      <c r="E573" s="975" t="s">
        <v>626</v>
      </c>
      <c r="F573" s="976"/>
      <c r="G573" s="976"/>
      <c r="H573" s="977"/>
      <c r="I573" s="978"/>
      <c r="J573" s="979">
        <f>J574</f>
        <v>0</v>
      </c>
      <c r="K573" s="341"/>
      <c r="L573" s="2" t="s">
        <v>1284</v>
      </c>
      <c r="M573" s="75"/>
      <c r="N573" s="889"/>
      <c r="O573" s="890"/>
    </row>
    <row r="574" spans="1:23" hidden="1" x14ac:dyDescent="0.25">
      <c r="A574" s="507" t="s">
        <v>27</v>
      </c>
      <c r="B574" s="504"/>
      <c r="C574" s="504"/>
      <c r="D574" s="504"/>
      <c r="E574" s="509" t="s">
        <v>1837</v>
      </c>
      <c r="J574" s="511">
        <f>J579</f>
        <v>0</v>
      </c>
      <c r="K574" s="341"/>
      <c r="L574" s="2" t="s">
        <v>1285</v>
      </c>
      <c r="M574" s="81"/>
      <c r="N574" s="341"/>
    </row>
    <row r="575" spans="1:23" hidden="1" x14ac:dyDescent="0.25">
      <c r="A575" s="1449" t="s">
        <v>318</v>
      </c>
      <c r="K575" s="341"/>
      <c r="L575" s="828" t="s">
        <v>1286</v>
      </c>
      <c r="M575" s="573"/>
      <c r="N575" s="829" t="s">
        <v>1287</v>
      </c>
    </row>
    <row r="576" spans="1:23" hidden="1" x14ac:dyDescent="0.25">
      <c r="A576" s="2183" t="s">
        <v>8</v>
      </c>
      <c r="B576" s="2183" t="s">
        <v>35</v>
      </c>
      <c r="C576" s="2183"/>
      <c r="D576" s="2183"/>
      <c r="E576" s="2183"/>
      <c r="F576" s="2183"/>
      <c r="G576" s="2183" t="s">
        <v>61</v>
      </c>
      <c r="H576" s="2184" t="s">
        <v>1827</v>
      </c>
      <c r="I576" s="2185"/>
      <c r="J576" s="2186"/>
      <c r="K576" s="593"/>
      <c r="M576" s="578"/>
    </row>
    <row r="577" spans="1:28" ht="30" hidden="1" customHeight="1" x14ac:dyDescent="0.25">
      <c r="A577" s="2183"/>
      <c r="B577" s="2183"/>
      <c r="C577" s="2183"/>
      <c r="D577" s="2183"/>
      <c r="E577" s="2183"/>
      <c r="F577" s="2183"/>
      <c r="G577" s="2183"/>
      <c r="H577" s="1408" t="s">
        <v>248</v>
      </c>
      <c r="I577" s="1434" t="s">
        <v>264</v>
      </c>
      <c r="J577" s="1434" t="s">
        <v>256</v>
      </c>
      <c r="M577" s="578"/>
    </row>
    <row r="578" spans="1:28" hidden="1" x14ac:dyDescent="0.25">
      <c r="A578" s="1447">
        <v>1</v>
      </c>
      <c r="B578" s="2180" t="s">
        <v>1942</v>
      </c>
      <c r="C578" s="2180"/>
      <c r="D578" s="2180"/>
      <c r="E578" s="2180"/>
      <c r="F578" s="2180"/>
      <c r="G578" s="1434" t="s">
        <v>643</v>
      </c>
      <c r="H578" s="513"/>
      <c r="I578" s="572">
        <v>500000</v>
      </c>
      <c r="J578" s="1404">
        <f t="shared" ref="J578" si="9">H578*I578</f>
        <v>0</v>
      </c>
      <c r="K578" s="564"/>
      <c r="L578" s="739"/>
      <c r="M578" s="578"/>
    </row>
    <row r="579" spans="1:28" hidden="1" x14ac:dyDescent="0.25">
      <c r="A579" s="2181" t="s">
        <v>39</v>
      </c>
      <c r="B579" s="2181"/>
      <c r="C579" s="2181"/>
      <c r="D579" s="2181"/>
      <c r="E579" s="2181"/>
      <c r="F579" s="2181"/>
      <c r="G579" s="2181"/>
      <c r="H579" s="1437" t="s">
        <v>5</v>
      </c>
      <c r="I579" s="1437" t="s">
        <v>5</v>
      </c>
      <c r="J579" s="1437">
        <f>SUM(J578:J578)</f>
        <v>0</v>
      </c>
      <c r="M579" s="578"/>
    </row>
    <row r="580" spans="1:28" hidden="1" x14ac:dyDescent="0.25">
      <c r="M580" s="578"/>
    </row>
    <row r="581" spans="1:28" hidden="1" x14ac:dyDescent="0.25">
      <c r="A581" s="2264" t="s">
        <v>514</v>
      </c>
      <c r="B581" s="2265"/>
      <c r="C581" s="2265"/>
      <c r="D581" s="2265"/>
      <c r="E581" s="2265"/>
      <c r="F581" s="2265"/>
      <c r="G581" s="2265"/>
      <c r="H581" s="2265"/>
      <c r="I581" s="2265"/>
      <c r="J581" s="2265"/>
      <c r="K581" s="551"/>
      <c r="L581" s="551"/>
      <c r="M581" s="551"/>
      <c r="O581" s="551"/>
      <c r="P581" s="551"/>
      <c r="Q581" s="551"/>
      <c r="R581" s="551"/>
      <c r="S581" s="551"/>
      <c r="T581" s="551"/>
      <c r="U581" s="551"/>
      <c r="V581" s="551"/>
      <c r="W581" s="551"/>
      <c r="X581" s="551"/>
      <c r="Y581" s="551"/>
      <c r="Z581" s="551"/>
      <c r="AA581" s="551"/>
      <c r="AB581" s="551"/>
    </row>
    <row r="582" spans="1:28" hidden="1" x14ac:dyDescent="0.25">
      <c r="A582" s="2266" t="s">
        <v>153</v>
      </c>
      <c r="B582" s="2266"/>
      <c r="C582" s="2266"/>
      <c r="D582" s="2266"/>
      <c r="E582" s="2266"/>
      <c r="F582" s="2266"/>
      <c r="G582" s="2266"/>
      <c r="H582" s="2266"/>
      <c r="I582" s="2266"/>
      <c r="J582" s="724">
        <v>73195</v>
      </c>
      <c r="K582" s="551"/>
      <c r="L582" s="551"/>
      <c r="M582" s="551"/>
      <c r="O582" s="551"/>
      <c r="P582" s="551"/>
      <c r="Q582" s="551"/>
      <c r="R582" s="551"/>
      <c r="S582" s="551"/>
      <c r="T582" s="551"/>
      <c r="U582" s="551"/>
      <c r="V582" s="551"/>
      <c r="W582" s="551"/>
      <c r="X582" s="551"/>
      <c r="Y582" s="551"/>
      <c r="Z582" s="551"/>
      <c r="AA582" s="551"/>
      <c r="AB582" s="551"/>
    </row>
    <row r="583" spans="1:28" hidden="1" x14ac:dyDescent="0.25">
      <c r="A583" s="2258" t="s">
        <v>619</v>
      </c>
      <c r="B583" s="2258"/>
      <c r="C583" s="2258"/>
      <c r="D583" s="2258"/>
      <c r="E583" s="2258"/>
      <c r="F583" s="2258"/>
      <c r="G583" s="2258"/>
      <c r="H583" s="2258"/>
      <c r="I583" s="2258"/>
      <c r="J583" s="624">
        <f>J554-J582</f>
        <v>0</v>
      </c>
      <c r="K583" s="551"/>
      <c r="L583" s="551"/>
      <c r="M583" s="551"/>
      <c r="O583" s="551"/>
      <c r="P583" s="551"/>
      <c r="Q583" s="551"/>
      <c r="R583" s="551"/>
      <c r="S583" s="551"/>
      <c r="T583" s="551"/>
      <c r="U583" s="551"/>
      <c r="V583" s="551"/>
      <c r="W583" s="551"/>
      <c r="X583" s="551"/>
      <c r="Y583" s="551"/>
      <c r="Z583" s="551"/>
      <c r="AA583" s="551"/>
      <c r="AB583" s="551"/>
    </row>
    <row r="584" spans="1:28" x14ac:dyDescent="0.25">
      <c r="A584" s="507" t="s">
        <v>63</v>
      </c>
      <c r="B584" s="504"/>
      <c r="C584" s="504"/>
      <c r="D584" s="508"/>
      <c r="E584" s="509" t="s">
        <v>79</v>
      </c>
      <c r="J584" s="511">
        <f>J585+J597</f>
        <v>14300</v>
      </c>
      <c r="L584" s="551"/>
      <c r="M584" s="552"/>
      <c r="N584" s="551"/>
      <c r="O584" s="551"/>
      <c r="P584" s="551"/>
      <c r="Q584" s="551"/>
      <c r="R584" s="551"/>
      <c r="S584" s="551"/>
      <c r="T584" s="551"/>
      <c r="U584" s="551"/>
      <c r="V584" s="551"/>
      <c r="W584" s="551"/>
      <c r="X584" s="551"/>
      <c r="Y584" s="551"/>
      <c r="Z584" s="551"/>
      <c r="AA584" s="551"/>
      <c r="AB584" s="551"/>
    </row>
    <row r="585" spans="1:28" hidden="1" x14ac:dyDescent="0.25">
      <c r="A585" s="786" t="s">
        <v>26</v>
      </c>
      <c r="B585" s="794"/>
      <c r="C585" s="794"/>
      <c r="D585" s="935"/>
      <c r="E585" s="793" t="s">
        <v>624</v>
      </c>
      <c r="F585" s="787"/>
      <c r="G585" s="787"/>
      <c r="H585" s="788"/>
      <c r="I585" s="986"/>
      <c r="J585" s="789">
        <f>J594</f>
        <v>0</v>
      </c>
      <c r="L585" s="582"/>
      <c r="M585" s="551"/>
      <c r="N585" s="551"/>
      <c r="O585" s="551"/>
      <c r="P585" s="551"/>
      <c r="Q585" s="551"/>
      <c r="R585" s="551"/>
      <c r="S585" s="551"/>
      <c r="T585" s="551"/>
      <c r="U585" s="551"/>
      <c r="V585" s="551"/>
      <c r="W585" s="551"/>
      <c r="X585" s="551"/>
      <c r="Y585" s="551"/>
      <c r="Z585" s="551"/>
      <c r="AA585" s="551"/>
      <c r="AB585" s="551"/>
    </row>
    <row r="586" spans="1:28" hidden="1" x14ac:dyDescent="0.25">
      <c r="A586" s="507" t="s">
        <v>27</v>
      </c>
      <c r="B586" s="504"/>
      <c r="C586" s="504"/>
      <c r="D586" s="508"/>
      <c r="E586" s="509" t="s">
        <v>1477</v>
      </c>
      <c r="K586" s="551"/>
      <c r="L586" s="551"/>
      <c r="M586" s="551"/>
      <c r="N586" s="551"/>
      <c r="O586" s="551"/>
      <c r="P586" s="551"/>
      <c r="Q586" s="551"/>
      <c r="R586" s="551"/>
      <c r="S586" s="551"/>
      <c r="T586" s="551"/>
      <c r="U586" s="551"/>
      <c r="V586" s="551"/>
      <c r="W586" s="551"/>
      <c r="X586" s="551"/>
      <c r="Y586" s="551"/>
      <c r="Z586" s="551"/>
      <c r="AA586" s="551"/>
      <c r="AB586" s="551"/>
    </row>
    <row r="587" spans="1:28" hidden="1" x14ac:dyDescent="0.25">
      <c r="A587" s="1449" t="s">
        <v>325</v>
      </c>
      <c r="K587" s="551"/>
      <c r="L587" s="551"/>
      <c r="M587" s="551"/>
      <c r="N587" s="551"/>
      <c r="O587" s="551"/>
      <c r="P587" s="551"/>
      <c r="Q587" s="551"/>
      <c r="R587" s="551"/>
      <c r="S587" s="551"/>
      <c r="T587" s="551"/>
      <c r="U587" s="551"/>
      <c r="V587" s="551"/>
      <c r="W587" s="551"/>
      <c r="X587" s="551"/>
      <c r="Y587" s="551"/>
      <c r="Z587" s="551"/>
      <c r="AA587" s="551"/>
      <c r="AB587" s="551"/>
    </row>
    <row r="588" spans="1:28" hidden="1" x14ac:dyDescent="0.25">
      <c r="A588" s="2183" t="s">
        <v>8</v>
      </c>
      <c r="B588" s="2183" t="s">
        <v>35</v>
      </c>
      <c r="C588" s="2183"/>
      <c r="D588" s="2183"/>
      <c r="E588" s="2183"/>
      <c r="F588" s="2183"/>
      <c r="G588" s="2183" t="s">
        <v>61</v>
      </c>
      <c r="H588" s="2184" t="s">
        <v>1476</v>
      </c>
      <c r="I588" s="2185"/>
      <c r="J588" s="2186"/>
      <c r="L588" s="551"/>
      <c r="M588" s="551"/>
      <c r="N588" s="551"/>
      <c r="O588" s="551"/>
      <c r="P588" s="551"/>
      <c r="Q588" s="551"/>
      <c r="R588" s="551"/>
      <c r="S588" s="551"/>
      <c r="T588" s="551"/>
      <c r="U588" s="551"/>
      <c r="V588" s="551"/>
      <c r="W588" s="551"/>
      <c r="X588" s="551"/>
      <c r="Y588" s="551"/>
      <c r="Z588" s="551"/>
      <c r="AA588" s="551"/>
      <c r="AB588" s="551"/>
    </row>
    <row r="589" spans="1:28" ht="30" hidden="1" x14ac:dyDescent="0.25">
      <c r="A589" s="2183"/>
      <c r="B589" s="2183"/>
      <c r="C589" s="2183"/>
      <c r="D589" s="2183"/>
      <c r="E589" s="2183"/>
      <c r="F589" s="2183"/>
      <c r="G589" s="2183"/>
      <c r="H589" s="1408" t="s">
        <v>248</v>
      </c>
      <c r="I589" s="1434" t="s">
        <v>264</v>
      </c>
      <c r="J589" s="1434" t="s">
        <v>256</v>
      </c>
      <c r="K589" s="551"/>
      <c r="L589" s="551"/>
      <c r="M589" s="551"/>
      <c r="N589" s="551"/>
      <c r="O589" s="551"/>
      <c r="P589" s="551"/>
      <c r="Q589" s="551"/>
      <c r="R589" s="551"/>
      <c r="S589" s="551"/>
      <c r="T589" s="551"/>
      <c r="U589" s="551"/>
      <c r="V589" s="551"/>
      <c r="W589" s="551"/>
      <c r="X589" s="551"/>
      <c r="Y589" s="551"/>
      <c r="Z589" s="551"/>
      <c r="AA589" s="551"/>
      <c r="AB589" s="551"/>
    </row>
    <row r="590" spans="1:28" ht="33" hidden="1" customHeight="1" x14ac:dyDescent="0.25">
      <c r="A590" s="1447">
        <v>1</v>
      </c>
      <c r="B590" s="2180" t="s">
        <v>734</v>
      </c>
      <c r="C590" s="2180"/>
      <c r="D590" s="2180"/>
      <c r="E590" s="2180"/>
      <c r="F590" s="2180"/>
      <c r="G590" s="1434" t="s">
        <v>633</v>
      </c>
      <c r="H590" s="513">
        <v>1</v>
      </c>
      <c r="I590" s="1434">
        <v>9971.16</v>
      </c>
      <c r="J590" s="1434">
        <f>H590*I590</f>
        <v>9971.16</v>
      </c>
      <c r="K590" s="551"/>
      <c r="L590" s="551"/>
      <c r="M590" s="551"/>
      <c r="N590" s="551"/>
      <c r="O590" s="551"/>
      <c r="P590" s="551"/>
      <c r="Q590" s="551"/>
      <c r="R590" s="551"/>
      <c r="S590" s="551"/>
      <c r="T590" s="551"/>
      <c r="U590" s="551"/>
      <c r="V590" s="551"/>
      <c r="W590" s="551"/>
      <c r="X590" s="551"/>
      <c r="Y590" s="551"/>
      <c r="Z590" s="551"/>
      <c r="AA590" s="551"/>
      <c r="AB590" s="551"/>
    </row>
    <row r="591" spans="1:28" hidden="1" x14ac:dyDescent="0.25">
      <c r="A591" s="1447">
        <v>1</v>
      </c>
      <c r="B591" s="2210" t="s">
        <v>301</v>
      </c>
      <c r="C591" s="2211"/>
      <c r="D591" s="2212"/>
      <c r="E591" s="2212"/>
      <c r="F591" s="2339"/>
      <c r="G591" s="1434" t="s">
        <v>108</v>
      </c>
      <c r="H591" s="513">
        <v>1</v>
      </c>
      <c r="I591" s="1434">
        <v>4000</v>
      </c>
      <c r="J591" s="1434">
        <f>H591*I591</f>
        <v>4000</v>
      </c>
      <c r="K591" s="551"/>
      <c r="L591" s="551"/>
      <c r="M591" s="551"/>
      <c r="N591" s="551"/>
      <c r="O591" s="551"/>
      <c r="P591" s="551"/>
      <c r="Q591" s="551"/>
      <c r="R591" s="551"/>
      <c r="S591" s="551"/>
      <c r="T591" s="551"/>
      <c r="U591" s="551"/>
      <c r="V591" s="551"/>
      <c r="W591" s="551"/>
      <c r="X591" s="551"/>
      <c r="Y591" s="551"/>
      <c r="Z591" s="551"/>
      <c r="AA591" s="551"/>
      <c r="AB591" s="551"/>
    </row>
    <row r="592" spans="1:28" hidden="1" x14ac:dyDescent="0.25">
      <c r="A592" s="2181" t="s">
        <v>39</v>
      </c>
      <c r="B592" s="2181"/>
      <c r="C592" s="2181"/>
      <c r="D592" s="2181"/>
      <c r="E592" s="2181"/>
      <c r="F592" s="2181"/>
      <c r="G592" s="2181"/>
      <c r="H592" s="1437" t="s">
        <v>5</v>
      </c>
      <c r="I592" s="1437" t="s">
        <v>5</v>
      </c>
      <c r="J592" s="1437">
        <f>J591</f>
        <v>4000</v>
      </c>
      <c r="K592" s="551"/>
      <c r="M592" s="551"/>
      <c r="N592" s="551"/>
      <c r="O592" s="551"/>
      <c r="P592" s="551"/>
      <c r="Q592" s="551"/>
      <c r="R592" s="551"/>
      <c r="S592" s="551"/>
      <c r="T592" s="551"/>
      <c r="U592" s="551"/>
      <c r="V592" s="551"/>
      <c r="W592" s="551"/>
      <c r="X592" s="551"/>
      <c r="Y592" s="551"/>
      <c r="Z592" s="551"/>
      <c r="AA592" s="551"/>
      <c r="AB592" s="551"/>
    </row>
    <row r="593" spans="1:28" hidden="1" x14ac:dyDescent="0.25">
      <c r="A593" s="2264" t="s">
        <v>514</v>
      </c>
      <c r="B593" s="2265"/>
      <c r="C593" s="2265"/>
      <c r="D593" s="2265"/>
      <c r="E593" s="2265"/>
      <c r="F593" s="2265"/>
      <c r="G593" s="2265"/>
      <c r="H593" s="2265"/>
      <c r="I593" s="2265"/>
      <c r="J593" s="2265"/>
      <c r="K593" s="551"/>
      <c r="L593" s="551"/>
      <c r="M593" s="551"/>
      <c r="O593" s="551"/>
      <c r="P593" s="551"/>
      <c r="Q593" s="551"/>
      <c r="R593" s="551"/>
      <c r="S593" s="551"/>
      <c r="T593" s="551"/>
      <c r="U593" s="551"/>
      <c r="V593" s="551"/>
      <c r="W593" s="551"/>
      <c r="X593" s="551"/>
      <c r="Y593" s="551"/>
      <c r="Z593" s="551"/>
      <c r="AA593" s="551"/>
      <c r="AB593" s="551"/>
    </row>
    <row r="594" spans="1:28" hidden="1" x14ac:dyDescent="0.25">
      <c r="A594" s="2266" t="s">
        <v>153</v>
      </c>
      <c r="B594" s="2266"/>
      <c r="C594" s="2266"/>
      <c r="D594" s="2266"/>
      <c r="E594" s="2266"/>
      <c r="F594" s="2266"/>
      <c r="G594" s="2266"/>
      <c r="H594" s="2266"/>
      <c r="I594" s="2266"/>
      <c r="J594" s="1403"/>
      <c r="K594" s="551"/>
      <c r="L594" s="551"/>
      <c r="M594" s="551"/>
      <c r="O594" s="551"/>
      <c r="P594" s="551"/>
      <c r="Q594" s="551"/>
      <c r="R594" s="551"/>
      <c r="S594" s="551"/>
      <c r="T594" s="551"/>
      <c r="U594" s="551"/>
      <c r="V594" s="551"/>
      <c r="W594" s="551"/>
      <c r="X594" s="551"/>
      <c r="Y594" s="551"/>
      <c r="Z594" s="551"/>
      <c r="AA594" s="551"/>
      <c r="AB594" s="551"/>
    </row>
    <row r="595" spans="1:28" hidden="1" x14ac:dyDescent="0.25">
      <c r="A595" s="2258" t="s">
        <v>619</v>
      </c>
      <c r="B595" s="2258"/>
      <c r="C595" s="2258"/>
      <c r="D595" s="2258"/>
      <c r="E595" s="2258"/>
      <c r="F595" s="2258"/>
      <c r="G595" s="2258"/>
      <c r="H595" s="2258"/>
      <c r="I595" s="2258"/>
      <c r="J595" s="624"/>
      <c r="K595" s="551"/>
      <c r="L595" s="551"/>
      <c r="M595" s="551"/>
      <c r="O595" s="551"/>
      <c r="P595" s="551"/>
      <c r="Q595" s="551"/>
      <c r="R595" s="551"/>
      <c r="S595" s="551"/>
      <c r="T595" s="551"/>
      <c r="U595" s="551"/>
      <c r="V595" s="551"/>
      <c r="W595" s="551"/>
      <c r="X595" s="551"/>
      <c r="Y595" s="551"/>
      <c r="Z595" s="551"/>
      <c r="AA595" s="551"/>
      <c r="AB595" s="551"/>
    </row>
    <row r="596" spans="1:28" hidden="1" x14ac:dyDescent="0.25">
      <c r="K596" s="551"/>
      <c r="L596" s="551"/>
      <c r="M596" s="551"/>
      <c r="N596" s="551"/>
      <c r="O596" s="551"/>
      <c r="P596" s="551"/>
      <c r="Q596" s="551"/>
      <c r="R596" s="551"/>
      <c r="S596" s="551"/>
      <c r="T596" s="551"/>
      <c r="U596" s="551"/>
      <c r="V596" s="551"/>
      <c r="W596" s="551"/>
      <c r="X596" s="551"/>
      <c r="Y596" s="551"/>
      <c r="Z596" s="551"/>
      <c r="AA596" s="551"/>
      <c r="AB596" s="551"/>
    </row>
    <row r="597" spans="1:28" x14ac:dyDescent="0.25">
      <c r="A597" s="994" t="s">
        <v>26</v>
      </c>
      <c r="B597" s="796"/>
      <c r="C597" s="796"/>
      <c r="D597" s="1000"/>
      <c r="E597" s="795" t="s">
        <v>624</v>
      </c>
      <c r="F597" s="995"/>
      <c r="G597" s="995"/>
      <c r="H597" s="996"/>
      <c r="I597" s="997"/>
      <c r="J597" s="998">
        <f>J605</f>
        <v>14300</v>
      </c>
      <c r="L597" s="582"/>
      <c r="M597" s="551"/>
      <c r="N597" s="551"/>
      <c r="O597" s="551"/>
      <c r="P597" s="551"/>
      <c r="Q597" s="551"/>
      <c r="R597" s="551"/>
      <c r="S597" s="551"/>
      <c r="T597" s="551"/>
      <c r="U597" s="551"/>
      <c r="V597" s="551"/>
      <c r="W597" s="551"/>
      <c r="X597" s="551"/>
      <c r="Y597" s="551"/>
      <c r="Z597" s="551"/>
      <c r="AA597" s="551"/>
      <c r="AB597" s="551"/>
    </row>
    <row r="598" spans="1:28" x14ac:dyDescent="0.25">
      <c r="A598" s="507" t="s">
        <v>27</v>
      </c>
      <c r="B598" s="504"/>
      <c r="C598" s="504"/>
      <c r="D598" s="508"/>
      <c r="E598" s="71" t="s">
        <v>1896</v>
      </c>
      <c r="J598" s="511">
        <f>J605</f>
        <v>14300</v>
      </c>
      <c r="K598" s="579"/>
      <c r="L598" s="510"/>
      <c r="M598" s="510"/>
      <c r="N598" s="510"/>
      <c r="O598" s="551"/>
      <c r="P598" s="551"/>
      <c r="Q598" s="551"/>
      <c r="R598" s="551"/>
      <c r="S598" s="551"/>
      <c r="T598" s="551"/>
      <c r="U598" s="551"/>
      <c r="V598" s="551"/>
      <c r="W598" s="551"/>
      <c r="X598" s="551"/>
      <c r="Y598" s="551"/>
      <c r="Z598" s="551"/>
      <c r="AA598" s="551"/>
      <c r="AB598" s="551"/>
    </row>
    <row r="599" spans="1:28" x14ac:dyDescent="0.25">
      <c r="A599" s="1449" t="s">
        <v>325</v>
      </c>
      <c r="K599" s="551"/>
      <c r="L599" s="551"/>
      <c r="M599" s="551"/>
      <c r="N599" s="551"/>
      <c r="O599" s="551"/>
      <c r="P599" s="551"/>
      <c r="Q599" s="551"/>
      <c r="R599" s="551"/>
      <c r="S599" s="551"/>
      <c r="T599" s="551"/>
      <c r="U599" s="551"/>
      <c r="V599" s="551"/>
      <c r="W599" s="551"/>
      <c r="X599" s="551"/>
      <c r="Y599" s="551"/>
      <c r="Z599" s="551"/>
      <c r="AA599" s="551"/>
      <c r="AB599" s="551"/>
    </row>
    <row r="600" spans="1:28" x14ac:dyDescent="0.25">
      <c r="A600" s="2183" t="s">
        <v>8</v>
      </c>
      <c r="B600" s="2183" t="s">
        <v>35</v>
      </c>
      <c r="C600" s="2183"/>
      <c r="D600" s="2183"/>
      <c r="E600" s="2183"/>
      <c r="F600" s="2183"/>
      <c r="G600" s="2184" t="s">
        <v>2046</v>
      </c>
      <c r="H600" s="2337"/>
      <c r="I600" s="2337"/>
      <c r="J600" s="2338"/>
      <c r="L600" s="551"/>
      <c r="M600" s="551"/>
      <c r="N600" s="551"/>
      <c r="O600" s="551"/>
      <c r="P600" s="551"/>
      <c r="Q600" s="551"/>
      <c r="R600" s="551"/>
      <c r="S600" s="551"/>
      <c r="T600" s="551"/>
      <c r="U600" s="551"/>
      <c r="V600" s="551"/>
      <c r="W600" s="551"/>
      <c r="X600" s="551"/>
      <c r="Y600" s="551"/>
      <c r="Z600" s="551"/>
      <c r="AA600" s="551"/>
      <c r="AB600" s="551"/>
    </row>
    <row r="601" spans="1:28" ht="30" customHeight="1" x14ac:dyDescent="0.25">
      <c r="A601" s="2183"/>
      <c r="B601" s="2183"/>
      <c r="C601" s="2183"/>
      <c r="D601" s="2183"/>
      <c r="E601" s="2183"/>
      <c r="F601" s="2183"/>
      <c r="G601" s="1408" t="s">
        <v>36</v>
      </c>
      <c r="H601" s="1408" t="s">
        <v>638</v>
      </c>
      <c r="I601" s="1434" t="s">
        <v>639</v>
      </c>
      <c r="J601" s="1434" t="s">
        <v>297</v>
      </c>
      <c r="K601" s="551"/>
      <c r="L601" s="551"/>
      <c r="M601" s="551"/>
      <c r="N601" s="551"/>
      <c r="O601" s="551"/>
      <c r="P601" s="551"/>
      <c r="Q601" s="551"/>
      <c r="R601" s="551"/>
      <c r="S601" s="551"/>
      <c r="T601" s="551"/>
      <c r="U601" s="551"/>
      <c r="V601" s="551"/>
      <c r="W601" s="551"/>
      <c r="X601" s="551"/>
      <c r="Y601" s="551"/>
      <c r="Z601" s="551"/>
      <c r="AA601" s="551"/>
      <c r="AB601" s="551"/>
    </row>
    <row r="602" spans="1:28" ht="30" customHeight="1" x14ac:dyDescent="0.25">
      <c r="A602" s="1447">
        <v>1</v>
      </c>
      <c r="B602" s="2180" t="s">
        <v>1894</v>
      </c>
      <c r="C602" s="2180"/>
      <c r="D602" s="2180"/>
      <c r="E602" s="2180"/>
      <c r="F602" s="2180"/>
      <c r="G602" s="513">
        <v>21</v>
      </c>
      <c r="H602" s="513">
        <v>125</v>
      </c>
      <c r="I602" s="1434">
        <v>2.2000000000000002</v>
      </c>
      <c r="J602" s="1404">
        <f>G602*H602*I602</f>
        <v>5775</v>
      </c>
      <c r="K602" s="551"/>
      <c r="M602" s="582"/>
      <c r="N602" s="551"/>
      <c r="O602" s="551"/>
      <c r="P602" s="551"/>
      <c r="Q602" s="551"/>
      <c r="R602" s="551"/>
      <c r="S602" s="551"/>
      <c r="T602" s="551"/>
      <c r="U602" s="551"/>
      <c r="V602" s="551"/>
      <c r="W602" s="551"/>
      <c r="X602" s="551"/>
      <c r="Y602" s="551"/>
      <c r="Z602" s="551"/>
      <c r="AA602" s="551"/>
      <c r="AB602" s="551"/>
    </row>
    <row r="603" spans="1:28" ht="30" customHeight="1" x14ac:dyDescent="0.25">
      <c r="A603" s="1447">
        <v>2</v>
      </c>
      <c r="B603" s="2180" t="s">
        <v>1895</v>
      </c>
      <c r="C603" s="2180"/>
      <c r="D603" s="2180"/>
      <c r="E603" s="2180"/>
      <c r="F603" s="2180"/>
      <c r="G603" s="513">
        <v>21</v>
      </c>
      <c r="H603" s="513">
        <v>125</v>
      </c>
      <c r="I603" s="1434">
        <v>2.2000000000000002</v>
      </c>
      <c r="J603" s="1404">
        <f>G603*H603*I603</f>
        <v>5775</v>
      </c>
      <c r="K603" s="1201"/>
      <c r="M603" s="582"/>
      <c r="N603" s="551"/>
      <c r="O603" s="551"/>
      <c r="P603" s="551"/>
      <c r="Q603" s="551"/>
      <c r="R603" s="551"/>
      <c r="S603" s="551"/>
      <c r="T603" s="551"/>
      <c r="U603" s="551"/>
      <c r="V603" s="551"/>
      <c r="W603" s="551"/>
      <c r="X603" s="551"/>
      <c r="Y603" s="551"/>
      <c r="Z603" s="551"/>
      <c r="AA603" s="551"/>
      <c r="AB603" s="551"/>
    </row>
    <row r="604" spans="1:28" ht="32.25" customHeight="1" x14ac:dyDescent="0.25">
      <c r="A604" s="1447">
        <v>3</v>
      </c>
      <c r="B604" s="2180" t="s">
        <v>1490</v>
      </c>
      <c r="C604" s="2180"/>
      <c r="D604" s="2180"/>
      <c r="E604" s="2180"/>
      <c r="F604" s="2180"/>
      <c r="G604" s="513">
        <v>5</v>
      </c>
      <c r="H604" s="513">
        <f>125+125</f>
        <v>250</v>
      </c>
      <c r="I604" s="1434">
        <v>2.2000000000000002</v>
      </c>
      <c r="J604" s="1404">
        <f>G604*H604*I604</f>
        <v>2750</v>
      </c>
      <c r="K604" s="551"/>
      <c r="L604" s="551"/>
      <c r="M604" s="551"/>
      <c r="N604" s="551"/>
      <c r="O604" s="551"/>
      <c r="P604" s="551"/>
      <c r="Q604" s="551"/>
      <c r="R604" s="551"/>
      <c r="S604" s="551"/>
      <c r="T604" s="551"/>
      <c r="U604" s="551"/>
      <c r="V604" s="551"/>
      <c r="W604" s="551"/>
      <c r="X604" s="551"/>
      <c r="Y604" s="551"/>
      <c r="Z604" s="551"/>
      <c r="AA604" s="551"/>
      <c r="AB604" s="551"/>
    </row>
    <row r="605" spans="1:28" x14ac:dyDescent="0.25">
      <c r="A605" s="2181" t="s">
        <v>39</v>
      </c>
      <c r="B605" s="2181"/>
      <c r="C605" s="2181"/>
      <c r="D605" s="2181"/>
      <c r="E605" s="2181"/>
      <c r="F605" s="2181"/>
      <c r="G605" s="2181"/>
      <c r="H605" s="1437" t="s">
        <v>5</v>
      </c>
      <c r="I605" s="1437" t="s">
        <v>5</v>
      </c>
      <c r="J605" s="1406">
        <f>SUM(J602:J604)</f>
        <v>14300</v>
      </c>
      <c r="K605" s="551"/>
      <c r="L605" s="551"/>
      <c r="M605" s="551"/>
      <c r="N605" s="551"/>
      <c r="O605" s="551"/>
      <c r="P605" s="551"/>
      <c r="Q605" s="551"/>
      <c r="R605" s="551"/>
      <c r="S605" s="551"/>
      <c r="T605" s="551"/>
      <c r="U605" s="551"/>
      <c r="V605" s="551"/>
      <c r="W605" s="551"/>
      <c r="X605" s="551"/>
      <c r="Y605" s="551"/>
      <c r="Z605" s="551"/>
      <c r="AA605" s="551"/>
      <c r="AB605" s="551"/>
    </row>
    <row r="606" spans="1:28" x14ac:dyDescent="0.25">
      <c r="K606" s="551"/>
      <c r="L606" s="551"/>
      <c r="M606" s="551"/>
      <c r="N606" s="551"/>
      <c r="O606" s="551"/>
      <c r="P606" s="551"/>
      <c r="Q606" s="551"/>
      <c r="R606" s="551"/>
      <c r="S606" s="551"/>
      <c r="T606" s="551"/>
      <c r="U606" s="551"/>
      <c r="V606" s="551"/>
      <c r="W606" s="551"/>
      <c r="X606" s="551"/>
      <c r="Y606" s="551"/>
      <c r="Z606" s="551"/>
      <c r="AA606" s="551"/>
      <c r="AB606" s="551"/>
    </row>
    <row r="607" spans="1:28" x14ac:dyDescent="0.25">
      <c r="A607" s="1449" t="s">
        <v>311</v>
      </c>
      <c r="K607" s="551"/>
      <c r="L607" s="551"/>
      <c r="M607" s="551"/>
      <c r="P607" s="551"/>
      <c r="Q607" s="551"/>
      <c r="R607" s="551"/>
      <c r="S607" s="551"/>
      <c r="T607" s="551"/>
      <c r="U607" s="551"/>
      <c r="V607" s="551"/>
      <c r="W607" s="551"/>
      <c r="X607" s="551"/>
      <c r="Y607" s="551"/>
      <c r="Z607" s="551"/>
      <c r="AA607" s="551"/>
      <c r="AB607" s="551"/>
    </row>
    <row r="608" spans="1:28" x14ac:dyDescent="0.25">
      <c r="A608" s="507" t="s">
        <v>63</v>
      </c>
      <c r="B608" s="504"/>
      <c r="C608" s="504"/>
      <c r="D608" s="508"/>
      <c r="E608" s="509" t="s">
        <v>80</v>
      </c>
      <c r="J608" s="511">
        <f>J609</f>
        <v>7350000</v>
      </c>
      <c r="K608" s="341"/>
      <c r="L608" s="2" t="s">
        <v>1284</v>
      </c>
      <c r="M608" s="883"/>
      <c r="N608" s="889"/>
      <c r="O608" s="890"/>
      <c r="P608" s="551"/>
      <c r="Q608" s="551"/>
      <c r="R608" s="551"/>
      <c r="S608" s="551"/>
      <c r="T608" s="551"/>
      <c r="U608" s="551"/>
      <c r="V608" s="551"/>
      <c r="W608" s="551"/>
      <c r="X608" s="551"/>
      <c r="Y608" s="551"/>
      <c r="Z608" s="551"/>
      <c r="AA608" s="551"/>
      <c r="AB608" s="551"/>
    </row>
    <row r="609" spans="1:33" x14ac:dyDescent="0.25">
      <c r="A609" s="973" t="s">
        <v>26</v>
      </c>
      <c r="B609" s="981"/>
      <c r="C609" s="981"/>
      <c r="D609" s="982"/>
      <c r="E609" s="975" t="s">
        <v>626</v>
      </c>
      <c r="F609" s="976"/>
      <c r="G609" s="976"/>
      <c r="H609" s="977"/>
      <c r="I609" s="978"/>
      <c r="J609" s="979">
        <f>J610</f>
        <v>7350000</v>
      </c>
      <c r="K609" s="341"/>
      <c r="L609" s="2" t="s">
        <v>1285</v>
      </c>
      <c r="M609" s="81"/>
      <c r="N609" s="341"/>
      <c r="O609" s="551"/>
      <c r="Q609" s="551"/>
      <c r="R609" s="551"/>
      <c r="S609" s="551"/>
      <c r="T609" s="551"/>
      <c r="U609" s="551"/>
      <c r="V609" s="551"/>
      <c r="W609" s="551"/>
      <c r="X609" s="551"/>
      <c r="Y609" s="551"/>
      <c r="Z609" s="551"/>
      <c r="AA609" s="551"/>
      <c r="AB609" s="551"/>
    </row>
    <row r="610" spans="1:33" x14ac:dyDescent="0.25">
      <c r="A610" s="507" t="s">
        <v>27</v>
      </c>
      <c r="B610" s="504"/>
      <c r="C610" s="504"/>
      <c r="D610" s="508"/>
      <c r="E610" s="509" t="s">
        <v>67</v>
      </c>
      <c r="J610" s="511">
        <f>J617</f>
        <v>7350000</v>
      </c>
      <c r="K610" s="341"/>
      <c r="L610" s="828" t="s">
        <v>1286</v>
      </c>
      <c r="M610" s="573"/>
      <c r="N610" s="829" t="s">
        <v>1287</v>
      </c>
      <c r="O610" s="551"/>
      <c r="Q610" s="551"/>
      <c r="R610" s="551"/>
      <c r="S610" s="551"/>
      <c r="T610" s="551"/>
      <c r="U610" s="551"/>
      <c r="V610" s="551"/>
      <c r="W610" s="551"/>
      <c r="X610" s="551"/>
      <c r="Y610" s="551"/>
      <c r="Z610" s="551"/>
      <c r="AA610" s="551"/>
      <c r="AB610" s="551"/>
    </row>
    <row r="611" spans="1:33" x14ac:dyDescent="0.25">
      <c r="A611" s="1449" t="s">
        <v>326</v>
      </c>
      <c r="K611" s="510"/>
      <c r="L611" s="582" t="s">
        <v>1288</v>
      </c>
      <c r="M611" s="551"/>
      <c r="N611" s="551"/>
      <c r="O611" s="551"/>
      <c r="P611" s="551"/>
      <c r="Q611" s="551"/>
      <c r="R611" s="551"/>
      <c r="S611" s="551"/>
      <c r="T611" s="551"/>
      <c r="U611" s="551"/>
      <c r="V611" s="551"/>
      <c r="W611" s="551"/>
      <c r="X611" s="551"/>
      <c r="Y611" s="551"/>
      <c r="Z611" s="551"/>
      <c r="AA611" s="551"/>
      <c r="AB611" s="551"/>
    </row>
    <row r="612" spans="1:33" ht="15" customHeight="1" x14ac:dyDescent="0.25">
      <c r="A612" s="2170" t="s">
        <v>8</v>
      </c>
      <c r="B612" s="2170" t="s">
        <v>35</v>
      </c>
      <c r="C612" s="2170"/>
      <c r="D612" s="2170"/>
      <c r="E612" s="2170"/>
      <c r="F612" s="2170"/>
      <c r="G612" s="2170" t="s">
        <v>61</v>
      </c>
      <c r="H612" s="2193" t="s">
        <v>2046</v>
      </c>
      <c r="I612" s="2240"/>
      <c r="J612" s="2179"/>
      <c r="K612" s="551"/>
      <c r="L612" s="551"/>
      <c r="M612" s="551"/>
      <c r="N612" s="551"/>
      <c r="O612" s="551"/>
      <c r="P612" s="551"/>
      <c r="Q612" s="551"/>
      <c r="R612" s="551"/>
      <c r="S612" s="551"/>
      <c r="T612" s="551"/>
      <c r="U612" s="551"/>
      <c r="V612" s="551"/>
      <c r="W612" s="551"/>
      <c r="X612" s="551"/>
      <c r="Y612" s="551"/>
      <c r="Z612" s="551"/>
      <c r="AA612" s="551"/>
      <c r="AB612" s="551"/>
    </row>
    <row r="613" spans="1:33" ht="31.5" customHeight="1" x14ac:dyDescent="0.25">
      <c r="A613" s="2170"/>
      <c r="B613" s="2170"/>
      <c r="C613" s="2170"/>
      <c r="D613" s="2170"/>
      <c r="E613" s="2170"/>
      <c r="F613" s="2170"/>
      <c r="G613" s="2170"/>
      <c r="H613" s="1410" t="s">
        <v>248</v>
      </c>
      <c r="I613" s="1420" t="s">
        <v>264</v>
      </c>
      <c r="J613" s="1420" t="s">
        <v>256</v>
      </c>
      <c r="K613" s="551"/>
      <c r="L613" s="551"/>
      <c r="N613" s="551"/>
      <c r="O613" s="551"/>
      <c r="P613" s="551"/>
      <c r="Q613" s="551"/>
      <c r="R613" s="551"/>
      <c r="S613" s="551"/>
      <c r="T613" s="551"/>
      <c r="U613" s="551"/>
      <c r="V613" s="551"/>
      <c r="W613" s="551"/>
      <c r="X613" s="551"/>
      <c r="Y613" s="551"/>
      <c r="Z613" s="551"/>
      <c r="AA613" s="551"/>
      <c r="AB613" s="551"/>
    </row>
    <row r="614" spans="1:33" s="556" customFormat="1" ht="14.25" hidden="1" customHeight="1" x14ac:dyDescent="0.25">
      <c r="A614" s="2318" t="s">
        <v>1621</v>
      </c>
      <c r="B614" s="2319"/>
      <c r="C614" s="2319"/>
      <c r="D614" s="2319"/>
      <c r="E614" s="2319"/>
      <c r="F614" s="2319"/>
      <c r="G614" s="2319"/>
      <c r="H614" s="2319"/>
      <c r="I614" s="2320"/>
      <c r="J614" s="1228">
        <f>SUM(J615:J616)</f>
        <v>7350000</v>
      </c>
      <c r="K614" s="582"/>
      <c r="L614" s="1182"/>
      <c r="M614" s="579"/>
      <c r="N614" s="579"/>
      <c r="Q614" s="1183"/>
      <c r="R614" s="1184"/>
      <c r="S614" s="1185"/>
      <c r="T614" s="1186"/>
    </row>
    <row r="615" spans="1:33" s="61" customFormat="1" x14ac:dyDescent="0.25">
      <c r="A615" s="1079">
        <v>1</v>
      </c>
      <c r="B615" s="1986" t="s">
        <v>1621</v>
      </c>
      <c r="C615" s="2219"/>
      <c r="D615" s="2219"/>
      <c r="E615" s="2219"/>
      <c r="F615" s="2219"/>
      <c r="G615" s="1426" t="s">
        <v>245</v>
      </c>
      <c r="H615" s="1462">
        <v>7000</v>
      </c>
      <c r="I615" s="1463">
        <v>800</v>
      </c>
      <c r="J615" s="1426">
        <f>H615*I615</f>
        <v>5600000</v>
      </c>
      <c r="L615" s="1464"/>
      <c r="M615" s="1036"/>
      <c r="N615" s="1036"/>
      <c r="O615" s="1402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  <c r="AA615" s="75"/>
      <c r="AB615" s="75"/>
      <c r="AC615" s="75"/>
      <c r="AD615" s="75"/>
      <c r="AE615" s="75"/>
      <c r="AF615" s="75"/>
      <c r="AG615" s="75"/>
    </row>
    <row r="616" spans="1:33" s="61" customFormat="1" x14ac:dyDescent="0.25">
      <c r="A616" s="1079">
        <v>2</v>
      </c>
      <c r="B616" s="1986" t="s">
        <v>1621</v>
      </c>
      <c r="C616" s="2219"/>
      <c r="D616" s="2219"/>
      <c r="E616" s="2219"/>
      <c r="F616" s="2219"/>
      <c r="G616" s="1426" t="s">
        <v>245</v>
      </c>
      <c r="H616" s="1462">
        <v>3500</v>
      </c>
      <c r="I616" s="1463">
        <v>500</v>
      </c>
      <c r="J616" s="1426">
        <f>H616*I616</f>
        <v>1750000</v>
      </c>
      <c r="L616" s="1464"/>
      <c r="M616" s="1036"/>
      <c r="N616" s="1036"/>
      <c r="O616" s="1402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  <c r="AA616" s="75"/>
      <c r="AB616" s="75"/>
      <c r="AC616" s="75"/>
      <c r="AD616" s="75"/>
      <c r="AE616" s="75"/>
      <c r="AF616" s="75"/>
      <c r="AG616" s="75"/>
    </row>
    <row r="617" spans="1:33" x14ac:dyDescent="0.25">
      <c r="A617" s="2278" t="s">
        <v>39</v>
      </c>
      <c r="B617" s="2278"/>
      <c r="C617" s="2278"/>
      <c r="D617" s="2278"/>
      <c r="E617" s="2278"/>
      <c r="F617" s="2278"/>
      <c r="G617" s="2278"/>
      <c r="H617" s="1190" t="s">
        <v>5</v>
      </c>
      <c r="I617" s="1190" t="s">
        <v>5</v>
      </c>
      <c r="J617" s="1192">
        <f>J615+J616</f>
        <v>7350000</v>
      </c>
      <c r="K617" s="582"/>
      <c r="L617" s="1059"/>
      <c r="M617" s="551"/>
      <c r="N617" s="551"/>
      <c r="O617" s="551"/>
      <c r="P617" s="551"/>
      <c r="Q617" s="1137"/>
      <c r="R617" s="1138"/>
      <c r="S617" s="1139"/>
      <c r="T617" s="1140"/>
      <c r="U617" s="551"/>
      <c r="V617" s="551"/>
      <c r="W617" s="551"/>
      <c r="X617" s="551"/>
      <c r="Y617" s="551"/>
      <c r="Z617" s="551"/>
      <c r="AA617" s="551"/>
      <c r="AB617" s="551"/>
    </row>
    <row r="618" spans="1:33" x14ac:dyDescent="0.25">
      <c r="A618" s="560"/>
      <c r="B618" s="560"/>
      <c r="C618" s="560"/>
      <c r="D618" s="560"/>
      <c r="E618" s="560"/>
      <c r="F618" s="560"/>
      <c r="G618" s="560"/>
      <c r="H618" s="554"/>
      <c r="I618" s="554"/>
      <c r="J618" s="554"/>
      <c r="K618" s="551"/>
      <c r="M618" s="551"/>
      <c r="P618" s="551"/>
      <c r="Q618" s="1137"/>
      <c r="R618" s="1138"/>
      <c r="S618" s="1139"/>
      <c r="T618" s="1140"/>
      <c r="U618" s="551"/>
      <c r="V618" s="551"/>
      <c r="W618" s="551"/>
      <c r="X618" s="551"/>
      <c r="Y618" s="551"/>
      <c r="Z618" s="551"/>
      <c r="AA618" s="551"/>
      <c r="AB618" s="551"/>
    </row>
    <row r="619" spans="1:33" hidden="1" x14ac:dyDescent="0.25">
      <c r="A619" s="507" t="s">
        <v>63</v>
      </c>
      <c r="B619" s="504"/>
      <c r="C619" s="504"/>
      <c r="D619" s="508"/>
      <c r="E619" s="563" t="s">
        <v>1505</v>
      </c>
      <c r="J619" s="511">
        <f>J620</f>
        <v>0</v>
      </c>
      <c r="K619" s="582"/>
      <c r="L619" s="564"/>
      <c r="M619" s="551"/>
      <c r="N619" s="551"/>
      <c r="O619" s="551"/>
      <c r="P619" s="551"/>
      <c r="Q619" s="551"/>
      <c r="R619" s="551"/>
      <c r="S619" s="551"/>
      <c r="T619" s="551"/>
      <c r="U619" s="551"/>
      <c r="V619" s="551"/>
      <c r="W619" s="551"/>
      <c r="X619" s="551"/>
      <c r="Y619" s="551"/>
      <c r="Z619" s="551"/>
      <c r="AA619" s="551"/>
      <c r="AB619" s="551"/>
    </row>
    <row r="620" spans="1:33" hidden="1" x14ac:dyDescent="0.25">
      <c r="A620" s="973" t="s">
        <v>26</v>
      </c>
      <c r="B620" s="981"/>
      <c r="C620" s="981"/>
      <c r="D620" s="981"/>
      <c r="E620" s="975" t="s">
        <v>626</v>
      </c>
      <c r="F620" s="976"/>
      <c r="G620" s="976"/>
      <c r="H620" s="977"/>
      <c r="I620" s="978"/>
      <c r="J620" s="979">
        <f>J621</f>
        <v>0</v>
      </c>
      <c r="K620" s="341"/>
      <c r="L620" s="2"/>
      <c r="M620" s="883"/>
      <c r="N620" s="889"/>
      <c r="O620" s="890"/>
      <c r="P620" s="551"/>
      <c r="Q620" s="551"/>
      <c r="R620" s="551"/>
      <c r="S620" s="551"/>
      <c r="T620" s="551"/>
      <c r="U620" s="551"/>
      <c r="V620" s="551"/>
      <c r="W620" s="551"/>
      <c r="X620" s="551"/>
      <c r="Y620" s="551"/>
      <c r="Z620" s="551"/>
      <c r="AA620" s="551"/>
      <c r="AB620" s="551"/>
    </row>
    <row r="621" spans="1:33" hidden="1" x14ac:dyDescent="0.25">
      <c r="A621" s="507" t="s">
        <v>27</v>
      </c>
      <c r="B621" s="504"/>
      <c r="C621" s="504"/>
      <c r="D621" s="504"/>
      <c r="E621" s="509" t="s">
        <v>67</v>
      </c>
      <c r="J621" s="506">
        <f>J627</f>
        <v>0</v>
      </c>
      <c r="K621" s="341"/>
      <c r="L621" s="2"/>
      <c r="M621" s="341"/>
      <c r="N621" s="341"/>
      <c r="O621" s="765"/>
      <c r="P621" s="551"/>
      <c r="Q621" s="551"/>
      <c r="R621" s="551"/>
      <c r="S621" s="551"/>
      <c r="T621" s="551"/>
      <c r="U621" s="551"/>
      <c r="V621" s="551"/>
      <c r="W621" s="551"/>
      <c r="X621" s="551"/>
      <c r="Y621" s="551"/>
      <c r="Z621" s="551"/>
      <c r="AA621" s="551"/>
      <c r="AB621" s="551"/>
    </row>
    <row r="622" spans="1:33" hidden="1" x14ac:dyDescent="0.25">
      <c r="A622" s="1449" t="s">
        <v>1761</v>
      </c>
      <c r="K622" s="582"/>
      <c r="L622" s="564"/>
      <c r="M622" s="551"/>
      <c r="N622" s="551"/>
      <c r="O622" s="551"/>
      <c r="P622" s="551"/>
      <c r="Q622" s="551"/>
      <c r="R622" s="551"/>
      <c r="S622" s="551"/>
      <c r="T622" s="551"/>
      <c r="U622" s="551"/>
      <c r="V622" s="551"/>
      <c r="W622" s="551"/>
      <c r="X622" s="551"/>
      <c r="Y622" s="551"/>
      <c r="Z622" s="551"/>
      <c r="AA622" s="551"/>
      <c r="AB622" s="551"/>
    </row>
    <row r="623" spans="1:33" hidden="1" x14ac:dyDescent="0.25">
      <c r="A623" s="2170" t="s">
        <v>8</v>
      </c>
      <c r="B623" s="2170" t="s">
        <v>35</v>
      </c>
      <c r="C623" s="2170"/>
      <c r="D623" s="2170"/>
      <c r="E623" s="2170"/>
      <c r="F623" s="2170"/>
      <c r="G623" s="2170" t="s">
        <v>61</v>
      </c>
      <c r="H623" s="2193" t="s">
        <v>1605</v>
      </c>
      <c r="I623" s="2240"/>
      <c r="J623" s="2179"/>
      <c r="K623" s="582"/>
      <c r="L623" s="564"/>
      <c r="M623" s="551"/>
      <c r="N623" s="551"/>
      <c r="O623" s="551"/>
      <c r="P623" s="551"/>
      <c r="Q623" s="551"/>
      <c r="R623" s="551"/>
      <c r="S623" s="551"/>
      <c r="T623" s="551"/>
      <c r="U623" s="551"/>
      <c r="V623" s="551"/>
      <c r="W623" s="551"/>
      <c r="X623" s="551"/>
      <c r="Y623" s="551"/>
      <c r="Z623" s="551"/>
      <c r="AA623" s="551"/>
      <c r="AB623" s="551"/>
    </row>
    <row r="624" spans="1:33" ht="30" hidden="1" x14ac:dyDescent="0.25">
      <c r="A624" s="2170"/>
      <c r="B624" s="2170"/>
      <c r="C624" s="2170"/>
      <c r="D624" s="2170"/>
      <c r="E624" s="2170"/>
      <c r="F624" s="2170"/>
      <c r="G624" s="2170"/>
      <c r="H624" s="1410" t="s">
        <v>248</v>
      </c>
      <c r="I624" s="1420" t="s">
        <v>264</v>
      </c>
      <c r="J624" s="1420" t="s">
        <v>256</v>
      </c>
      <c r="K624" s="582"/>
      <c r="L624" s="564"/>
      <c r="M624" s="551"/>
      <c r="N624" s="551"/>
      <c r="O624" s="551"/>
      <c r="P624" s="551"/>
      <c r="Q624" s="551"/>
      <c r="R624" s="551"/>
      <c r="S624" s="551"/>
      <c r="T624" s="551"/>
      <c r="U624" s="551"/>
      <c r="V624" s="551"/>
      <c r="W624" s="551"/>
      <c r="X624" s="551"/>
      <c r="Y624" s="551"/>
      <c r="Z624" s="551"/>
      <c r="AA624" s="551"/>
      <c r="AB624" s="551"/>
    </row>
    <row r="625" spans="1:28" ht="15.75" hidden="1" x14ac:dyDescent="0.25">
      <c r="A625" s="1127">
        <v>1</v>
      </c>
      <c r="B625" s="1986" t="s">
        <v>1738</v>
      </c>
      <c r="C625" s="1986"/>
      <c r="D625" s="1986"/>
      <c r="E625" s="1986"/>
      <c r="F625" s="1986"/>
      <c r="G625" s="1420" t="s">
        <v>304</v>
      </c>
      <c r="H625" s="1199"/>
      <c r="I625" s="1200">
        <v>2900</v>
      </c>
      <c r="J625" s="1426">
        <f>H625*I625</f>
        <v>0</v>
      </c>
      <c r="L625" s="578"/>
      <c r="M625" s="2072"/>
      <c r="N625" s="2072"/>
      <c r="O625" s="1254"/>
      <c r="P625" s="1254"/>
      <c r="Q625" s="1254"/>
      <c r="R625" s="1138"/>
      <c r="S625" s="1139"/>
      <c r="T625" s="1140"/>
      <c r="U625" s="551"/>
      <c r="V625" s="551"/>
      <c r="W625" s="551"/>
      <c r="X625" s="551"/>
      <c r="Y625" s="551"/>
      <c r="Z625" s="551"/>
      <c r="AA625" s="551"/>
      <c r="AB625" s="551"/>
    </row>
    <row r="626" spans="1:28" ht="15.75" hidden="1" x14ac:dyDescent="0.25">
      <c r="A626" s="1127">
        <v>2</v>
      </c>
      <c r="B626" s="1986" t="s">
        <v>1742</v>
      </c>
      <c r="C626" s="1986"/>
      <c r="D626" s="1986"/>
      <c r="E626" s="1986"/>
      <c r="F626" s="1986"/>
      <c r="G626" s="1420" t="s">
        <v>304</v>
      </c>
      <c r="H626" s="1199"/>
      <c r="I626" s="1200">
        <v>8900</v>
      </c>
      <c r="J626" s="1426">
        <f t="shared" ref="J626" si="10">H626*I626</f>
        <v>0</v>
      </c>
      <c r="L626" s="578"/>
      <c r="M626" s="551"/>
      <c r="N626" s="551"/>
      <c r="O626" s="1254"/>
      <c r="P626" s="1254"/>
      <c r="Q626" s="1254"/>
      <c r="R626" s="1138"/>
      <c r="S626" s="1139"/>
      <c r="T626" s="1140"/>
      <c r="U626" s="551"/>
      <c r="V626" s="551"/>
      <c r="W626" s="551"/>
      <c r="X626" s="551"/>
      <c r="Y626" s="551"/>
      <c r="Z626" s="551"/>
      <c r="AA626" s="551"/>
      <c r="AB626" s="551"/>
    </row>
    <row r="627" spans="1:28" hidden="1" x14ac:dyDescent="0.25">
      <c r="A627" s="2278" t="s">
        <v>39</v>
      </c>
      <c r="B627" s="2278"/>
      <c r="C627" s="2278"/>
      <c r="D627" s="2278"/>
      <c r="E627" s="2278"/>
      <c r="F627" s="2278"/>
      <c r="G627" s="2278"/>
      <c r="H627" s="1190" t="s">
        <v>5</v>
      </c>
      <c r="I627" s="1190" t="s">
        <v>5</v>
      </c>
      <c r="J627" s="1192">
        <f>SUM(J625:J626)</f>
        <v>0</v>
      </c>
      <c r="K627" s="582"/>
      <c r="L627" s="564"/>
      <c r="M627" s="551"/>
      <c r="N627" s="551"/>
      <c r="O627" s="551"/>
      <c r="P627" s="551"/>
      <c r="Q627" s="551"/>
      <c r="R627" s="551"/>
      <c r="S627" s="551"/>
      <c r="T627" s="551"/>
      <c r="U627" s="551"/>
      <c r="V627" s="551"/>
      <c r="W627" s="551"/>
      <c r="X627" s="551"/>
      <c r="Y627" s="551"/>
      <c r="Z627" s="551"/>
      <c r="AA627" s="551"/>
      <c r="AB627" s="551"/>
    </row>
    <row r="628" spans="1:28" hidden="1" x14ac:dyDescent="0.25">
      <c r="A628" s="560"/>
      <c r="B628" s="560"/>
      <c r="C628" s="560"/>
      <c r="D628" s="560"/>
      <c r="E628" s="560"/>
      <c r="F628" s="560"/>
      <c r="G628" s="560"/>
      <c r="H628" s="554"/>
      <c r="I628" s="554"/>
      <c r="J628" s="554"/>
      <c r="K628" s="582"/>
      <c r="L628" s="564"/>
      <c r="M628" s="551"/>
      <c r="N628" s="551"/>
      <c r="O628" s="551"/>
      <c r="P628" s="551"/>
      <c r="Q628" s="551"/>
      <c r="R628" s="551"/>
      <c r="S628" s="551"/>
      <c r="T628" s="551"/>
      <c r="U628" s="551"/>
      <c r="V628" s="551"/>
      <c r="W628" s="551"/>
      <c r="X628" s="551"/>
      <c r="Y628" s="551"/>
      <c r="Z628" s="551"/>
      <c r="AA628" s="551"/>
      <c r="AB628" s="551"/>
    </row>
    <row r="629" spans="1:28" hidden="1" x14ac:dyDescent="0.25">
      <c r="A629" s="507" t="s">
        <v>63</v>
      </c>
      <c r="B629" s="504"/>
      <c r="C629" s="504"/>
      <c r="D629" s="508"/>
      <c r="E629" s="563" t="s">
        <v>99</v>
      </c>
      <c r="J629" s="511">
        <f>J630</f>
        <v>0</v>
      </c>
      <c r="L629" s="551"/>
      <c r="M629" s="552"/>
      <c r="N629" s="551"/>
      <c r="O629" s="551"/>
      <c r="P629" s="551"/>
      <c r="Q629" s="551"/>
      <c r="R629" s="551"/>
      <c r="S629" s="551"/>
      <c r="T629" s="551"/>
      <c r="U629" s="551"/>
      <c r="V629" s="551"/>
      <c r="W629" s="551"/>
      <c r="X629" s="551"/>
      <c r="Y629" s="551"/>
      <c r="Z629" s="551"/>
      <c r="AA629" s="551"/>
      <c r="AB629" s="551"/>
    </row>
    <row r="630" spans="1:28" hidden="1" x14ac:dyDescent="0.25">
      <c r="A630" s="786" t="s">
        <v>26</v>
      </c>
      <c r="B630" s="794"/>
      <c r="C630" s="794"/>
      <c r="D630" s="935"/>
      <c r="E630" s="793" t="s">
        <v>624</v>
      </c>
      <c r="F630" s="787"/>
      <c r="G630" s="787"/>
      <c r="H630" s="788"/>
      <c r="I630" s="986"/>
      <c r="J630" s="789">
        <f>J639</f>
        <v>0</v>
      </c>
      <c r="L630" s="552"/>
      <c r="M630" s="551"/>
      <c r="N630" s="551"/>
      <c r="O630" s="551"/>
      <c r="P630" s="551"/>
      <c r="Q630" s="551"/>
      <c r="R630" s="551"/>
      <c r="S630" s="551"/>
      <c r="T630" s="551"/>
      <c r="U630" s="551"/>
      <c r="V630" s="551"/>
      <c r="W630" s="551"/>
      <c r="X630" s="551"/>
      <c r="Y630" s="551"/>
      <c r="Z630" s="551"/>
      <c r="AA630" s="551"/>
      <c r="AB630" s="551"/>
    </row>
    <row r="631" spans="1:28" hidden="1" x14ac:dyDescent="0.25">
      <c r="A631" s="507" t="s">
        <v>27</v>
      </c>
      <c r="B631" s="504"/>
      <c r="C631" s="504"/>
      <c r="D631" s="508"/>
      <c r="E631" s="509" t="s">
        <v>1477</v>
      </c>
      <c r="J631" s="511"/>
      <c r="K631" s="551"/>
      <c r="L631" s="551"/>
      <c r="M631" s="551"/>
      <c r="N631" s="551"/>
      <c r="O631" s="551"/>
      <c r="P631" s="551"/>
      <c r="Q631" s="551"/>
      <c r="R631" s="551"/>
      <c r="S631" s="551"/>
      <c r="T631" s="551"/>
      <c r="U631" s="551"/>
      <c r="V631" s="551"/>
      <c r="W631" s="551"/>
      <c r="X631" s="551"/>
      <c r="Y631" s="551"/>
      <c r="Z631" s="551"/>
      <c r="AA631" s="551"/>
      <c r="AB631" s="551"/>
    </row>
    <row r="632" spans="1:28" hidden="1" x14ac:dyDescent="0.25">
      <c r="A632" s="1449" t="s">
        <v>327</v>
      </c>
      <c r="K632" s="551"/>
      <c r="L632" s="551"/>
      <c r="M632" s="551"/>
      <c r="N632" s="551"/>
      <c r="O632" s="551"/>
      <c r="P632" s="551"/>
      <c r="Q632" s="551"/>
      <c r="R632" s="551"/>
      <c r="S632" s="551"/>
      <c r="T632" s="551"/>
      <c r="U632" s="551"/>
      <c r="V632" s="551"/>
      <c r="W632" s="551"/>
      <c r="X632" s="551"/>
      <c r="Y632" s="551"/>
      <c r="Z632" s="551"/>
      <c r="AA632" s="551"/>
      <c r="AB632" s="551"/>
    </row>
    <row r="633" spans="1:28" hidden="1" x14ac:dyDescent="0.25">
      <c r="A633" s="2183" t="s">
        <v>8</v>
      </c>
      <c r="B633" s="2183" t="s">
        <v>35</v>
      </c>
      <c r="C633" s="2183"/>
      <c r="D633" s="2183"/>
      <c r="E633" s="2183"/>
      <c r="F633" s="2183"/>
      <c r="G633" s="2183" t="s">
        <v>61</v>
      </c>
      <c r="H633" s="2184" t="s">
        <v>1476</v>
      </c>
      <c r="I633" s="2185"/>
      <c r="J633" s="2186"/>
      <c r="K633" s="551"/>
      <c r="L633" s="551"/>
      <c r="M633" s="551"/>
      <c r="N633" s="551"/>
      <c r="O633" s="551"/>
      <c r="P633" s="551"/>
      <c r="Q633" s="551"/>
      <c r="R633" s="551"/>
      <c r="S633" s="551"/>
      <c r="T633" s="551"/>
      <c r="U633" s="551"/>
      <c r="V633" s="551"/>
      <c r="W633" s="551"/>
      <c r="X633" s="551"/>
      <c r="Y633" s="551"/>
      <c r="Z633" s="551"/>
      <c r="AA633" s="551"/>
      <c r="AB633" s="551"/>
    </row>
    <row r="634" spans="1:28" ht="32.25" hidden="1" customHeight="1" x14ac:dyDescent="0.25">
      <c r="A634" s="2183"/>
      <c r="B634" s="2183"/>
      <c r="C634" s="2183"/>
      <c r="D634" s="2183"/>
      <c r="E634" s="2183"/>
      <c r="F634" s="2183"/>
      <c r="G634" s="2183"/>
      <c r="H634" s="1408" t="s">
        <v>248</v>
      </c>
      <c r="I634" s="1434" t="s">
        <v>264</v>
      </c>
      <c r="J634" s="1434" t="s">
        <v>256</v>
      </c>
      <c r="K634" s="551"/>
      <c r="L634" s="551"/>
      <c r="M634" s="551"/>
      <c r="N634" s="551"/>
      <c r="O634" s="551"/>
      <c r="P634" s="551"/>
      <c r="Q634" s="551"/>
      <c r="R634" s="551"/>
      <c r="S634" s="551"/>
      <c r="T634" s="551"/>
      <c r="U634" s="551"/>
      <c r="V634" s="551"/>
      <c r="W634" s="551"/>
      <c r="X634" s="551"/>
      <c r="Y634" s="551"/>
      <c r="Z634" s="551"/>
      <c r="AA634" s="551"/>
      <c r="AB634" s="551"/>
    </row>
    <row r="635" spans="1:28" hidden="1" x14ac:dyDescent="0.25">
      <c r="A635" s="1447">
        <v>1</v>
      </c>
      <c r="B635" s="2180" t="s">
        <v>730</v>
      </c>
      <c r="C635" s="2180"/>
      <c r="D635" s="2180"/>
      <c r="E635" s="2180"/>
      <c r="F635" s="2180"/>
      <c r="G635" s="1434" t="s">
        <v>303</v>
      </c>
      <c r="H635" s="1434">
        <f>1750-450</f>
        <v>1300</v>
      </c>
      <c r="I635" s="1434">
        <v>57</v>
      </c>
      <c r="J635" s="1434">
        <f>H635*I635</f>
        <v>74100</v>
      </c>
      <c r="K635" s="551"/>
      <c r="L635" s="551"/>
      <c r="M635" s="551"/>
      <c r="N635" s="551"/>
      <c r="O635" s="551"/>
      <c r="P635" s="551"/>
      <c r="Q635" s="551"/>
      <c r="R635" s="551"/>
      <c r="S635" s="551"/>
      <c r="T635" s="551"/>
      <c r="U635" s="551"/>
      <c r="V635" s="551"/>
      <c r="W635" s="551"/>
      <c r="X635" s="551"/>
      <c r="Y635" s="551"/>
      <c r="Z635" s="551"/>
      <c r="AA635" s="551"/>
      <c r="AB635" s="551"/>
    </row>
    <row r="636" spans="1:28" hidden="1" x14ac:dyDescent="0.25">
      <c r="A636" s="2181" t="s">
        <v>39</v>
      </c>
      <c r="B636" s="2181"/>
      <c r="C636" s="2181"/>
      <c r="D636" s="2181"/>
      <c r="E636" s="2181"/>
      <c r="F636" s="2181"/>
      <c r="G636" s="2181"/>
      <c r="H636" s="1437" t="s">
        <v>5</v>
      </c>
      <c r="I636" s="1437" t="s">
        <v>5</v>
      </c>
      <c r="J636" s="1406">
        <f>SUM(J635:J635)</f>
        <v>74100</v>
      </c>
      <c r="K636" s="564"/>
      <c r="L636" s="594"/>
      <c r="M636" s="551"/>
      <c r="N636" s="551"/>
      <c r="O636" s="551"/>
      <c r="P636" s="551"/>
      <c r="Q636" s="551"/>
      <c r="R636" s="551"/>
      <c r="S636" s="551"/>
      <c r="T636" s="551"/>
      <c r="U636" s="551"/>
      <c r="V636" s="551"/>
      <c r="W636" s="551"/>
      <c r="X636" s="551"/>
      <c r="Y636" s="551"/>
      <c r="Z636" s="551"/>
      <c r="AA636" s="551"/>
      <c r="AB636" s="551"/>
    </row>
    <row r="637" spans="1:28" ht="15" hidden="1" customHeight="1" x14ac:dyDescent="0.25">
      <c r="A637" s="2264" t="s">
        <v>514</v>
      </c>
      <c r="B637" s="2265"/>
      <c r="C637" s="2265"/>
      <c r="D637" s="2265"/>
      <c r="E637" s="2265"/>
      <c r="F637" s="2265"/>
      <c r="G637" s="2265"/>
      <c r="H637" s="2265"/>
      <c r="I637" s="2265"/>
      <c r="J637" s="2265"/>
      <c r="K637" s="564"/>
      <c r="L637" s="594"/>
      <c r="M637" s="551"/>
      <c r="N637" s="551"/>
      <c r="O637" s="551"/>
      <c r="P637" s="551"/>
      <c r="Q637" s="551"/>
      <c r="R637" s="551"/>
      <c r="S637" s="551"/>
      <c r="T637" s="551"/>
      <c r="U637" s="551"/>
      <c r="V637" s="551"/>
      <c r="W637" s="551"/>
      <c r="X637" s="551"/>
      <c r="Y637" s="551"/>
      <c r="Z637" s="551"/>
      <c r="AA637" s="551"/>
      <c r="AB637" s="551"/>
    </row>
    <row r="638" spans="1:28" hidden="1" x14ac:dyDescent="0.25">
      <c r="A638" s="2266" t="s">
        <v>1134</v>
      </c>
      <c r="B638" s="2266"/>
      <c r="C638" s="2266"/>
      <c r="D638" s="2266"/>
      <c r="E638" s="2266"/>
      <c r="F638" s="2266"/>
      <c r="G638" s="2266"/>
      <c r="H638" s="2266"/>
      <c r="I638" s="2266"/>
      <c r="J638" s="1435">
        <v>0</v>
      </c>
      <c r="K638" s="564"/>
      <c r="L638" s="594"/>
      <c r="M638" s="551"/>
      <c r="N638" s="551"/>
      <c r="O638" s="551"/>
      <c r="P638" s="551"/>
      <c r="Q638" s="551"/>
      <c r="R638" s="551"/>
      <c r="S638" s="551"/>
      <c r="T638" s="551"/>
      <c r="U638" s="551"/>
      <c r="V638" s="551"/>
      <c r="W638" s="551"/>
      <c r="X638" s="551"/>
      <c r="Y638" s="551"/>
      <c r="Z638" s="551"/>
      <c r="AA638" s="551"/>
      <c r="AB638" s="551"/>
    </row>
    <row r="639" spans="1:28" hidden="1" x14ac:dyDescent="0.25">
      <c r="A639" s="2266" t="s">
        <v>153</v>
      </c>
      <c r="B639" s="2266"/>
      <c r="C639" s="2266"/>
      <c r="D639" s="2266"/>
      <c r="E639" s="2266"/>
      <c r="F639" s="2266"/>
      <c r="G639" s="2266"/>
      <c r="H639" s="2266"/>
      <c r="I639" s="2266"/>
      <c r="J639" s="1403"/>
      <c r="K639" s="564">
        <v>0</v>
      </c>
      <c r="L639" s="859">
        <f>J639-K639</f>
        <v>0</v>
      </c>
      <c r="M639" s="551"/>
      <c r="N639" s="551"/>
      <c r="O639" s="551"/>
      <c r="P639" s="551"/>
      <c r="Q639" s="551"/>
      <c r="R639" s="551"/>
      <c r="S639" s="551"/>
      <c r="T639" s="551"/>
      <c r="U639" s="551"/>
      <c r="V639" s="551"/>
      <c r="W639" s="551"/>
      <c r="X639" s="551"/>
      <c r="Y639" s="551"/>
      <c r="Z639" s="551"/>
      <c r="AA639" s="551"/>
      <c r="AB639" s="551"/>
    </row>
    <row r="640" spans="1:28" hidden="1" x14ac:dyDescent="0.25">
      <c r="A640" s="2258" t="s">
        <v>619</v>
      </c>
      <c r="B640" s="2258"/>
      <c r="C640" s="2258"/>
      <c r="D640" s="2258"/>
      <c r="E640" s="2258"/>
      <c r="F640" s="2258"/>
      <c r="G640" s="2258"/>
      <c r="H640" s="2258"/>
      <c r="I640" s="2258"/>
      <c r="J640" s="821"/>
      <c r="K640" s="564">
        <v>0</v>
      </c>
      <c r="L640" s="859">
        <f>J640-K640</f>
        <v>0</v>
      </c>
      <c r="M640" s="551"/>
      <c r="N640" s="551"/>
      <c r="O640" s="551"/>
      <c r="P640" s="551"/>
      <c r="Q640" s="551"/>
      <c r="R640" s="551"/>
      <c r="S640" s="551"/>
      <c r="T640" s="551"/>
      <c r="U640" s="551"/>
      <c r="V640" s="551"/>
      <c r="W640" s="551"/>
      <c r="X640" s="551"/>
      <c r="Y640" s="551"/>
      <c r="Z640" s="551"/>
      <c r="AA640" s="551"/>
      <c r="AB640" s="551"/>
    </row>
    <row r="641" spans="1:28" hidden="1" x14ac:dyDescent="0.25">
      <c r="A641" s="2258" t="s">
        <v>1147</v>
      </c>
      <c r="B641" s="2258"/>
      <c r="C641" s="2258"/>
      <c r="D641" s="2258"/>
      <c r="E641" s="2258"/>
      <c r="F641" s="2258"/>
      <c r="G641" s="2258"/>
      <c r="H641" s="2258"/>
      <c r="I641" s="2258"/>
      <c r="J641" s="360"/>
      <c r="K641" s="564"/>
      <c r="L641" s="594"/>
      <c r="M641" s="551"/>
      <c r="N641" s="551"/>
      <c r="O641" s="551"/>
      <c r="P641" s="551"/>
      <c r="Q641" s="551"/>
      <c r="R641" s="551"/>
      <c r="S641" s="551"/>
      <c r="T641" s="551"/>
      <c r="U641" s="551"/>
      <c r="V641" s="551"/>
      <c r="W641" s="551"/>
      <c r="X641" s="551"/>
      <c r="Y641" s="551"/>
      <c r="Z641" s="551"/>
      <c r="AA641" s="551"/>
      <c r="AB641" s="551"/>
    </row>
    <row r="642" spans="1:28" hidden="1" x14ac:dyDescent="0.25">
      <c r="A642" s="657"/>
      <c r="B642" s="657"/>
      <c r="C642" s="657"/>
      <c r="D642" s="657"/>
      <c r="E642" s="657"/>
      <c r="F642" s="657"/>
      <c r="G642" s="657"/>
      <c r="H642" s="657"/>
      <c r="I642" s="657"/>
      <c r="J642" s="596"/>
      <c r="K642" s="564">
        <f>K639</f>
        <v>0</v>
      </c>
      <c r="L642" s="594"/>
      <c r="M642" s="551"/>
      <c r="N642" s="551"/>
      <c r="O642" s="551"/>
      <c r="P642" s="551"/>
      <c r="Q642" s="551"/>
      <c r="R642" s="551"/>
      <c r="S642" s="551"/>
      <c r="T642" s="551"/>
      <c r="U642" s="551"/>
      <c r="V642" s="551"/>
      <c r="W642" s="551"/>
      <c r="X642" s="551"/>
      <c r="Y642" s="551"/>
      <c r="Z642" s="551"/>
      <c r="AA642" s="551"/>
      <c r="AB642" s="551"/>
    </row>
    <row r="643" spans="1:28" x14ac:dyDescent="0.25">
      <c r="A643" s="507" t="s">
        <v>63</v>
      </c>
      <c r="B643" s="504"/>
      <c r="C643" s="504"/>
      <c r="D643" s="508"/>
      <c r="E643" s="563" t="s">
        <v>127</v>
      </c>
      <c r="F643" s="560"/>
      <c r="G643" s="560"/>
      <c r="H643" s="554"/>
      <c r="I643" s="554"/>
      <c r="J643" s="554">
        <f>J644+J657</f>
        <v>150560</v>
      </c>
      <c r="K643" s="582"/>
      <c r="M643" s="551"/>
      <c r="N643" s="747"/>
      <c r="O643" s="551"/>
      <c r="P643" s="551"/>
      <c r="Q643" s="551"/>
      <c r="R643" s="551"/>
      <c r="S643" s="551"/>
      <c r="T643" s="551"/>
      <c r="U643" s="551"/>
      <c r="V643" s="551"/>
      <c r="W643" s="551"/>
      <c r="X643" s="551"/>
      <c r="Y643" s="551"/>
      <c r="Z643" s="551"/>
      <c r="AA643" s="551"/>
      <c r="AB643" s="551"/>
    </row>
    <row r="644" spans="1:28" x14ac:dyDescent="0.25">
      <c r="A644" s="786" t="s">
        <v>26</v>
      </c>
      <c r="B644" s="794"/>
      <c r="C644" s="935"/>
      <c r="D644" s="935"/>
      <c r="E644" s="793" t="s">
        <v>624</v>
      </c>
      <c r="F644" s="787"/>
      <c r="G644" s="787"/>
      <c r="H644" s="788"/>
      <c r="I644" s="986"/>
      <c r="J644" s="789">
        <f>J655</f>
        <v>150560</v>
      </c>
      <c r="K644" s="582"/>
      <c r="M644" s="551"/>
      <c r="N644" s="747"/>
      <c r="O644" s="551"/>
      <c r="P644" s="551"/>
      <c r="Q644" s="551"/>
      <c r="R644" s="551"/>
      <c r="S644" s="551"/>
      <c r="T644" s="551"/>
      <c r="U644" s="551"/>
      <c r="V644" s="551"/>
      <c r="W644" s="551"/>
      <c r="X644" s="551"/>
      <c r="Y644" s="551"/>
      <c r="Z644" s="551"/>
      <c r="AA644" s="551"/>
      <c r="AB644" s="551"/>
    </row>
    <row r="645" spans="1:28" x14ac:dyDescent="0.25">
      <c r="A645" s="1458" t="s">
        <v>27</v>
      </c>
      <c r="B645" s="72"/>
      <c r="C645" s="75"/>
      <c r="D645" s="75"/>
      <c r="E645" s="71" t="s">
        <v>1830</v>
      </c>
      <c r="F645" s="1457"/>
      <c r="G645" s="1457"/>
      <c r="H645" s="60"/>
      <c r="I645" s="69"/>
      <c r="J645" s="85">
        <f>J655</f>
        <v>150560</v>
      </c>
      <c r="K645" s="582"/>
      <c r="M645" s="551"/>
      <c r="N645" s="747"/>
      <c r="O645" s="551"/>
      <c r="P645" s="551"/>
      <c r="Q645" s="551"/>
      <c r="R645" s="551"/>
      <c r="S645" s="551"/>
      <c r="T645" s="551"/>
      <c r="U645" s="551"/>
      <c r="V645" s="551"/>
      <c r="W645" s="551"/>
      <c r="X645" s="551"/>
      <c r="Y645" s="551"/>
      <c r="Z645" s="551"/>
      <c r="AA645" s="551"/>
      <c r="AB645" s="551"/>
    </row>
    <row r="646" spans="1:28" x14ac:dyDescent="0.25">
      <c r="A646" s="1457" t="s">
        <v>1933</v>
      </c>
      <c r="B646" s="72"/>
      <c r="C646" s="75"/>
      <c r="D646" s="75"/>
      <c r="E646" s="71"/>
      <c r="F646" s="1457"/>
      <c r="G646" s="1457"/>
      <c r="H646" s="60"/>
      <c r="I646" s="69"/>
      <c r="J646" s="85"/>
      <c r="K646" s="582"/>
      <c r="M646" s="551"/>
      <c r="N646" s="747"/>
      <c r="O646" s="551"/>
      <c r="P646" s="551"/>
      <c r="Q646" s="551"/>
      <c r="R646" s="551"/>
      <c r="S646" s="551"/>
      <c r="T646" s="551"/>
      <c r="U646" s="551"/>
      <c r="V646" s="551"/>
      <c r="W646" s="551"/>
      <c r="X646" s="551"/>
      <c r="Y646" s="551"/>
      <c r="Z646" s="551"/>
      <c r="AA646" s="551"/>
      <c r="AB646" s="551"/>
    </row>
    <row r="647" spans="1:28" x14ac:dyDescent="0.25">
      <c r="A647" s="2170" t="s">
        <v>8</v>
      </c>
      <c r="B647" s="2170" t="s">
        <v>35</v>
      </c>
      <c r="C647" s="2170"/>
      <c r="D647" s="2170"/>
      <c r="E647" s="2170"/>
      <c r="F647" s="2170"/>
      <c r="G647" s="2170" t="s">
        <v>61</v>
      </c>
      <c r="H647" s="2193" t="s">
        <v>2046</v>
      </c>
      <c r="I647" s="2240"/>
      <c r="J647" s="2179"/>
      <c r="K647" s="582"/>
      <c r="M647" s="551"/>
      <c r="N647" s="747"/>
      <c r="O647" s="551"/>
      <c r="P647" s="551"/>
      <c r="Q647" s="551"/>
      <c r="R647" s="551"/>
      <c r="S647" s="551"/>
      <c r="T647" s="551"/>
      <c r="U647" s="551"/>
      <c r="V647" s="551"/>
      <c r="W647" s="551"/>
      <c r="X647" s="551"/>
      <c r="Y647" s="551"/>
      <c r="Z647" s="551"/>
      <c r="AA647" s="551"/>
      <c r="AB647" s="551"/>
    </row>
    <row r="648" spans="1:28" ht="30" x14ac:dyDescent="0.25">
      <c r="A648" s="2170"/>
      <c r="B648" s="2170"/>
      <c r="C648" s="2170"/>
      <c r="D648" s="2170"/>
      <c r="E648" s="2170"/>
      <c r="F648" s="2170"/>
      <c r="G648" s="2170"/>
      <c r="H648" s="1410" t="s">
        <v>248</v>
      </c>
      <c r="I648" s="1420" t="s">
        <v>264</v>
      </c>
      <c r="J648" s="1420" t="s">
        <v>256</v>
      </c>
      <c r="K648" s="582"/>
      <c r="M648" s="551"/>
      <c r="N648" s="747"/>
      <c r="O648" s="551"/>
      <c r="P648" s="551"/>
      <c r="Q648" s="551"/>
      <c r="R648" s="551"/>
      <c r="S648" s="551"/>
      <c r="T648" s="551"/>
      <c r="U648" s="551"/>
      <c r="V648" s="551"/>
      <c r="W648" s="551"/>
      <c r="X648" s="551"/>
      <c r="Y648" s="551"/>
      <c r="Z648" s="551"/>
      <c r="AA648" s="551"/>
      <c r="AB648" s="551"/>
    </row>
    <row r="649" spans="1:28" x14ac:dyDescent="0.25">
      <c r="A649" s="1141">
        <v>1</v>
      </c>
      <c r="B649" s="1986" t="s">
        <v>1934</v>
      </c>
      <c r="C649" s="1986"/>
      <c r="D649" s="1986"/>
      <c r="E649" s="1986"/>
      <c r="F649" s="1986"/>
      <c r="G649" s="1426" t="s">
        <v>1935</v>
      </c>
      <c r="H649" s="1364">
        <v>2</v>
      </c>
      <c r="I649" s="1426">
        <v>1550</v>
      </c>
      <c r="J649" s="1426">
        <f t="shared" ref="J649:J654" si="11">H649*I649</f>
        <v>3100</v>
      </c>
      <c r="K649" s="582"/>
      <c r="M649" s="551"/>
      <c r="N649" s="747"/>
      <c r="O649" s="551"/>
      <c r="P649" s="551"/>
      <c r="Q649" s="551"/>
      <c r="R649" s="551"/>
      <c r="S649" s="551"/>
      <c r="T649" s="551"/>
      <c r="U649" s="551"/>
      <c r="V649" s="551"/>
      <c r="W649" s="551"/>
      <c r="X649" s="551"/>
      <c r="Y649" s="551"/>
      <c r="Z649" s="551"/>
      <c r="AA649" s="551"/>
      <c r="AB649" s="551"/>
    </row>
    <row r="650" spans="1:28" x14ac:dyDescent="0.25">
      <c r="A650" s="1141">
        <v>2</v>
      </c>
      <c r="B650" s="1986" t="s">
        <v>1936</v>
      </c>
      <c r="C650" s="1986"/>
      <c r="D650" s="1986"/>
      <c r="E650" s="1986"/>
      <c r="F650" s="1986"/>
      <c r="G650" s="1426" t="s">
        <v>304</v>
      </c>
      <c r="H650" s="1364">
        <v>65</v>
      </c>
      <c r="I650" s="1426">
        <v>2100</v>
      </c>
      <c r="J650" s="1426">
        <f t="shared" si="11"/>
        <v>136500</v>
      </c>
      <c r="K650" s="582"/>
      <c r="M650" s="551"/>
      <c r="N650" s="747"/>
      <c r="O650" s="551"/>
      <c r="P650" s="551"/>
      <c r="Q650" s="551"/>
      <c r="R650" s="551"/>
      <c r="S650" s="551"/>
      <c r="T650" s="551"/>
      <c r="U650" s="551"/>
      <c r="V650" s="551"/>
      <c r="W650" s="551"/>
      <c r="X650" s="551"/>
      <c r="Y650" s="551"/>
      <c r="Z650" s="551"/>
      <c r="AA650" s="551"/>
      <c r="AB650" s="551"/>
    </row>
    <row r="651" spans="1:28" x14ac:dyDescent="0.25">
      <c r="A651" s="1141">
        <v>3</v>
      </c>
      <c r="B651" s="1986" t="s">
        <v>1940</v>
      </c>
      <c r="C651" s="1986"/>
      <c r="D651" s="1986"/>
      <c r="E651" s="1986"/>
      <c r="F651" s="1986"/>
      <c r="G651" s="1426" t="s">
        <v>304</v>
      </c>
      <c r="H651" s="1364">
        <v>2</v>
      </c>
      <c r="I651" s="1426">
        <v>2150</v>
      </c>
      <c r="J651" s="1426">
        <f t="shared" si="11"/>
        <v>4300</v>
      </c>
      <c r="K651" s="582"/>
      <c r="M651" s="551"/>
      <c r="N651" s="747"/>
      <c r="O651" s="551"/>
      <c r="P651" s="551"/>
      <c r="Q651" s="551"/>
      <c r="R651" s="551"/>
      <c r="S651" s="551"/>
      <c r="T651" s="551"/>
      <c r="U651" s="551"/>
      <c r="V651" s="551"/>
      <c r="W651" s="551"/>
      <c r="X651" s="551"/>
      <c r="Y651" s="551"/>
      <c r="Z651" s="551"/>
      <c r="AA651" s="551"/>
      <c r="AB651" s="551"/>
    </row>
    <row r="652" spans="1:28" x14ac:dyDescent="0.25">
      <c r="A652" s="1141">
        <v>4</v>
      </c>
      <c r="B652" s="1986" t="s">
        <v>1937</v>
      </c>
      <c r="C652" s="1986"/>
      <c r="D652" s="1986"/>
      <c r="E652" s="1986"/>
      <c r="F652" s="1986"/>
      <c r="G652" s="1426" t="s">
        <v>1931</v>
      </c>
      <c r="H652" s="1364">
        <v>18</v>
      </c>
      <c r="I652" s="1426">
        <v>120</v>
      </c>
      <c r="J652" s="1426">
        <f t="shared" si="11"/>
        <v>2160</v>
      </c>
      <c r="K652" s="582"/>
      <c r="M652" s="551"/>
      <c r="N652" s="747"/>
      <c r="O652" s="551"/>
      <c r="P652" s="551"/>
      <c r="Q652" s="551"/>
      <c r="R652" s="551"/>
      <c r="S652" s="551"/>
      <c r="T652" s="551"/>
      <c r="U652" s="551"/>
      <c r="V652" s="551"/>
      <c r="W652" s="551"/>
      <c r="X652" s="551"/>
      <c r="Y652" s="551"/>
      <c r="Z652" s="551"/>
      <c r="AA652" s="551"/>
      <c r="AB652" s="551"/>
    </row>
    <row r="653" spans="1:28" x14ac:dyDescent="0.25">
      <c r="A653" s="1141">
        <v>5</v>
      </c>
      <c r="B653" s="1986" t="s">
        <v>1938</v>
      </c>
      <c r="C653" s="1986"/>
      <c r="D653" s="1986"/>
      <c r="E653" s="1986"/>
      <c r="F653" s="1986"/>
      <c r="G653" s="1426" t="s">
        <v>1935</v>
      </c>
      <c r="H653" s="1364">
        <v>2</v>
      </c>
      <c r="I653" s="1426">
        <v>1250</v>
      </c>
      <c r="J653" s="1426">
        <f t="shared" si="11"/>
        <v>2500</v>
      </c>
      <c r="K653" s="582"/>
      <c r="M653" s="551"/>
      <c r="N653" s="747"/>
      <c r="O653" s="551"/>
      <c r="P653" s="551"/>
      <c r="Q653" s="551"/>
      <c r="R653" s="551"/>
      <c r="S653" s="551"/>
      <c r="T653" s="551"/>
      <c r="U653" s="551"/>
      <c r="V653" s="551"/>
      <c r="W653" s="551"/>
      <c r="X653" s="551"/>
      <c r="Y653" s="551"/>
      <c r="Z653" s="551"/>
      <c r="AA653" s="551"/>
      <c r="AB653" s="551"/>
    </row>
    <row r="654" spans="1:28" x14ac:dyDescent="0.25">
      <c r="A654" s="1141">
        <v>6</v>
      </c>
      <c r="B654" s="1986" t="s">
        <v>1939</v>
      </c>
      <c r="C654" s="1986"/>
      <c r="D654" s="1986"/>
      <c r="E654" s="1986"/>
      <c r="F654" s="1986"/>
      <c r="G654" s="1426" t="s">
        <v>304</v>
      </c>
      <c r="H654" s="1364">
        <v>2</v>
      </c>
      <c r="I654" s="1426">
        <v>1000</v>
      </c>
      <c r="J654" s="1426">
        <f t="shared" si="11"/>
        <v>2000</v>
      </c>
      <c r="K654" s="582"/>
      <c r="M654" s="551"/>
      <c r="N654" s="747"/>
      <c r="O654" s="551"/>
      <c r="P654" s="551"/>
      <c r="Q654" s="551"/>
      <c r="R654" s="551"/>
      <c r="S654" s="551"/>
      <c r="T654" s="551"/>
      <c r="U654" s="551"/>
      <c r="V654" s="551"/>
      <c r="W654" s="551"/>
      <c r="X654" s="551"/>
      <c r="Y654" s="551"/>
      <c r="Z654" s="551"/>
      <c r="AA654" s="551"/>
      <c r="AB654" s="551"/>
    </row>
    <row r="655" spans="1:28" x14ac:dyDescent="0.25">
      <c r="A655" s="1993" t="s">
        <v>39</v>
      </c>
      <c r="B655" s="1993"/>
      <c r="C655" s="1993"/>
      <c r="D655" s="1993"/>
      <c r="E655" s="1993"/>
      <c r="F655" s="1993"/>
      <c r="G655" s="1993"/>
      <c r="H655" s="1192" t="s">
        <v>5</v>
      </c>
      <c r="I655" s="1192" t="s">
        <v>5</v>
      </c>
      <c r="J655" s="1192">
        <f>SUM(J649:J654)</f>
        <v>150560</v>
      </c>
      <c r="K655" s="582"/>
      <c r="M655" s="551"/>
      <c r="N655" s="747"/>
      <c r="O655" s="551"/>
      <c r="P655" s="551"/>
      <c r="Q655" s="551"/>
      <c r="R655" s="551"/>
      <c r="S655" s="551"/>
      <c r="T655" s="551"/>
      <c r="U655" s="551"/>
      <c r="V655" s="551"/>
      <c r="W655" s="551"/>
      <c r="X655" s="551"/>
      <c r="Y655" s="551"/>
      <c r="Z655" s="551"/>
      <c r="AA655" s="551"/>
      <c r="AB655" s="551"/>
    </row>
    <row r="656" spans="1:28" x14ac:dyDescent="0.25">
      <c r="A656" s="507"/>
      <c r="B656" s="504"/>
      <c r="C656" s="504"/>
      <c r="D656" s="508"/>
      <c r="E656" s="563"/>
      <c r="F656" s="560"/>
      <c r="G656" s="560"/>
      <c r="H656" s="554"/>
      <c r="I656" s="554"/>
      <c r="J656" s="554"/>
      <c r="K656" s="582"/>
      <c r="M656" s="551"/>
      <c r="N656" s="747"/>
      <c r="O656" s="551"/>
      <c r="P656" s="551"/>
      <c r="Q656" s="551"/>
      <c r="R656" s="551"/>
      <c r="S656" s="551"/>
      <c r="T656" s="551"/>
      <c r="U656" s="551"/>
      <c r="V656" s="551"/>
      <c r="W656" s="551"/>
      <c r="X656" s="551"/>
      <c r="Y656" s="551"/>
      <c r="Z656" s="551"/>
      <c r="AA656" s="551"/>
      <c r="AB656" s="551"/>
    </row>
    <row r="657" spans="1:28" hidden="1" x14ac:dyDescent="0.25">
      <c r="A657" s="973" t="s">
        <v>26</v>
      </c>
      <c r="B657" s="981"/>
      <c r="C657" s="981"/>
      <c r="D657" s="981"/>
      <c r="E657" s="975" t="s">
        <v>626</v>
      </c>
      <c r="F657" s="976"/>
      <c r="G657" s="983"/>
      <c r="H657" s="984"/>
      <c r="I657" s="984"/>
      <c r="J657" s="984">
        <f>J666</f>
        <v>0</v>
      </c>
      <c r="K657" s="582"/>
      <c r="L657" s="551"/>
      <c r="M657" s="551"/>
      <c r="N657" s="551"/>
      <c r="O657" s="551"/>
      <c r="P657" s="551"/>
      <c r="Q657" s="551"/>
      <c r="R657" s="551"/>
      <c r="S657" s="551"/>
      <c r="T657" s="551"/>
      <c r="U657" s="551"/>
      <c r="V657" s="551"/>
      <c r="W657" s="551"/>
      <c r="X657" s="551"/>
      <c r="Y657" s="551"/>
      <c r="Z657" s="551"/>
      <c r="AA657" s="551"/>
      <c r="AB657" s="551"/>
    </row>
    <row r="658" spans="1:28" hidden="1" x14ac:dyDescent="0.25">
      <c r="A658" s="507" t="s">
        <v>27</v>
      </c>
      <c r="B658" s="504"/>
      <c r="C658" s="504"/>
      <c r="D658" s="504"/>
      <c r="E658" s="509" t="s">
        <v>67</v>
      </c>
      <c r="G658" s="560"/>
      <c r="H658" s="554"/>
      <c r="I658" s="554"/>
      <c r="J658" s="554"/>
      <c r="K658" s="582"/>
      <c r="L658" s="551"/>
      <c r="M658" s="551"/>
      <c r="N658" s="551"/>
      <c r="O658" s="551"/>
      <c r="P658" s="551"/>
      <c r="Q658" s="551"/>
      <c r="R658" s="551"/>
      <c r="S658" s="551"/>
      <c r="T658" s="551"/>
      <c r="U658" s="551"/>
      <c r="V658" s="551"/>
      <c r="W658" s="551"/>
      <c r="X658" s="551"/>
      <c r="Y658" s="551"/>
      <c r="Z658" s="551"/>
      <c r="AA658" s="551"/>
      <c r="AB658" s="551"/>
    </row>
    <row r="659" spans="1:28" ht="16.5" hidden="1" customHeight="1" x14ac:dyDescent="0.25">
      <c r="A659" s="1449" t="s">
        <v>1082</v>
      </c>
      <c r="K659" s="582"/>
      <c r="L659" s="551"/>
      <c r="M659" s="551"/>
      <c r="N659" s="551"/>
      <c r="O659" s="551"/>
      <c r="P659" s="551"/>
      <c r="Q659" s="551"/>
      <c r="R659" s="551"/>
      <c r="S659" s="551"/>
      <c r="T659" s="551"/>
      <c r="U659" s="551"/>
      <c r="V659" s="551"/>
      <c r="W659" s="551"/>
      <c r="X659" s="551"/>
      <c r="Y659" s="551"/>
      <c r="Z659" s="551"/>
      <c r="AA659" s="551"/>
      <c r="AB659" s="551"/>
    </row>
    <row r="660" spans="1:28" hidden="1" x14ac:dyDescent="0.25">
      <c r="A660" s="2183" t="s">
        <v>8</v>
      </c>
      <c r="B660" s="2183" t="s">
        <v>35</v>
      </c>
      <c r="C660" s="2183"/>
      <c r="D660" s="2183"/>
      <c r="E660" s="2183"/>
      <c r="F660" s="2183"/>
      <c r="G660" s="2183" t="s">
        <v>61</v>
      </c>
      <c r="H660" s="2184" t="s">
        <v>735</v>
      </c>
      <c r="I660" s="2185"/>
      <c r="J660" s="2186"/>
      <c r="K660" s="582"/>
      <c r="L660" s="551"/>
      <c r="M660" s="551"/>
      <c r="N660" s="551"/>
      <c r="O660" s="551"/>
      <c r="P660" s="551"/>
      <c r="Q660" s="551"/>
      <c r="R660" s="551"/>
      <c r="S660" s="551"/>
      <c r="T660" s="551"/>
      <c r="U660" s="551"/>
      <c r="V660" s="551"/>
      <c r="W660" s="551"/>
      <c r="X660" s="551"/>
      <c r="Y660" s="551"/>
      <c r="Z660" s="551"/>
      <c r="AA660" s="551"/>
      <c r="AB660" s="551"/>
    </row>
    <row r="661" spans="1:28" ht="31.5" hidden="1" customHeight="1" x14ac:dyDescent="0.25">
      <c r="A661" s="2183"/>
      <c r="B661" s="2183"/>
      <c r="C661" s="2183"/>
      <c r="D661" s="2183"/>
      <c r="E661" s="2183"/>
      <c r="F661" s="2183"/>
      <c r="G661" s="2183"/>
      <c r="H661" s="1408" t="s">
        <v>248</v>
      </c>
      <c r="I661" s="1434" t="s">
        <v>264</v>
      </c>
      <c r="J661" s="1434" t="s">
        <v>256</v>
      </c>
      <c r="K661" s="582"/>
      <c r="L661" s="551"/>
      <c r="M661" s="551"/>
      <c r="N661" s="551"/>
      <c r="O661" s="551"/>
      <c r="P661" s="551"/>
      <c r="Q661" s="551"/>
      <c r="R661" s="551"/>
      <c r="S661" s="551"/>
      <c r="T661" s="551"/>
      <c r="U661" s="551"/>
      <c r="V661" s="551"/>
      <c r="W661" s="551"/>
      <c r="X661" s="551"/>
      <c r="Y661" s="551"/>
      <c r="Z661" s="551"/>
      <c r="AA661" s="551"/>
      <c r="AB661" s="551"/>
    </row>
    <row r="662" spans="1:28" hidden="1" x14ac:dyDescent="0.25">
      <c r="A662" s="1447">
        <v>1</v>
      </c>
      <c r="B662" s="2340" t="s">
        <v>1175</v>
      </c>
      <c r="C662" s="2341"/>
      <c r="D662" s="2341"/>
      <c r="E662" s="2341"/>
      <c r="F662" s="2342"/>
      <c r="G662" s="1434" t="s">
        <v>245</v>
      </c>
      <c r="H662" s="614"/>
      <c r="I662" s="615">
        <v>5333</v>
      </c>
      <c r="J662" s="361">
        <f>H662*I662</f>
        <v>0</v>
      </c>
      <c r="K662" s="582"/>
      <c r="M662" s="551"/>
      <c r="N662" s="551"/>
      <c r="O662" s="551"/>
      <c r="P662" s="551"/>
      <c r="Q662" s="551"/>
      <c r="R662" s="551"/>
      <c r="S662" s="551"/>
      <c r="T662" s="551"/>
      <c r="U662" s="551"/>
      <c r="V662" s="551"/>
      <c r="W662" s="551"/>
      <c r="X662" s="551"/>
      <c r="Y662" s="551"/>
      <c r="Z662" s="551"/>
      <c r="AA662" s="551"/>
      <c r="AB662" s="551"/>
    </row>
    <row r="663" spans="1:28" hidden="1" x14ac:dyDescent="0.25">
      <c r="A663" s="1447">
        <v>5</v>
      </c>
      <c r="B663" s="2340" t="s">
        <v>1175</v>
      </c>
      <c r="C663" s="2341"/>
      <c r="D663" s="2341"/>
      <c r="E663" s="2341"/>
      <c r="F663" s="2342"/>
      <c r="G663" s="1434" t="s">
        <v>245</v>
      </c>
      <c r="H663" s="614"/>
      <c r="I663" s="615"/>
      <c r="J663" s="613">
        <f>H663*I663</f>
        <v>0</v>
      </c>
      <c r="K663" s="582"/>
      <c r="M663" s="551"/>
      <c r="N663" s="551"/>
      <c r="O663" s="551"/>
      <c r="P663" s="551"/>
      <c r="Q663" s="551"/>
      <c r="R663" s="551"/>
      <c r="S663" s="551"/>
      <c r="T663" s="551"/>
      <c r="U663" s="551"/>
      <c r="V663" s="551"/>
      <c r="W663" s="551"/>
      <c r="X663" s="551"/>
      <c r="Y663" s="551"/>
      <c r="Z663" s="551"/>
      <c r="AA663" s="551"/>
      <c r="AB663" s="551"/>
    </row>
    <row r="664" spans="1:28" hidden="1" x14ac:dyDescent="0.25">
      <c r="A664" s="1447">
        <v>6</v>
      </c>
      <c r="B664" s="2340" t="s">
        <v>1176</v>
      </c>
      <c r="C664" s="2341"/>
      <c r="D664" s="2341"/>
      <c r="E664" s="2341"/>
      <c r="F664" s="2342"/>
      <c r="G664" s="1434" t="s">
        <v>245</v>
      </c>
      <c r="H664" s="614"/>
      <c r="I664" s="615"/>
      <c r="J664" s="613">
        <f>H664*I664</f>
        <v>0</v>
      </c>
      <c r="K664" s="582"/>
      <c r="M664" s="551"/>
      <c r="N664" s="551"/>
      <c r="O664" s="551"/>
      <c r="P664" s="551"/>
      <c r="Q664" s="551"/>
      <c r="R664" s="551"/>
      <c r="S664" s="551"/>
      <c r="T664" s="551"/>
      <c r="U664" s="551"/>
      <c r="V664" s="551"/>
      <c r="W664" s="551"/>
      <c r="X664" s="551"/>
      <c r="Y664" s="551"/>
      <c r="Z664" s="551"/>
      <c r="AA664" s="551"/>
      <c r="AB664" s="551"/>
    </row>
    <row r="665" spans="1:28" hidden="1" x14ac:dyDescent="0.25">
      <c r="A665" s="1447">
        <v>7</v>
      </c>
      <c r="B665" s="2340" t="s">
        <v>1177</v>
      </c>
      <c r="C665" s="2341"/>
      <c r="D665" s="2341"/>
      <c r="E665" s="2341"/>
      <c r="F665" s="2342"/>
      <c r="G665" s="1434" t="s">
        <v>245</v>
      </c>
      <c r="H665" s="614"/>
      <c r="I665" s="615"/>
      <c r="J665" s="613">
        <f>H665*I665</f>
        <v>0</v>
      </c>
      <c r="K665" s="582"/>
      <c r="M665" s="551"/>
      <c r="N665" s="551"/>
      <c r="O665" s="551"/>
      <c r="P665" s="551"/>
      <c r="Q665" s="551"/>
      <c r="R665" s="551"/>
      <c r="S665" s="551"/>
      <c r="T665" s="551"/>
      <c r="U665" s="551"/>
      <c r="V665" s="551"/>
      <c r="W665" s="551"/>
      <c r="X665" s="551"/>
      <c r="Y665" s="551"/>
      <c r="Z665" s="551"/>
      <c r="AA665" s="551"/>
      <c r="AB665" s="551"/>
    </row>
    <row r="666" spans="1:28" hidden="1" x14ac:dyDescent="0.25">
      <c r="A666" s="2181" t="s">
        <v>39</v>
      </c>
      <c r="B666" s="2181"/>
      <c r="C666" s="2181"/>
      <c r="D666" s="2181"/>
      <c r="E666" s="2181"/>
      <c r="F666" s="2181"/>
      <c r="G666" s="2181"/>
      <c r="H666" s="1437" t="s">
        <v>5</v>
      </c>
      <c r="I666" s="1437" t="s">
        <v>5</v>
      </c>
      <c r="J666" s="1406">
        <f>SUM(J662:J665)</f>
        <v>0</v>
      </c>
      <c r="K666" s="582"/>
      <c r="L666" s="550"/>
      <c r="M666" s="551"/>
      <c r="N666" s="551"/>
      <c r="O666" s="551"/>
      <c r="P666" s="551"/>
      <c r="Q666" s="551"/>
      <c r="R666" s="551"/>
      <c r="S666" s="551"/>
      <c r="T666" s="551"/>
      <c r="U666" s="551"/>
      <c r="V666" s="551"/>
      <c r="W666" s="551"/>
      <c r="X666" s="551"/>
      <c r="Y666" s="551"/>
      <c r="Z666" s="551"/>
      <c r="AA666" s="551"/>
      <c r="AB666" s="551"/>
    </row>
    <row r="667" spans="1:28" hidden="1" x14ac:dyDescent="0.25">
      <c r="A667" s="560"/>
      <c r="B667" s="560"/>
      <c r="C667" s="560"/>
      <c r="D667" s="560"/>
      <c r="E667" s="560"/>
      <c r="F667" s="560"/>
      <c r="G667" s="560"/>
      <c r="H667" s="554"/>
      <c r="I667" s="554"/>
      <c r="J667" s="64"/>
      <c r="K667" s="582"/>
      <c r="L667" s="550"/>
      <c r="M667" s="551"/>
      <c r="N667" s="551"/>
      <c r="O667" s="551"/>
      <c r="P667" s="551"/>
      <c r="Q667" s="551"/>
      <c r="R667" s="551"/>
      <c r="S667" s="551"/>
      <c r="T667" s="551"/>
      <c r="U667" s="551"/>
      <c r="V667" s="551"/>
      <c r="W667" s="551"/>
      <c r="X667" s="551"/>
      <c r="Y667" s="551"/>
      <c r="Z667" s="551"/>
      <c r="AA667" s="551"/>
      <c r="AB667" s="551"/>
    </row>
    <row r="668" spans="1:28" x14ac:dyDescent="0.25">
      <c r="A668" s="507" t="s">
        <v>63</v>
      </c>
      <c r="B668" s="504"/>
      <c r="C668" s="504"/>
      <c r="D668" s="508"/>
      <c r="E668" s="509" t="s">
        <v>81</v>
      </c>
      <c r="J668" s="511">
        <f>J669+J752</f>
        <v>700003.7</v>
      </c>
      <c r="L668" s="551"/>
      <c r="M668" s="552"/>
      <c r="P668" s="551"/>
      <c r="Q668" s="551"/>
      <c r="R668" s="551"/>
      <c r="S668" s="551"/>
      <c r="T668" s="551"/>
      <c r="U668" s="551"/>
      <c r="V668" s="551"/>
      <c r="W668" s="551"/>
      <c r="X668" s="551"/>
      <c r="Y668" s="551"/>
      <c r="Z668" s="551"/>
      <c r="AA668" s="551"/>
      <c r="AB668" s="551"/>
    </row>
    <row r="669" spans="1:28" s="61" customFormat="1" ht="15" customHeight="1" x14ac:dyDescent="0.25">
      <c r="A669" s="786" t="s">
        <v>26</v>
      </c>
      <c r="B669" s="794"/>
      <c r="C669" s="794"/>
      <c r="D669" s="936"/>
      <c r="E669" s="793" t="s">
        <v>624</v>
      </c>
      <c r="F669" s="787"/>
      <c r="G669" s="787"/>
      <c r="H669" s="788"/>
      <c r="I669" s="986"/>
      <c r="J669" s="789">
        <f>J670+J733</f>
        <v>635979.4</v>
      </c>
      <c r="K669" s="341"/>
      <c r="L669" s="2"/>
      <c r="M669" s="81"/>
      <c r="N669" s="341"/>
    </row>
    <row r="670" spans="1:28" x14ac:dyDescent="0.25">
      <c r="A670" s="1458" t="s">
        <v>27</v>
      </c>
      <c r="B670" s="72"/>
      <c r="C670" s="72"/>
      <c r="D670" s="61"/>
      <c r="E670" s="71" t="s">
        <v>1830</v>
      </c>
      <c r="F670" s="1457"/>
      <c r="G670" s="1457"/>
      <c r="H670" s="60"/>
      <c r="I670" s="69"/>
      <c r="J670" s="85">
        <f>J688+J718+J731</f>
        <v>595979.4</v>
      </c>
      <c r="K670" s="341"/>
      <c r="L670" s="828"/>
      <c r="M670" s="573"/>
      <c r="N670" s="829"/>
      <c r="P670" s="551"/>
      <c r="Q670" s="551"/>
      <c r="R670" s="551"/>
      <c r="S670" s="551"/>
      <c r="T670" s="551"/>
      <c r="U670" s="551"/>
      <c r="V670" s="551"/>
      <c r="W670" s="551"/>
      <c r="X670" s="551"/>
      <c r="Y670" s="551"/>
      <c r="Z670" s="551"/>
      <c r="AA670" s="551"/>
      <c r="AB670" s="551"/>
    </row>
    <row r="671" spans="1:28" s="87" customFormat="1" x14ac:dyDescent="0.25">
      <c r="A671" s="1457" t="s">
        <v>1254</v>
      </c>
      <c r="B671" s="72"/>
      <c r="C671" s="75"/>
      <c r="D671" s="75"/>
      <c r="E671" s="71"/>
      <c r="F671" s="1457"/>
      <c r="G671" s="1457"/>
      <c r="H671" s="60"/>
      <c r="I671" s="69"/>
      <c r="J671" s="85"/>
    </row>
    <row r="672" spans="1:28" s="87" customFormat="1" x14ac:dyDescent="0.25">
      <c r="A672" s="1926" t="s">
        <v>8</v>
      </c>
      <c r="B672" s="1926" t="s">
        <v>35</v>
      </c>
      <c r="C672" s="2171"/>
      <c r="D672" s="2171"/>
      <c r="E672" s="2171"/>
      <c r="F672" s="2171"/>
      <c r="G672" s="2183" t="s">
        <v>61</v>
      </c>
      <c r="H672" s="2184" t="s">
        <v>2046</v>
      </c>
      <c r="I672" s="2185"/>
      <c r="J672" s="2186"/>
    </row>
    <row r="673" spans="1:10" s="87" customFormat="1" ht="31.5" customHeight="1" x14ac:dyDescent="0.25">
      <c r="A673" s="2171"/>
      <c r="B673" s="2171"/>
      <c r="C673" s="2171"/>
      <c r="D673" s="2171"/>
      <c r="E673" s="2171"/>
      <c r="F673" s="2171"/>
      <c r="G673" s="2183"/>
      <c r="H673" s="1408" t="s">
        <v>248</v>
      </c>
      <c r="I673" s="1434" t="s">
        <v>264</v>
      </c>
      <c r="J673" s="1434" t="s">
        <v>256</v>
      </c>
    </row>
    <row r="674" spans="1:10" s="87" customFormat="1" ht="15" customHeight="1" x14ac:dyDescent="0.25">
      <c r="A674" s="2143" t="s">
        <v>1253</v>
      </c>
      <c r="B674" s="2164"/>
      <c r="C674" s="2164"/>
      <c r="D674" s="2164"/>
      <c r="E674" s="2164"/>
      <c r="F674" s="2164"/>
      <c r="G674" s="2164"/>
      <c r="H674" s="2164"/>
      <c r="I674" s="2165"/>
      <c r="J674" s="1188">
        <f>SUM(J675:J687)</f>
        <v>156324.6</v>
      </c>
    </row>
    <row r="675" spans="1:10" s="87" customFormat="1" x14ac:dyDescent="0.25">
      <c r="A675" s="1418">
        <v>1</v>
      </c>
      <c r="B675" s="1986" t="s">
        <v>1814</v>
      </c>
      <c r="C675" s="1986"/>
      <c r="D675" s="1986"/>
      <c r="E675" s="1986"/>
      <c r="F675" s="1986"/>
      <c r="G675" s="1145" t="s">
        <v>303</v>
      </c>
      <c r="H675" s="1145">
        <v>16</v>
      </c>
      <c r="I675" s="1146">
        <v>224</v>
      </c>
      <c r="J675" s="1426">
        <f>H675*I675</f>
        <v>3584</v>
      </c>
    </row>
    <row r="676" spans="1:10" s="87" customFormat="1" ht="15" customHeight="1" x14ac:dyDescent="0.25">
      <c r="A676" s="1418">
        <v>2</v>
      </c>
      <c r="B676" s="1986" t="s">
        <v>1815</v>
      </c>
      <c r="C676" s="1986"/>
      <c r="D676" s="1986"/>
      <c r="E676" s="1986"/>
      <c r="F676" s="1986"/>
      <c r="G676" s="1145" t="s">
        <v>303</v>
      </c>
      <c r="H676" s="1145">
        <v>40</v>
      </c>
      <c r="I676" s="1146">
        <v>363</v>
      </c>
      <c r="J676" s="1426">
        <f t="shared" ref="J676:J687" si="12">H676*I676</f>
        <v>14520</v>
      </c>
    </row>
    <row r="677" spans="1:10" s="87" customFormat="1" ht="15" customHeight="1" x14ac:dyDescent="0.25">
      <c r="A677" s="1418">
        <v>3</v>
      </c>
      <c r="B677" s="1986" t="s">
        <v>1816</v>
      </c>
      <c r="C677" s="1986"/>
      <c r="D677" s="1986"/>
      <c r="E677" s="1986"/>
      <c r="F677" s="1986"/>
      <c r="G677" s="1145" t="s">
        <v>934</v>
      </c>
      <c r="H677" s="1145">
        <v>96</v>
      </c>
      <c r="I677" s="1146">
        <v>418</v>
      </c>
      <c r="J677" s="1426">
        <f t="shared" si="12"/>
        <v>40128</v>
      </c>
    </row>
    <row r="678" spans="1:10" s="87" customFormat="1" ht="15" customHeight="1" x14ac:dyDescent="0.25">
      <c r="A678" s="1418">
        <v>4</v>
      </c>
      <c r="B678" s="1986" t="s">
        <v>1817</v>
      </c>
      <c r="C678" s="1986"/>
      <c r="D678" s="1986"/>
      <c r="E678" s="1986"/>
      <c r="F678" s="1986"/>
      <c r="G678" s="1145" t="s">
        <v>303</v>
      </c>
      <c r="H678" s="1145">
        <v>16</v>
      </c>
      <c r="I678" s="1146">
        <v>1694</v>
      </c>
      <c r="J678" s="1426">
        <f t="shared" si="12"/>
        <v>27104</v>
      </c>
    </row>
    <row r="679" spans="1:10" s="87" customFormat="1" ht="15" customHeight="1" x14ac:dyDescent="0.25">
      <c r="A679" s="1418">
        <v>5</v>
      </c>
      <c r="B679" s="1986" t="s">
        <v>1818</v>
      </c>
      <c r="C679" s="1986"/>
      <c r="D679" s="1986"/>
      <c r="E679" s="1986"/>
      <c r="F679" s="1986"/>
      <c r="G679" s="1145" t="s">
        <v>303</v>
      </c>
      <c r="H679" s="1145">
        <v>16</v>
      </c>
      <c r="I679" s="1146">
        <v>1848</v>
      </c>
      <c r="J679" s="1426">
        <f t="shared" si="12"/>
        <v>29568</v>
      </c>
    </row>
    <row r="680" spans="1:10" s="87" customFormat="1" x14ac:dyDescent="0.25">
      <c r="A680" s="1418">
        <v>6</v>
      </c>
      <c r="B680" s="1986" t="s">
        <v>1819</v>
      </c>
      <c r="C680" s="1986"/>
      <c r="D680" s="1986"/>
      <c r="E680" s="1986"/>
      <c r="F680" s="1986"/>
      <c r="G680" s="1145" t="s">
        <v>303</v>
      </c>
      <c r="H680" s="1145">
        <v>16</v>
      </c>
      <c r="I680" s="1146">
        <v>1914</v>
      </c>
      <c r="J680" s="1426">
        <f t="shared" si="12"/>
        <v>30624</v>
      </c>
    </row>
    <row r="681" spans="1:10" s="87" customFormat="1" ht="15" customHeight="1" x14ac:dyDescent="0.25">
      <c r="A681" s="1418">
        <v>7</v>
      </c>
      <c r="B681" s="1986" t="s">
        <v>1820</v>
      </c>
      <c r="C681" s="1986"/>
      <c r="D681" s="1986"/>
      <c r="E681" s="1986"/>
      <c r="F681" s="1986"/>
      <c r="G681" s="1145" t="s">
        <v>934</v>
      </c>
      <c r="H681" s="1145">
        <v>2.5</v>
      </c>
      <c r="I681" s="1146">
        <v>67</v>
      </c>
      <c r="J681" s="1426">
        <f t="shared" si="12"/>
        <v>167.5</v>
      </c>
    </row>
    <row r="682" spans="1:10" s="87" customFormat="1" x14ac:dyDescent="0.25">
      <c r="A682" s="1418">
        <v>8</v>
      </c>
      <c r="B682" s="1986" t="s">
        <v>1821</v>
      </c>
      <c r="C682" s="1986"/>
      <c r="D682" s="1986"/>
      <c r="E682" s="1986"/>
      <c r="F682" s="1986"/>
      <c r="G682" s="1145" t="s">
        <v>934</v>
      </c>
      <c r="H682" s="1145">
        <v>0.2</v>
      </c>
      <c r="I682" s="1146">
        <v>803</v>
      </c>
      <c r="J682" s="1426">
        <f t="shared" si="12"/>
        <v>160.6</v>
      </c>
    </row>
    <row r="683" spans="1:10" s="87" customFormat="1" x14ac:dyDescent="0.25">
      <c r="A683" s="1418">
        <v>9</v>
      </c>
      <c r="B683" s="1986" t="s">
        <v>1822</v>
      </c>
      <c r="C683" s="1986"/>
      <c r="D683" s="1986"/>
      <c r="E683" s="1986"/>
      <c r="F683" s="1986"/>
      <c r="G683" s="1145" t="s">
        <v>303</v>
      </c>
      <c r="H683" s="1145">
        <v>1.5</v>
      </c>
      <c r="I683" s="1146">
        <v>715</v>
      </c>
      <c r="J683" s="1426">
        <f t="shared" si="12"/>
        <v>1072.5</v>
      </c>
    </row>
    <row r="684" spans="1:10" s="87" customFormat="1" x14ac:dyDescent="0.25">
      <c r="A684" s="1418">
        <v>10</v>
      </c>
      <c r="B684" s="1986" t="s">
        <v>1823</v>
      </c>
      <c r="C684" s="1986"/>
      <c r="D684" s="1986"/>
      <c r="E684" s="1986"/>
      <c r="F684" s="1986"/>
      <c r="G684" s="1145" t="s">
        <v>934</v>
      </c>
      <c r="H684" s="1145">
        <v>16</v>
      </c>
      <c r="I684" s="1146">
        <v>165</v>
      </c>
      <c r="J684" s="1426">
        <f t="shared" si="12"/>
        <v>2640</v>
      </c>
    </row>
    <row r="685" spans="1:10" s="87" customFormat="1" x14ac:dyDescent="0.25">
      <c r="A685" s="1418">
        <v>11</v>
      </c>
      <c r="B685" s="1986" t="s">
        <v>1824</v>
      </c>
      <c r="C685" s="1986"/>
      <c r="D685" s="1986"/>
      <c r="E685" s="1986"/>
      <c r="F685" s="1986"/>
      <c r="G685" s="1145" t="s">
        <v>304</v>
      </c>
      <c r="H685" s="1145">
        <v>72</v>
      </c>
      <c r="I685" s="1146">
        <v>8</v>
      </c>
      <c r="J685" s="1426">
        <f t="shared" si="12"/>
        <v>576</v>
      </c>
    </row>
    <row r="686" spans="1:10" s="87" customFormat="1" x14ac:dyDescent="0.25">
      <c r="A686" s="1418">
        <v>12</v>
      </c>
      <c r="B686" s="1986" t="s">
        <v>1825</v>
      </c>
      <c r="C686" s="1986"/>
      <c r="D686" s="1986"/>
      <c r="E686" s="1986"/>
      <c r="F686" s="1986"/>
      <c r="G686" s="1145" t="s">
        <v>304</v>
      </c>
      <c r="H686" s="1145">
        <v>72</v>
      </c>
      <c r="I686" s="1146">
        <v>24</v>
      </c>
      <c r="J686" s="1426">
        <f t="shared" si="12"/>
        <v>1728</v>
      </c>
    </row>
    <row r="687" spans="1:10" s="87" customFormat="1" x14ac:dyDescent="0.25">
      <c r="A687" s="1418">
        <v>13</v>
      </c>
      <c r="B687" s="1986" t="s">
        <v>1826</v>
      </c>
      <c r="C687" s="1986"/>
      <c r="D687" s="1986"/>
      <c r="E687" s="1986"/>
      <c r="F687" s="1986"/>
      <c r="G687" s="1145" t="s">
        <v>934</v>
      </c>
      <c r="H687" s="1145">
        <v>5.6</v>
      </c>
      <c r="I687" s="1146">
        <v>795</v>
      </c>
      <c r="J687" s="1426">
        <f t="shared" si="12"/>
        <v>4452</v>
      </c>
    </row>
    <row r="688" spans="1:10" s="87" customFormat="1" ht="14.25" x14ac:dyDescent="0.25">
      <c r="A688" s="1987" t="s">
        <v>39</v>
      </c>
      <c r="B688" s="1988"/>
      <c r="C688" s="1988"/>
      <c r="D688" s="1988"/>
      <c r="E688" s="1988"/>
      <c r="F688" s="1988"/>
      <c r="G688" s="1988"/>
      <c r="H688" s="1988"/>
      <c r="I688" s="1989"/>
      <c r="J688" s="1406">
        <f>J674</f>
        <v>156324.6</v>
      </c>
    </row>
    <row r="689" spans="1:10" s="87" customFormat="1" ht="14.25" x14ac:dyDescent="0.25">
      <c r="A689" s="1303"/>
      <c r="B689" s="1303"/>
      <c r="C689" s="1303"/>
      <c r="D689" s="1303"/>
      <c r="E689" s="1303"/>
      <c r="F689" s="1303"/>
      <c r="G689" s="1303"/>
      <c r="H689" s="1303"/>
      <c r="I689" s="1303"/>
      <c r="J689" s="64"/>
    </row>
    <row r="690" spans="1:10" s="87" customFormat="1" x14ac:dyDescent="0.25">
      <c r="A690" s="2038" t="s">
        <v>1576</v>
      </c>
      <c r="B690" s="2038"/>
      <c r="C690" s="2038"/>
      <c r="D690" s="2038"/>
      <c r="E690" s="2038"/>
      <c r="F690" s="2038"/>
      <c r="G690" s="2038"/>
      <c r="H690" s="2038"/>
      <c r="I690" s="2038"/>
      <c r="J690" s="2038"/>
    </row>
    <row r="691" spans="1:10" s="87" customFormat="1" x14ac:dyDescent="0.25">
      <c r="A691" s="1926" t="s">
        <v>8</v>
      </c>
      <c r="B691" s="1956" t="s">
        <v>35</v>
      </c>
      <c r="C691" s="1916"/>
      <c r="D691" s="1916"/>
      <c r="E691" s="1916"/>
      <c r="F691" s="1957"/>
      <c r="G691" s="1926" t="s">
        <v>2046</v>
      </c>
      <c r="H691" s="2173"/>
      <c r="I691" s="2173"/>
      <c r="J691" s="2173"/>
    </row>
    <row r="692" spans="1:10" s="87" customFormat="1" ht="30" x14ac:dyDescent="0.25">
      <c r="A692" s="1926"/>
      <c r="B692" s="2159"/>
      <c r="C692" s="2160"/>
      <c r="D692" s="2160"/>
      <c r="E692" s="2160"/>
      <c r="F692" s="2161"/>
      <c r="G692" s="1425" t="s">
        <v>61</v>
      </c>
      <c r="H692" s="1418" t="s">
        <v>248</v>
      </c>
      <c r="I692" s="1426" t="s">
        <v>264</v>
      </c>
      <c r="J692" s="1385" t="s">
        <v>256</v>
      </c>
    </row>
    <row r="693" spans="1:10" s="87" customFormat="1" x14ac:dyDescent="0.25">
      <c r="A693" s="1079">
        <v>1</v>
      </c>
      <c r="B693" s="1986" t="s">
        <v>1899</v>
      </c>
      <c r="C693" s="2219"/>
      <c r="D693" s="2219"/>
      <c r="E693" s="2219"/>
      <c r="F693" s="2219"/>
      <c r="G693" s="1230" t="s">
        <v>304</v>
      </c>
      <c r="H693" s="1230">
        <v>50</v>
      </c>
      <c r="I693" s="1426">
        <v>228</v>
      </c>
      <c r="J693" s="1426">
        <f t="shared" ref="J693:J717" si="13">H693*I693</f>
        <v>11400</v>
      </c>
    </row>
    <row r="694" spans="1:10" s="87" customFormat="1" x14ac:dyDescent="0.25">
      <c r="A694" s="1079">
        <v>3</v>
      </c>
      <c r="B694" s="1986" t="s">
        <v>1900</v>
      </c>
      <c r="C694" s="2219"/>
      <c r="D694" s="2219"/>
      <c r="E694" s="2219"/>
      <c r="F694" s="2219"/>
      <c r="G694" s="1230" t="s">
        <v>304</v>
      </c>
      <c r="H694" s="1230">
        <v>80</v>
      </c>
      <c r="I694" s="1426">
        <v>17.3</v>
      </c>
      <c r="J694" s="1426">
        <f t="shared" si="13"/>
        <v>1384</v>
      </c>
    </row>
    <row r="695" spans="1:10" s="87" customFormat="1" x14ac:dyDescent="0.25">
      <c r="A695" s="1079">
        <v>4</v>
      </c>
      <c r="B695" s="1986" t="s">
        <v>1901</v>
      </c>
      <c r="C695" s="2219"/>
      <c r="D695" s="2219"/>
      <c r="E695" s="2219"/>
      <c r="F695" s="2219"/>
      <c r="G695" s="1230" t="s">
        <v>304</v>
      </c>
      <c r="H695" s="1230">
        <v>120</v>
      </c>
      <c r="I695" s="1426">
        <v>34</v>
      </c>
      <c r="J695" s="1426">
        <f t="shared" si="13"/>
        <v>4080</v>
      </c>
    </row>
    <row r="696" spans="1:10" s="87" customFormat="1" x14ac:dyDescent="0.25">
      <c r="A696" s="1079">
        <v>5</v>
      </c>
      <c r="B696" s="1986" t="s">
        <v>1902</v>
      </c>
      <c r="C696" s="2219"/>
      <c r="D696" s="2219"/>
      <c r="E696" s="2219"/>
      <c r="F696" s="2219"/>
      <c r="G696" s="1230" t="s">
        <v>304</v>
      </c>
      <c r="H696" s="1230">
        <v>50</v>
      </c>
      <c r="I696" s="1426">
        <v>79</v>
      </c>
      <c r="J696" s="1426">
        <f t="shared" si="13"/>
        <v>3950</v>
      </c>
    </row>
    <row r="697" spans="1:10" s="87" customFormat="1" x14ac:dyDescent="0.25">
      <c r="A697" s="1079">
        <v>6</v>
      </c>
      <c r="B697" s="1986" t="s">
        <v>1903</v>
      </c>
      <c r="C697" s="2219"/>
      <c r="D697" s="2219"/>
      <c r="E697" s="2219"/>
      <c r="F697" s="2219"/>
      <c r="G697" s="1230" t="s">
        <v>304</v>
      </c>
      <c r="H697" s="1230">
        <v>40</v>
      </c>
      <c r="I697" s="1426">
        <v>150</v>
      </c>
      <c r="J697" s="1426">
        <f t="shared" si="13"/>
        <v>6000</v>
      </c>
    </row>
    <row r="698" spans="1:10" s="87" customFormat="1" x14ac:dyDescent="0.25">
      <c r="A698" s="1079">
        <v>7</v>
      </c>
      <c r="B698" s="1986" t="s">
        <v>1904</v>
      </c>
      <c r="C698" s="2219"/>
      <c r="D698" s="2219"/>
      <c r="E698" s="2219"/>
      <c r="F698" s="2219"/>
      <c r="G698" s="1230" t="s">
        <v>304</v>
      </c>
      <c r="H698" s="1230">
        <v>80</v>
      </c>
      <c r="I698" s="1426">
        <v>30</v>
      </c>
      <c r="J698" s="1426">
        <f t="shared" si="13"/>
        <v>2400</v>
      </c>
    </row>
    <row r="699" spans="1:10" s="87" customFormat="1" x14ac:dyDescent="0.25">
      <c r="A699" s="1079">
        <v>8</v>
      </c>
      <c r="B699" s="1986" t="s">
        <v>1905</v>
      </c>
      <c r="C699" s="2219"/>
      <c r="D699" s="2219"/>
      <c r="E699" s="2219"/>
      <c r="F699" s="2219"/>
      <c r="G699" s="1230" t="s">
        <v>304</v>
      </c>
      <c r="H699" s="1230">
        <v>50</v>
      </c>
      <c r="I699" s="1426">
        <v>273</v>
      </c>
      <c r="J699" s="1426">
        <f t="shared" si="13"/>
        <v>13650</v>
      </c>
    </row>
    <row r="700" spans="1:10" s="87" customFormat="1" x14ac:dyDescent="0.25">
      <c r="A700" s="1079">
        <v>9</v>
      </c>
      <c r="B700" s="1986" t="s">
        <v>1906</v>
      </c>
      <c r="C700" s="2219"/>
      <c r="D700" s="2219"/>
      <c r="E700" s="2219"/>
      <c r="F700" s="2219"/>
      <c r="G700" s="1230" t="s">
        <v>304</v>
      </c>
      <c r="H700" s="1230">
        <v>70</v>
      </c>
      <c r="I700" s="1426">
        <v>40</v>
      </c>
      <c r="J700" s="1426">
        <f t="shared" si="13"/>
        <v>2800</v>
      </c>
    </row>
    <row r="701" spans="1:10" s="87" customFormat="1" x14ac:dyDescent="0.25">
      <c r="A701" s="1079">
        <v>10</v>
      </c>
      <c r="B701" s="1986" t="s">
        <v>1907</v>
      </c>
      <c r="C701" s="2219"/>
      <c r="D701" s="2219"/>
      <c r="E701" s="2219"/>
      <c r="F701" s="2219"/>
      <c r="G701" s="1230" t="s">
        <v>304</v>
      </c>
      <c r="H701" s="1230">
        <v>20</v>
      </c>
      <c r="I701" s="1426">
        <v>155</v>
      </c>
      <c r="J701" s="1426">
        <f t="shared" si="13"/>
        <v>3100</v>
      </c>
    </row>
    <row r="702" spans="1:10" s="87" customFormat="1" x14ac:dyDescent="0.25">
      <c r="A702" s="1079">
        <v>11</v>
      </c>
      <c r="B702" s="1986" t="s">
        <v>1908</v>
      </c>
      <c r="C702" s="2219"/>
      <c r="D702" s="2219"/>
      <c r="E702" s="2219"/>
      <c r="F702" s="2219"/>
      <c r="G702" s="1230" t="s">
        <v>304</v>
      </c>
      <c r="H702" s="1230">
        <v>25</v>
      </c>
      <c r="I702" s="1426">
        <v>45</v>
      </c>
      <c r="J702" s="1426">
        <f t="shared" si="13"/>
        <v>1125</v>
      </c>
    </row>
    <row r="703" spans="1:10" s="87" customFormat="1" x14ac:dyDescent="0.25">
      <c r="A703" s="1079">
        <v>12</v>
      </c>
      <c r="B703" s="1986" t="s">
        <v>1909</v>
      </c>
      <c r="C703" s="2219"/>
      <c r="D703" s="2219"/>
      <c r="E703" s="2219"/>
      <c r="F703" s="2219"/>
      <c r="G703" s="1230" t="s">
        <v>304</v>
      </c>
      <c r="H703" s="1230">
        <v>25</v>
      </c>
      <c r="I703" s="1426">
        <v>135</v>
      </c>
      <c r="J703" s="1426">
        <f t="shared" si="13"/>
        <v>3375</v>
      </c>
    </row>
    <row r="704" spans="1:10" s="87" customFormat="1" x14ac:dyDescent="0.25">
      <c r="A704" s="1079">
        <v>13</v>
      </c>
      <c r="B704" s="1986" t="s">
        <v>1910</v>
      </c>
      <c r="C704" s="2219"/>
      <c r="D704" s="2219"/>
      <c r="E704" s="2219"/>
      <c r="F704" s="2219"/>
      <c r="G704" s="1230" t="s">
        <v>832</v>
      </c>
      <c r="H704" s="1230">
        <v>25</v>
      </c>
      <c r="I704" s="1426">
        <v>225</v>
      </c>
      <c r="J704" s="1426">
        <f t="shared" si="13"/>
        <v>5625</v>
      </c>
    </row>
    <row r="705" spans="1:10" s="87" customFormat="1" x14ac:dyDescent="0.25">
      <c r="A705" s="1079">
        <v>14</v>
      </c>
      <c r="B705" s="1986" t="s">
        <v>1911</v>
      </c>
      <c r="C705" s="2219"/>
      <c r="D705" s="2219"/>
      <c r="E705" s="2219"/>
      <c r="F705" s="2219"/>
      <c r="G705" s="1230" t="s">
        <v>304</v>
      </c>
      <c r="H705" s="1230">
        <v>100</v>
      </c>
      <c r="I705" s="1426">
        <v>190</v>
      </c>
      <c r="J705" s="1426">
        <f t="shared" si="13"/>
        <v>19000</v>
      </c>
    </row>
    <row r="706" spans="1:10" s="87" customFormat="1" x14ac:dyDescent="0.25">
      <c r="A706" s="1079">
        <v>15</v>
      </c>
      <c r="B706" s="1986" t="s">
        <v>1912</v>
      </c>
      <c r="C706" s="2219"/>
      <c r="D706" s="2219"/>
      <c r="E706" s="2219"/>
      <c r="F706" s="2219"/>
      <c r="G706" s="1230" t="s">
        <v>304</v>
      </c>
      <c r="H706" s="1230">
        <v>10</v>
      </c>
      <c r="I706" s="1426">
        <v>1200</v>
      </c>
      <c r="J706" s="1426">
        <f t="shared" si="13"/>
        <v>12000</v>
      </c>
    </row>
    <row r="707" spans="1:10" s="87" customFormat="1" x14ac:dyDescent="0.25">
      <c r="A707" s="1079">
        <v>17</v>
      </c>
      <c r="B707" s="1986" t="s">
        <v>1913</v>
      </c>
      <c r="C707" s="2219"/>
      <c r="D707" s="2219"/>
      <c r="E707" s="2219"/>
      <c r="F707" s="2219"/>
      <c r="G707" s="1230" t="s">
        <v>304</v>
      </c>
      <c r="H707" s="1230">
        <v>100</v>
      </c>
      <c r="I707" s="1426">
        <v>25</v>
      </c>
      <c r="J707" s="1426">
        <f t="shared" si="13"/>
        <v>2500</v>
      </c>
    </row>
    <row r="708" spans="1:10" s="87" customFormat="1" x14ac:dyDescent="0.25">
      <c r="A708" s="1079">
        <v>18</v>
      </c>
      <c r="B708" s="1986" t="s">
        <v>1914</v>
      </c>
      <c r="C708" s="2219"/>
      <c r="D708" s="2219"/>
      <c r="E708" s="2219"/>
      <c r="F708" s="2219"/>
      <c r="G708" s="1230" t="s">
        <v>304</v>
      </c>
      <c r="H708" s="1230">
        <v>100</v>
      </c>
      <c r="I708" s="1426">
        <v>43</v>
      </c>
      <c r="J708" s="1426">
        <f t="shared" si="13"/>
        <v>4300</v>
      </c>
    </row>
    <row r="709" spans="1:10" s="87" customFormat="1" x14ac:dyDescent="0.25">
      <c r="A709" s="1079">
        <v>19</v>
      </c>
      <c r="B709" s="1986" t="s">
        <v>1915</v>
      </c>
      <c r="C709" s="2219"/>
      <c r="D709" s="2219"/>
      <c r="E709" s="2219"/>
      <c r="F709" s="2219"/>
      <c r="G709" s="1230" t="s">
        <v>304</v>
      </c>
      <c r="H709" s="1230">
        <v>10</v>
      </c>
      <c r="I709" s="1426">
        <v>340</v>
      </c>
      <c r="J709" s="1426">
        <f t="shared" si="13"/>
        <v>3400</v>
      </c>
    </row>
    <row r="710" spans="1:10" s="87" customFormat="1" x14ac:dyDescent="0.25">
      <c r="A710" s="1079">
        <v>20</v>
      </c>
      <c r="B710" s="1986" t="s">
        <v>1916</v>
      </c>
      <c r="C710" s="2219"/>
      <c r="D710" s="2219"/>
      <c r="E710" s="2219"/>
      <c r="F710" s="2219"/>
      <c r="G710" s="1230" t="s">
        <v>832</v>
      </c>
      <c r="H710" s="1230">
        <v>15</v>
      </c>
      <c r="I710" s="1426">
        <v>220</v>
      </c>
      <c r="J710" s="1426">
        <f t="shared" si="13"/>
        <v>3300</v>
      </c>
    </row>
    <row r="711" spans="1:10" s="87" customFormat="1" x14ac:dyDescent="0.25">
      <c r="A711" s="1079">
        <v>21</v>
      </c>
      <c r="B711" s="1986" t="s">
        <v>1917</v>
      </c>
      <c r="C711" s="2219"/>
      <c r="D711" s="2219"/>
      <c r="E711" s="2219"/>
      <c r="F711" s="2219"/>
      <c r="G711" s="1230" t="s">
        <v>832</v>
      </c>
      <c r="H711" s="1230">
        <v>10</v>
      </c>
      <c r="I711" s="1426">
        <v>720</v>
      </c>
      <c r="J711" s="1426">
        <f t="shared" si="13"/>
        <v>7200</v>
      </c>
    </row>
    <row r="712" spans="1:10" s="87" customFormat="1" x14ac:dyDescent="0.25">
      <c r="A712" s="1079">
        <v>22</v>
      </c>
      <c r="B712" s="1986" t="s">
        <v>1918</v>
      </c>
      <c r="C712" s="2219"/>
      <c r="D712" s="2219"/>
      <c r="E712" s="2219"/>
      <c r="F712" s="2219"/>
      <c r="G712" s="1230" t="s">
        <v>304</v>
      </c>
      <c r="H712" s="1230">
        <v>30</v>
      </c>
      <c r="I712" s="1426">
        <v>60</v>
      </c>
      <c r="J712" s="1426">
        <f t="shared" si="13"/>
        <v>1800</v>
      </c>
    </row>
    <row r="713" spans="1:10" s="87" customFormat="1" x14ac:dyDescent="0.25">
      <c r="A713" s="1079">
        <v>23</v>
      </c>
      <c r="B713" s="1986" t="s">
        <v>1919</v>
      </c>
      <c r="C713" s="2219"/>
      <c r="D713" s="2219"/>
      <c r="E713" s="2219"/>
      <c r="F713" s="2219"/>
      <c r="G713" s="1230" t="s">
        <v>304</v>
      </c>
      <c r="H713" s="1230">
        <v>120</v>
      </c>
      <c r="I713" s="1426">
        <v>25</v>
      </c>
      <c r="J713" s="1426">
        <f t="shared" si="13"/>
        <v>3000</v>
      </c>
    </row>
    <row r="714" spans="1:10" s="87" customFormat="1" x14ac:dyDescent="0.25">
      <c r="A714" s="1079">
        <v>24</v>
      </c>
      <c r="B714" s="1986" t="s">
        <v>722</v>
      </c>
      <c r="C714" s="2219"/>
      <c r="D714" s="2219"/>
      <c r="E714" s="2219"/>
      <c r="F714" s="2219"/>
      <c r="G714" s="1230" t="s">
        <v>304</v>
      </c>
      <c r="H714" s="1230">
        <v>100</v>
      </c>
      <c r="I714" s="1426">
        <v>84</v>
      </c>
      <c r="J714" s="1426">
        <f t="shared" si="13"/>
        <v>8400</v>
      </c>
    </row>
    <row r="715" spans="1:10" s="87" customFormat="1" x14ac:dyDescent="0.25">
      <c r="A715" s="1079">
        <v>25</v>
      </c>
      <c r="B715" s="1986" t="s">
        <v>1920</v>
      </c>
      <c r="C715" s="2219"/>
      <c r="D715" s="2219"/>
      <c r="E715" s="2219"/>
      <c r="F715" s="2219"/>
      <c r="G715" s="1230" t="s">
        <v>304</v>
      </c>
      <c r="H715" s="1230">
        <v>50</v>
      </c>
      <c r="I715" s="1426">
        <v>145</v>
      </c>
      <c r="J715" s="1426">
        <f t="shared" si="13"/>
        <v>7250</v>
      </c>
    </row>
    <row r="716" spans="1:10" s="87" customFormat="1" x14ac:dyDescent="0.25">
      <c r="A716" s="1079">
        <v>26</v>
      </c>
      <c r="B716" s="1986" t="s">
        <v>1921</v>
      </c>
      <c r="C716" s="2219"/>
      <c r="D716" s="2219"/>
      <c r="E716" s="2219"/>
      <c r="F716" s="2219"/>
      <c r="G716" s="1230" t="s">
        <v>304</v>
      </c>
      <c r="H716" s="1230">
        <v>10</v>
      </c>
      <c r="I716" s="1426">
        <v>155</v>
      </c>
      <c r="J716" s="1426">
        <f t="shared" si="13"/>
        <v>1550</v>
      </c>
    </row>
    <row r="717" spans="1:10" s="87" customFormat="1" x14ac:dyDescent="0.25">
      <c r="A717" s="1079">
        <v>27</v>
      </c>
      <c r="B717" s="1986" t="s">
        <v>722</v>
      </c>
      <c r="C717" s="2219"/>
      <c r="D717" s="2219"/>
      <c r="E717" s="2219"/>
      <c r="F717" s="2219"/>
      <c r="G717" s="1230" t="s">
        <v>750</v>
      </c>
      <c r="H717" s="1230">
        <v>5</v>
      </c>
      <c r="I717" s="1426">
        <f>84-0.96</f>
        <v>83.04</v>
      </c>
      <c r="J717" s="1426">
        <f t="shared" si="13"/>
        <v>415.2</v>
      </c>
    </row>
    <row r="718" spans="1:10" s="87" customFormat="1" x14ac:dyDescent="0.25">
      <c r="A718" s="2036" t="s">
        <v>39</v>
      </c>
      <c r="B718" s="2037"/>
      <c r="C718" s="2037"/>
      <c r="D718" s="2037"/>
      <c r="E718" s="2037"/>
      <c r="F718" s="2037"/>
      <c r="G718" s="2037"/>
      <c r="H718" s="2168"/>
      <c r="I718" s="2169"/>
      <c r="J718" s="1192">
        <f>SUM(J693:J717)</f>
        <v>133004.20000000001</v>
      </c>
    </row>
    <row r="719" spans="1:10" s="87" customFormat="1" ht="14.25" x14ac:dyDescent="0.25">
      <c r="A719" s="1303"/>
      <c r="B719" s="1303"/>
      <c r="C719" s="1303"/>
      <c r="D719" s="1303"/>
      <c r="E719" s="1303"/>
      <c r="F719" s="1303"/>
      <c r="G719" s="1303"/>
      <c r="H719" s="1303"/>
      <c r="I719" s="1303"/>
      <c r="J719" s="64"/>
    </row>
    <row r="720" spans="1:10" s="87" customFormat="1" x14ac:dyDescent="0.25">
      <c r="A720" s="2038" t="s">
        <v>1922</v>
      </c>
      <c r="B720" s="2038"/>
      <c r="C720" s="2038"/>
      <c r="D720" s="2038"/>
      <c r="E720" s="2038"/>
      <c r="F720" s="2038"/>
      <c r="G720" s="2038"/>
      <c r="H720" s="2038"/>
      <c r="I720" s="2038"/>
      <c r="J720" s="2038"/>
    </row>
    <row r="721" spans="1:28" s="87" customFormat="1" x14ac:dyDescent="0.25">
      <c r="A721" s="1926" t="s">
        <v>8</v>
      </c>
      <c r="B721" s="1956" t="s">
        <v>35</v>
      </c>
      <c r="C721" s="1916"/>
      <c r="D721" s="1916"/>
      <c r="E721" s="1916"/>
      <c r="F721" s="1957"/>
      <c r="G721" s="1926" t="s">
        <v>2046</v>
      </c>
      <c r="H721" s="2173"/>
      <c r="I721" s="2173"/>
      <c r="J721" s="2173"/>
    </row>
    <row r="722" spans="1:28" s="87" customFormat="1" ht="30" x14ac:dyDescent="0.25">
      <c r="A722" s="1926"/>
      <c r="B722" s="2159"/>
      <c r="C722" s="2160"/>
      <c r="D722" s="2160"/>
      <c r="E722" s="2160"/>
      <c r="F722" s="2161"/>
      <c r="G722" s="1425" t="s">
        <v>61</v>
      </c>
      <c r="H722" s="1418" t="s">
        <v>248</v>
      </c>
      <c r="I722" s="1426" t="s">
        <v>264</v>
      </c>
      <c r="J722" s="1141" t="s">
        <v>256</v>
      </c>
    </row>
    <row r="723" spans="1:28" s="87" customFormat="1" x14ac:dyDescent="0.25">
      <c r="A723" s="1079">
        <v>1</v>
      </c>
      <c r="B723" s="1986" t="s">
        <v>1923</v>
      </c>
      <c r="C723" s="2219"/>
      <c r="D723" s="2219"/>
      <c r="E723" s="2219"/>
      <c r="F723" s="2219"/>
      <c r="G723" s="1230" t="s">
        <v>304</v>
      </c>
      <c r="H723" s="1230" t="s">
        <v>1665</v>
      </c>
      <c r="I723" s="1426">
        <v>380.02</v>
      </c>
      <c r="J723" s="1426">
        <f>H723*I723</f>
        <v>11400.6</v>
      </c>
    </row>
    <row r="724" spans="1:28" s="87" customFormat="1" x14ac:dyDescent="0.25">
      <c r="A724" s="1079">
        <v>2</v>
      </c>
      <c r="B724" s="1986" t="s">
        <v>1924</v>
      </c>
      <c r="C724" s="2219"/>
      <c r="D724" s="2219"/>
      <c r="E724" s="2219"/>
      <c r="F724" s="2219"/>
      <c r="G724" s="1230" t="s">
        <v>1925</v>
      </c>
      <c r="H724" s="1230">
        <v>20</v>
      </c>
      <c r="I724" s="1426">
        <v>3600</v>
      </c>
      <c r="J724" s="1426">
        <f t="shared" ref="J724:J730" si="14">H724*I724</f>
        <v>72000</v>
      </c>
    </row>
    <row r="725" spans="1:28" s="87" customFormat="1" x14ac:dyDescent="0.25">
      <c r="A725" s="1079">
        <v>3</v>
      </c>
      <c r="B725" s="1986" t="s">
        <v>1926</v>
      </c>
      <c r="C725" s="2219"/>
      <c r="D725" s="2219"/>
      <c r="E725" s="2219"/>
      <c r="F725" s="2219"/>
      <c r="G725" s="1230" t="s">
        <v>304</v>
      </c>
      <c r="H725" s="1230">
        <v>140</v>
      </c>
      <c r="I725" s="1426">
        <v>60</v>
      </c>
      <c r="J725" s="1426">
        <f t="shared" si="14"/>
        <v>8400</v>
      </c>
    </row>
    <row r="726" spans="1:28" s="87" customFormat="1" x14ac:dyDescent="0.25">
      <c r="A726" s="1079">
        <v>4</v>
      </c>
      <c r="B726" s="1986" t="s">
        <v>1927</v>
      </c>
      <c r="C726" s="2219"/>
      <c r="D726" s="2219"/>
      <c r="E726" s="2219"/>
      <c r="F726" s="2219"/>
      <c r="G726" s="1230" t="s">
        <v>304</v>
      </c>
      <c r="H726" s="1230" t="s">
        <v>598</v>
      </c>
      <c r="I726" s="1426">
        <v>330</v>
      </c>
      <c r="J726" s="1426">
        <f t="shared" si="14"/>
        <v>33000</v>
      </c>
    </row>
    <row r="727" spans="1:28" s="87" customFormat="1" x14ac:dyDescent="0.25">
      <c r="A727" s="1079">
        <v>5</v>
      </c>
      <c r="B727" s="1986" t="s">
        <v>1928</v>
      </c>
      <c r="C727" s="2219"/>
      <c r="D727" s="2219"/>
      <c r="E727" s="2219"/>
      <c r="F727" s="2219"/>
      <c r="G727" s="1230" t="s">
        <v>304</v>
      </c>
      <c r="H727" s="1230" t="s">
        <v>1010</v>
      </c>
      <c r="I727" s="1426">
        <v>149</v>
      </c>
      <c r="J727" s="1426">
        <f t="shared" si="14"/>
        <v>59600</v>
      </c>
    </row>
    <row r="728" spans="1:28" s="87" customFormat="1" x14ac:dyDescent="0.25">
      <c r="A728" s="1079">
        <v>6</v>
      </c>
      <c r="B728" s="1986" t="s">
        <v>1929</v>
      </c>
      <c r="C728" s="2219"/>
      <c r="D728" s="2219"/>
      <c r="E728" s="2219"/>
      <c r="F728" s="2219"/>
      <c r="G728" s="1230" t="s">
        <v>304</v>
      </c>
      <c r="H728" s="1230" t="s">
        <v>542</v>
      </c>
      <c r="I728" s="1426">
        <v>615</v>
      </c>
      <c r="J728" s="1426">
        <f t="shared" si="14"/>
        <v>92250</v>
      </c>
    </row>
    <row r="729" spans="1:28" s="87" customFormat="1" x14ac:dyDescent="0.25">
      <c r="A729" s="1079">
        <v>10</v>
      </c>
      <c r="B729" s="1986" t="s">
        <v>1930</v>
      </c>
      <c r="C729" s="2219"/>
      <c r="D729" s="2219"/>
      <c r="E729" s="2219"/>
      <c r="F729" s="2219"/>
      <c r="G729" s="1230" t="s">
        <v>1931</v>
      </c>
      <c r="H729" s="1230">
        <v>100</v>
      </c>
      <c r="I729" s="1426">
        <v>60</v>
      </c>
      <c r="J729" s="1426">
        <f t="shared" si="14"/>
        <v>6000</v>
      </c>
    </row>
    <row r="730" spans="1:28" s="87" customFormat="1" x14ac:dyDescent="0.25">
      <c r="A730" s="1079">
        <v>13</v>
      </c>
      <c r="B730" s="1986" t="s">
        <v>1932</v>
      </c>
      <c r="C730" s="2219"/>
      <c r="D730" s="2219"/>
      <c r="E730" s="2219"/>
      <c r="F730" s="2219"/>
      <c r="G730" s="1230" t="s">
        <v>304</v>
      </c>
      <c r="H730" s="1230">
        <v>20</v>
      </c>
      <c r="I730" s="1426">
        <v>1200</v>
      </c>
      <c r="J730" s="1426">
        <f t="shared" si="14"/>
        <v>24000</v>
      </c>
    </row>
    <row r="731" spans="1:28" s="87" customFormat="1" x14ac:dyDescent="0.25">
      <c r="A731" s="2036" t="s">
        <v>39</v>
      </c>
      <c r="B731" s="2037"/>
      <c r="C731" s="2037"/>
      <c r="D731" s="2037"/>
      <c r="E731" s="2037"/>
      <c r="F731" s="2037"/>
      <c r="G731" s="2037"/>
      <c r="H731" s="2168"/>
      <c r="I731" s="2169"/>
      <c r="J731" s="1192">
        <f>SUM(J723:J730)</f>
        <v>306650.59999999998</v>
      </c>
    </row>
    <row r="732" spans="1:28" s="87" customFormat="1" ht="14.25" x14ac:dyDescent="0.25">
      <c r="A732" s="1303"/>
      <c r="B732" s="1303"/>
      <c r="C732" s="1303"/>
      <c r="D732" s="1303"/>
      <c r="E732" s="1303"/>
      <c r="F732" s="1303"/>
      <c r="G732" s="1303"/>
      <c r="H732" s="1303"/>
      <c r="I732" s="1303"/>
      <c r="J732" s="64"/>
    </row>
    <row r="733" spans="1:28" x14ac:dyDescent="0.25">
      <c r="A733" s="994" t="s">
        <v>27</v>
      </c>
      <c r="B733" s="796"/>
      <c r="C733" s="796"/>
      <c r="D733" s="1000"/>
      <c r="E733" s="795" t="s">
        <v>1896</v>
      </c>
      <c r="F733" s="995"/>
      <c r="G733" s="995"/>
      <c r="H733" s="996"/>
      <c r="I733" s="997"/>
      <c r="J733" s="998">
        <f>J748</f>
        <v>40000</v>
      </c>
      <c r="K733" s="551"/>
      <c r="L733" s="551"/>
      <c r="M733" s="551"/>
      <c r="N733" s="551"/>
      <c r="O733" s="551"/>
      <c r="P733" s="551"/>
      <c r="Q733" s="551"/>
      <c r="R733" s="551"/>
      <c r="S733" s="551"/>
      <c r="T733" s="551"/>
      <c r="U733" s="551"/>
      <c r="V733" s="551"/>
      <c r="W733" s="551"/>
      <c r="X733" s="551"/>
      <c r="Y733" s="551"/>
      <c r="Z733" s="551"/>
      <c r="AA733" s="551"/>
      <c r="AB733" s="551"/>
    </row>
    <row r="734" spans="1:28" x14ac:dyDescent="0.25">
      <c r="A734" s="1449" t="s">
        <v>328</v>
      </c>
      <c r="K734" s="551"/>
      <c r="L734" s="551"/>
      <c r="M734" s="551"/>
      <c r="N734" s="551"/>
      <c r="O734" s="551"/>
      <c r="P734" s="551"/>
      <c r="Q734" s="551"/>
      <c r="R734" s="551"/>
      <c r="S734" s="551"/>
      <c r="T734" s="551"/>
      <c r="U734" s="551"/>
      <c r="V734" s="551"/>
      <c r="W734" s="551"/>
      <c r="X734" s="551"/>
      <c r="Y734" s="551"/>
      <c r="Z734" s="551"/>
      <c r="AA734" s="551"/>
      <c r="AB734" s="551"/>
    </row>
    <row r="735" spans="1:28" ht="15" customHeight="1" x14ac:dyDescent="0.25">
      <c r="A735" s="2315" t="s">
        <v>8</v>
      </c>
      <c r="B735" s="2192" t="s">
        <v>35</v>
      </c>
      <c r="C735" s="2202"/>
      <c r="D735" s="2202"/>
      <c r="E735" s="2202"/>
      <c r="F735" s="2220"/>
      <c r="G735" s="2315" t="s">
        <v>61</v>
      </c>
      <c r="H735" s="2193" t="s">
        <v>2046</v>
      </c>
      <c r="I735" s="2240"/>
      <c r="J735" s="2179"/>
      <c r="K735" s="551"/>
      <c r="L735" s="551"/>
      <c r="M735" s="551"/>
      <c r="N735" s="551"/>
      <c r="O735" s="551"/>
      <c r="P735" s="551"/>
      <c r="Q735" s="551"/>
      <c r="R735" s="551"/>
      <c r="S735" s="551"/>
      <c r="T735" s="551"/>
      <c r="U735" s="551"/>
      <c r="V735" s="551"/>
      <c r="W735" s="551"/>
      <c r="X735" s="551"/>
      <c r="Y735" s="551"/>
      <c r="Z735" s="551"/>
      <c r="AA735" s="551"/>
      <c r="AB735" s="551"/>
    </row>
    <row r="736" spans="1:28" ht="30" x14ac:dyDescent="0.25">
      <c r="A736" s="2200"/>
      <c r="B736" s="2206"/>
      <c r="C736" s="2207"/>
      <c r="D736" s="2207"/>
      <c r="E736" s="2207"/>
      <c r="F736" s="2221"/>
      <c r="G736" s="2200"/>
      <c r="H736" s="1408" t="s">
        <v>248</v>
      </c>
      <c r="I736" s="1434" t="s">
        <v>264</v>
      </c>
      <c r="J736" s="1434" t="s">
        <v>256</v>
      </c>
      <c r="K736" s="551"/>
      <c r="L736" s="551"/>
      <c r="M736" s="551"/>
      <c r="N736" s="551"/>
      <c r="O736" s="551"/>
      <c r="P736" s="551"/>
      <c r="Q736" s="551"/>
      <c r="R736" s="551"/>
      <c r="S736" s="551"/>
      <c r="T736" s="551"/>
      <c r="U736" s="551"/>
      <c r="V736" s="551"/>
      <c r="W736" s="551"/>
      <c r="X736" s="551"/>
      <c r="Y736" s="551"/>
      <c r="Z736" s="551"/>
      <c r="AA736" s="551"/>
      <c r="AB736" s="551"/>
    </row>
    <row r="737" spans="1:28" ht="15" customHeight="1" x14ac:dyDescent="0.25">
      <c r="A737" s="2140" t="s">
        <v>1492</v>
      </c>
      <c r="B737" s="2141"/>
      <c r="C737" s="2141"/>
      <c r="D737" s="2141"/>
      <c r="E737" s="2141"/>
      <c r="F737" s="2141"/>
      <c r="G737" s="2141"/>
      <c r="H737" s="2141"/>
      <c r="I737" s="2141"/>
      <c r="J737" s="2142"/>
      <c r="K737" s="551"/>
      <c r="L737" s="551"/>
      <c r="M737" s="551"/>
      <c r="N737" s="551"/>
      <c r="O737" s="551"/>
      <c r="P737" s="551"/>
      <c r="Q737" s="551"/>
      <c r="R737" s="551"/>
      <c r="S737" s="551"/>
      <c r="T737" s="551"/>
      <c r="U737" s="551"/>
      <c r="V737" s="551"/>
      <c r="W737" s="551"/>
      <c r="X737" s="551"/>
      <c r="Y737" s="551"/>
      <c r="Z737" s="551"/>
      <c r="AA737" s="551"/>
      <c r="AB737" s="551"/>
    </row>
    <row r="738" spans="1:28" ht="15" customHeight="1" x14ac:dyDescent="0.25">
      <c r="A738" s="1454">
        <v>1</v>
      </c>
      <c r="B738" s="1451" t="s">
        <v>722</v>
      </c>
      <c r="C738" s="1105"/>
      <c r="D738" s="1105"/>
      <c r="E738" s="1105"/>
      <c r="F738" s="1105"/>
      <c r="G738" s="1128" t="s">
        <v>304</v>
      </c>
      <c r="H738" s="59">
        <v>20</v>
      </c>
      <c r="I738" s="1404">
        <v>69</v>
      </c>
      <c r="J738" s="1404">
        <f t="shared" ref="J738:J747" si="15">H738*I738</f>
        <v>1380</v>
      </c>
      <c r="K738" s="551"/>
      <c r="L738" s="551"/>
      <c r="M738" s="551"/>
      <c r="N738" s="551"/>
      <c r="O738" s="551"/>
      <c r="P738" s="551"/>
      <c r="Q738" s="551"/>
      <c r="R738" s="551"/>
      <c r="S738" s="551"/>
      <c r="T738" s="551"/>
      <c r="U738" s="551"/>
      <c r="V738" s="551"/>
      <c r="W738" s="551"/>
      <c r="X738" s="551"/>
      <c r="Y738" s="551"/>
      <c r="Z738" s="551"/>
      <c r="AA738" s="551"/>
      <c r="AB738" s="551"/>
    </row>
    <row r="739" spans="1:28" ht="15" customHeight="1" x14ac:dyDescent="0.25">
      <c r="A739" s="1454">
        <v>2</v>
      </c>
      <c r="B739" s="1451" t="s">
        <v>1615</v>
      </c>
      <c r="C739" s="1105"/>
      <c r="D739" s="1105"/>
      <c r="E739" s="1105"/>
      <c r="F739" s="1105"/>
      <c r="G739" s="1128" t="s">
        <v>1567</v>
      </c>
      <c r="H739" s="59">
        <v>10</v>
      </c>
      <c r="I739" s="1404">
        <v>265</v>
      </c>
      <c r="J739" s="1404">
        <f t="shared" si="15"/>
        <v>2650</v>
      </c>
      <c r="K739" s="551"/>
      <c r="L739" s="551"/>
      <c r="M739" s="551"/>
      <c r="N739" s="551"/>
      <c r="O739" s="551"/>
      <c r="P739" s="551"/>
      <c r="Q739" s="551"/>
      <c r="R739" s="551"/>
      <c r="S739" s="551"/>
      <c r="T739" s="551"/>
      <c r="U739" s="551"/>
      <c r="V739" s="551"/>
      <c r="W739" s="551"/>
      <c r="X739" s="551"/>
      <c r="Y739" s="551"/>
      <c r="Z739" s="551"/>
      <c r="AA739" s="551"/>
      <c r="AB739" s="551"/>
    </row>
    <row r="740" spans="1:28" ht="15" customHeight="1" x14ac:dyDescent="0.25">
      <c r="A740" s="1454">
        <v>3</v>
      </c>
      <c r="B740" s="1451" t="s">
        <v>1616</v>
      </c>
      <c r="C740" s="1105"/>
      <c r="D740" s="1105"/>
      <c r="E740" s="1105"/>
      <c r="F740" s="1105"/>
      <c r="G740" s="1128" t="s">
        <v>716</v>
      </c>
      <c r="H740" s="59">
        <v>30</v>
      </c>
      <c r="I740" s="1404">
        <v>59</v>
      </c>
      <c r="J740" s="1404">
        <f t="shared" si="15"/>
        <v>1770</v>
      </c>
      <c r="K740" s="551"/>
      <c r="L740" s="551"/>
      <c r="M740" s="551"/>
      <c r="N740" s="551"/>
      <c r="O740" s="551"/>
      <c r="P740" s="551"/>
      <c r="Q740" s="551"/>
      <c r="R740" s="551"/>
      <c r="S740" s="551"/>
      <c r="T740" s="551"/>
      <c r="U740" s="551"/>
      <c r="V740" s="551"/>
      <c r="W740" s="551"/>
      <c r="X740" s="551"/>
      <c r="Y740" s="551"/>
      <c r="Z740" s="551"/>
      <c r="AA740" s="551"/>
      <c r="AB740" s="551"/>
    </row>
    <row r="741" spans="1:28" ht="15" customHeight="1" x14ac:dyDescent="0.25">
      <c r="A741" s="1454">
        <v>4</v>
      </c>
      <c r="B741" s="1451" t="s">
        <v>1617</v>
      </c>
      <c r="C741" s="1105"/>
      <c r="D741" s="1105"/>
      <c r="E741" s="1105"/>
      <c r="F741" s="1105"/>
      <c r="G741" s="1128" t="s">
        <v>716</v>
      </c>
      <c r="H741" s="59">
        <v>20</v>
      </c>
      <c r="I741" s="1404">
        <v>52</v>
      </c>
      <c r="J741" s="1404">
        <f t="shared" si="15"/>
        <v>1040</v>
      </c>
      <c r="K741" s="551"/>
      <c r="L741" s="551"/>
      <c r="M741" s="551"/>
      <c r="N741" s="551"/>
      <c r="O741" s="551"/>
      <c r="P741" s="551"/>
      <c r="Q741" s="551"/>
      <c r="R741" s="551"/>
      <c r="S741" s="551"/>
      <c r="T741" s="551"/>
      <c r="U741" s="551"/>
      <c r="V741" s="551"/>
      <c r="W741" s="551"/>
      <c r="X741" s="551"/>
      <c r="Y741" s="551"/>
      <c r="Z741" s="551"/>
      <c r="AA741" s="551"/>
      <c r="AB741" s="551"/>
    </row>
    <row r="742" spans="1:28" ht="15" customHeight="1" x14ac:dyDescent="0.25">
      <c r="A742" s="1454">
        <v>5</v>
      </c>
      <c r="B742" s="1451" t="s">
        <v>720</v>
      </c>
      <c r="C742" s="1105"/>
      <c r="D742" s="1105"/>
      <c r="E742" s="1105"/>
      <c r="F742" s="1105"/>
      <c r="G742" s="1128" t="s">
        <v>304</v>
      </c>
      <c r="H742" s="59">
        <v>30</v>
      </c>
      <c r="I742" s="1404">
        <v>110</v>
      </c>
      <c r="J742" s="1404">
        <f t="shared" si="15"/>
        <v>3300</v>
      </c>
      <c r="K742" s="551"/>
      <c r="L742" s="551"/>
      <c r="M742" s="551"/>
      <c r="N742" s="551"/>
      <c r="O742" s="551"/>
      <c r="P742" s="551"/>
      <c r="Q742" s="551"/>
      <c r="R742" s="551"/>
      <c r="S742" s="551"/>
      <c r="T742" s="551"/>
      <c r="U742" s="551"/>
      <c r="V742" s="551"/>
      <c r="W742" s="551"/>
      <c r="X742" s="551"/>
      <c r="Y742" s="551"/>
      <c r="Z742" s="551"/>
      <c r="AA742" s="551"/>
      <c r="AB742" s="551"/>
    </row>
    <row r="743" spans="1:28" ht="15" customHeight="1" x14ac:dyDescent="0.25">
      <c r="A743" s="1454">
        <v>6</v>
      </c>
      <c r="B743" s="1451" t="s">
        <v>721</v>
      </c>
      <c r="C743" s="1105"/>
      <c r="D743" s="1105"/>
      <c r="E743" s="1105"/>
      <c r="F743" s="1105"/>
      <c r="G743" s="1128" t="s">
        <v>1567</v>
      </c>
      <c r="H743" s="59">
        <v>30</v>
      </c>
      <c r="I743" s="1404">
        <v>265</v>
      </c>
      <c r="J743" s="1404">
        <f t="shared" si="15"/>
        <v>7950</v>
      </c>
      <c r="K743" s="551"/>
      <c r="L743" s="551"/>
      <c r="M743" s="551"/>
      <c r="N743" s="551"/>
      <c r="O743" s="551"/>
      <c r="P743" s="551"/>
      <c r="Q743" s="551"/>
      <c r="R743" s="551"/>
      <c r="S743" s="551"/>
      <c r="T743" s="551"/>
      <c r="U743" s="551"/>
      <c r="V743" s="551"/>
      <c r="W743" s="551"/>
      <c r="X743" s="551"/>
      <c r="Y743" s="551"/>
      <c r="Z743" s="551"/>
      <c r="AA743" s="551"/>
      <c r="AB743" s="551"/>
    </row>
    <row r="744" spans="1:28" ht="15" customHeight="1" x14ac:dyDescent="0.25">
      <c r="A744" s="1454">
        <v>7</v>
      </c>
      <c r="B744" s="1451" t="s">
        <v>1573</v>
      </c>
      <c r="C744" s="1105"/>
      <c r="D744" s="1105"/>
      <c r="E744" s="1105"/>
      <c r="F744" s="1105"/>
      <c r="G744" s="1128" t="s">
        <v>304</v>
      </c>
      <c r="H744" s="59">
        <v>20</v>
      </c>
      <c r="I744" s="1404">
        <v>42</v>
      </c>
      <c r="J744" s="1404">
        <f t="shared" si="15"/>
        <v>840</v>
      </c>
      <c r="K744" s="551"/>
      <c r="L744" s="551"/>
      <c r="M744" s="551"/>
      <c r="N744" s="551"/>
      <c r="O744" s="551"/>
      <c r="P744" s="551"/>
      <c r="Q744" s="551"/>
      <c r="R744" s="551"/>
      <c r="S744" s="551"/>
      <c r="T744" s="551"/>
      <c r="U744" s="551"/>
      <c r="V744" s="551"/>
      <c r="W744" s="551"/>
      <c r="X744" s="551"/>
      <c r="Y744" s="551"/>
      <c r="Z744" s="551"/>
      <c r="AA744" s="551"/>
      <c r="AB744" s="551"/>
    </row>
    <row r="745" spans="1:28" ht="15" customHeight="1" x14ac:dyDescent="0.25">
      <c r="A745" s="1454">
        <v>8</v>
      </c>
      <c r="B745" s="1451" t="s">
        <v>719</v>
      </c>
      <c r="C745" s="1105"/>
      <c r="D745" s="1105"/>
      <c r="E745" s="1105"/>
      <c r="F745" s="1105"/>
      <c r="G745" s="1128" t="s">
        <v>1567</v>
      </c>
      <c r="H745" s="59">
        <v>1</v>
      </c>
      <c r="I745" s="1404">
        <v>2970</v>
      </c>
      <c r="J745" s="1404">
        <f t="shared" si="15"/>
        <v>2970</v>
      </c>
      <c r="K745" s="551"/>
      <c r="L745" s="551"/>
      <c r="M745" s="551"/>
      <c r="N745" s="551"/>
      <c r="O745" s="551"/>
      <c r="P745" s="551"/>
      <c r="Q745" s="551"/>
      <c r="R745" s="551"/>
      <c r="S745" s="551"/>
      <c r="T745" s="551"/>
      <c r="U745" s="551"/>
      <c r="V745" s="551"/>
      <c r="W745" s="551"/>
      <c r="X745" s="551"/>
      <c r="Y745" s="551"/>
      <c r="Z745" s="551"/>
      <c r="AA745" s="551"/>
      <c r="AB745" s="551"/>
    </row>
    <row r="746" spans="1:28" ht="15" customHeight="1" x14ac:dyDescent="0.25">
      <c r="A746" s="1454">
        <v>9</v>
      </c>
      <c r="B746" s="1451" t="s">
        <v>1618</v>
      </c>
      <c r="C746" s="1105"/>
      <c r="D746" s="1105"/>
      <c r="E746" s="1105"/>
      <c r="F746" s="1105"/>
      <c r="G746" s="1128" t="s">
        <v>1567</v>
      </c>
      <c r="H746" s="59">
        <v>100</v>
      </c>
      <c r="I746" s="1404">
        <v>150</v>
      </c>
      <c r="J746" s="1404">
        <f t="shared" si="15"/>
        <v>15000</v>
      </c>
      <c r="K746" s="551"/>
      <c r="L746" s="551"/>
      <c r="M746" s="551"/>
      <c r="N746" s="551"/>
      <c r="O746" s="551"/>
      <c r="P746" s="551"/>
      <c r="Q746" s="551"/>
      <c r="R746" s="551"/>
      <c r="S746" s="551"/>
      <c r="T746" s="551"/>
      <c r="U746" s="551"/>
      <c r="V746" s="551"/>
      <c r="W746" s="551"/>
      <c r="X746" s="551"/>
      <c r="Y746" s="551"/>
      <c r="Z746" s="551"/>
      <c r="AA746" s="551"/>
      <c r="AB746" s="551"/>
    </row>
    <row r="747" spans="1:28" ht="15" customHeight="1" x14ac:dyDescent="0.25">
      <c r="A747" s="1454">
        <v>10</v>
      </c>
      <c r="B747" s="1451" t="s">
        <v>1619</v>
      </c>
      <c r="C747" s="1105"/>
      <c r="D747" s="1105"/>
      <c r="E747" s="1105"/>
      <c r="F747" s="1105"/>
      <c r="G747" s="1128" t="s">
        <v>304</v>
      </c>
      <c r="H747" s="59">
        <v>10</v>
      </c>
      <c r="I747" s="1404">
        <v>310</v>
      </c>
      <c r="J747" s="1404">
        <f t="shared" si="15"/>
        <v>3100</v>
      </c>
      <c r="K747" s="551"/>
      <c r="L747" s="551"/>
      <c r="M747" s="551"/>
      <c r="N747" s="551"/>
      <c r="O747" s="551"/>
      <c r="P747" s="551"/>
      <c r="Q747" s="551"/>
      <c r="R747" s="551"/>
      <c r="S747" s="551"/>
      <c r="T747" s="551"/>
      <c r="U747" s="551"/>
      <c r="V747" s="551"/>
      <c r="W747" s="551"/>
      <c r="X747" s="551"/>
      <c r="Y747" s="551"/>
      <c r="Z747" s="551"/>
      <c r="AA747" s="551"/>
      <c r="AB747" s="551"/>
    </row>
    <row r="748" spans="1:28" x14ac:dyDescent="0.25">
      <c r="A748" s="1895" t="s">
        <v>39</v>
      </c>
      <c r="B748" s="1895"/>
      <c r="C748" s="1895"/>
      <c r="D748" s="1895"/>
      <c r="E748" s="1895"/>
      <c r="F748" s="1895"/>
      <c r="G748" s="1895"/>
      <c r="H748" s="1406" t="s">
        <v>5</v>
      </c>
      <c r="I748" s="1406" t="s">
        <v>5</v>
      </c>
      <c r="J748" s="1406">
        <f>SUM(J738:J747)</f>
        <v>40000</v>
      </c>
      <c r="K748" s="550"/>
      <c r="L748" s="551"/>
      <c r="M748" s="551"/>
      <c r="N748" s="551"/>
      <c r="O748" s="551"/>
      <c r="P748" s="551"/>
      <c r="Q748" s="551"/>
      <c r="R748" s="551"/>
      <c r="S748" s="551"/>
      <c r="T748" s="551"/>
      <c r="U748" s="551"/>
      <c r="V748" s="551"/>
      <c r="W748" s="551"/>
      <c r="X748" s="551"/>
      <c r="Y748" s="551"/>
      <c r="Z748" s="551"/>
      <c r="AA748" s="551"/>
      <c r="AB748" s="551"/>
    </row>
    <row r="749" spans="1:28" hidden="1" x14ac:dyDescent="0.25">
      <c r="A749" s="2347" t="s">
        <v>153</v>
      </c>
      <c r="B749" s="2348"/>
      <c r="C749" s="2348"/>
      <c r="D749" s="2348"/>
      <c r="E749" s="2348"/>
      <c r="F749" s="2348"/>
      <c r="G749" s="2348"/>
      <c r="H749" s="2348"/>
      <c r="I749" s="2349"/>
      <c r="J749" s="1070">
        <v>40000</v>
      </c>
      <c r="K749" s="550"/>
      <c r="L749" s="551"/>
      <c r="M749" s="551"/>
      <c r="N749" s="551"/>
      <c r="O749" s="551"/>
      <c r="P749" s="551"/>
      <c r="Q749" s="551"/>
      <c r="R749" s="551"/>
      <c r="S749" s="551"/>
      <c r="T749" s="551"/>
      <c r="U749" s="551"/>
      <c r="V749" s="551"/>
      <c r="W749" s="551"/>
      <c r="X749" s="551"/>
      <c r="Y749" s="551"/>
      <c r="Z749" s="551"/>
      <c r="AA749" s="551"/>
      <c r="AB749" s="551"/>
    </row>
    <row r="750" spans="1:28" hidden="1" x14ac:dyDescent="0.25">
      <c r="A750" s="2347" t="s">
        <v>619</v>
      </c>
      <c r="B750" s="2348"/>
      <c r="C750" s="2348"/>
      <c r="D750" s="2348"/>
      <c r="E750" s="2348"/>
      <c r="F750" s="2348"/>
      <c r="G750" s="2348"/>
      <c r="H750" s="2348"/>
      <c r="I750" s="2349"/>
      <c r="J750" s="711">
        <f>J748-J749</f>
        <v>0</v>
      </c>
      <c r="K750" s="550"/>
      <c r="L750" s="551"/>
      <c r="M750" s="551"/>
      <c r="N750" s="551"/>
      <c r="O750" s="551"/>
      <c r="P750" s="551"/>
      <c r="Q750" s="551"/>
      <c r="R750" s="551"/>
      <c r="S750" s="551"/>
      <c r="T750" s="551"/>
      <c r="U750" s="551"/>
      <c r="V750" s="551"/>
      <c r="W750" s="551"/>
      <c r="X750" s="551"/>
      <c r="Y750" s="551"/>
      <c r="Z750" s="551"/>
      <c r="AA750" s="551"/>
      <c r="AB750" s="551"/>
    </row>
    <row r="751" spans="1:28" x14ac:dyDescent="0.25">
      <c r="K751" s="551"/>
      <c r="L751" s="551"/>
      <c r="M751" s="551"/>
      <c r="N751" s="551"/>
      <c r="O751" s="551"/>
      <c r="P751" s="551"/>
      <c r="Q751" s="551"/>
      <c r="R751" s="551"/>
      <c r="S751" s="551"/>
      <c r="T751" s="551"/>
      <c r="U751" s="551"/>
      <c r="V751" s="551"/>
      <c r="W751" s="551"/>
      <c r="X751" s="551"/>
      <c r="Y751" s="551"/>
      <c r="Z751" s="551"/>
      <c r="AA751" s="551"/>
      <c r="AB751" s="551"/>
    </row>
    <row r="752" spans="1:28" x14ac:dyDescent="0.25">
      <c r="A752" s="973" t="s">
        <v>26</v>
      </c>
      <c r="B752" s="981"/>
      <c r="C752" s="981"/>
      <c r="D752" s="981"/>
      <c r="E752" s="975" t="s">
        <v>626</v>
      </c>
      <c r="F752" s="976"/>
      <c r="G752" s="976"/>
      <c r="H752" s="977"/>
      <c r="I752" s="978"/>
      <c r="J752" s="979">
        <f>J753</f>
        <v>64024.3</v>
      </c>
      <c r="K752" s="341"/>
      <c r="L752" s="2" t="s">
        <v>1284</v>
      </c>
      <c r="M752" s="883"/>
      <c r="N752" s="889"/>
      <c r="O752" s="890"/>
      <c r="P752" s="551"/>
      <c r="Q752" s="551"/>
      <c r="R752" s="551"/>
      <c r="S752" s="551"/>
      <c r="T752" s="551"/>
      <c r="U752" s="551"/>
      <c r="V752" s="551"/>
      <c r="W752" s="551"/>
      <c r="X752" s="551"/>
      <c r="Y752" s="551"/>
      <c r="Z752" s="551"/>
      <c r="AA752" s="551"/>
      <c r="AB752" s="551"/>
    </row>
    <row r="753" spans="1:28" x14ac:dyDescent="0.25">
      <c r="A753" s="507" t="s">
        <v>27</v>
      </c>
      <c r="B753" s="504"/>
      <c r="C753" s="504"/>
      <c r="D753" s="504"/>
      <c r="E753" s="509" t="s">
        <v>1837</v>
      </c>
      <c r="J753" s="506">
        <f>J855</f>
        <v>64024.3</v>
      </c>
      <c r="K753" s="341"/>
      <c r="L753" s="2" t="s">
        <v>1285</v>
      </c>
      <c r="M753" s="341"/>
      <c r="N753" s="341"/>
      <c r="O753" s="765"/>
      <c r="P753" s="551"/>
      <c r="Q753" s="551"/>
      <c r="R753" s="551"/>
      <c r="S753" s="551"/>
      <c r="T753" s="551"/>
      <c r="U753" s="551"/>
      <c r="V753" s="551"/>
      <c r="W753" s="551"/>
      <c r="X753" s="551"/>
      <c r="Y753" s="551"/>
      <c r="Z753" s="551"/>
      <c r="AA753" s="551"/>
      <c r="AB753" s="551"/>
    </row>
    <row r="754" spans="1:28" hidden="1" x14ac:dyDescent="0.25">
      <c r="A754" s="1449" t="s">
        <v>715</v>
      </c>
      <c r="K754" s="341"/>
      <c r="L754" s="828" t="s">
        <v>1286</v>
      </c>
      <c r="M754" s="573"/>
      <c r="N754" s="829" t="s">
        <v>1287</v>
      </c>
      <c r="O754" s="838">
        <f>K753+M754</f>
        <v>0</v>
      </c>
      <c r="P754" s="565">
        <f>J752-O754</f>
        <v>64024.3</v>
      </c>
      <c r="Q754" s="551"/>
      <c r="R754" s="551"/>
      <c r="S754" s="551"/>
      <c r="T754" s="551"/>
      <c r="U754" s="551"/>
      <c r="V754" s="551"/>
      <c r="W754" s="551"/>
      <c r="X754" s="551"/>
      <c r="Y754" s="551"/>
      <c r="Z754" s="551"/>
      <c r="AA754" s="551"/>
      <c r="AB754" s="551"/>
    </row>
    <row r="755" spans="1:28" ht="15" hidden="1" customHeight="1" x14ac:dyDescent="0.25">
      <c r="A755" s="2170" t="s">
        <v>8</v>
      </c>
      <c r="B755" s="2170" t="s">
        <v>35</v>
      </c>
      <c r="C755" s="2173"/>
      <c r="D755" s="2173"/>
      <c r="E755" s="2173"/>
      <c r="F755" s="2173"/>
      <c r="G755" s="2170" t="s">
        <v>61</v>
      </c>
      <c r="H755" s="2193" t="s">
        <v>1827</v>
      </c>
      <c r="I755" s="2240"/>
      <c r="J755" s="2179"/>
      <c r="K755" s="565"/>
      <c r="L755" s="600"/>
      <c r="M755" s="573"/>
      <c r="N755" s="508"/>
      <c r="O755" s="508"/>
      <c r="P755" s="508"/>
      <c r="Q755" s="508"/>
      <c r="R755" s="508"/>
      <c r="S755" s="508"/>
      <c r="T755" s="508"/>
      <c r="U755" s="551"/>
      <c r="V755" s="551"/>
      <c r="W755" s="551"/>
      <c r="X755" s="551"/>
      <c r="Y755" s="551"/>
      <c r="Z755" s="551"/>
      <c r="AA755" s="551"/>
      <c r="AB755" s="551"/>
    </row>
    <row r="756" spans="1:28" ht="33.75" hidden="1" customHeight="1" x14ac:dyDescent="0.25">
      <c r="A756" s="2170"/>
      <c r="B756" s="2173"/>
      <c r="C756" s="2173"/>
      <c r="D756" s="2173"/>
      <c r="E756" s="2173"/>
      <c r="F756" s="2173"/>
      <c r="G756" s="2170"/>
      <c r="H756" s="1410" t="s">
        <v>248</v>
      </c>
      <c r="I756" s="1420" t="s">
        <v>264</v>
      </c>
      <c r="J756" s="1420" t="s">
        <v>256</v>
      </c>
      <c r="K756" s="551"/>
      <c r="L756" s="600"/>
      <c r="M756" s="586"/>
      <c r="N756" s="586"/>
      <c r="O756" s="586"/>
      <c r="P756" s="586"/>
      <c r="Q756" s="559"/>
      <c r="R756" s="514"/>
      <c r="S756" s="559"/>
      <c r="T756" s="559"/>
      <c r="U756" s="551"/>
      <c r="V756" s="551"/>
      <c r="W756" s="551"/>
      <c r="X756" s="551"/>
      <c r="Y756" s="551"/>
      <c r="Z756" s="551"/>
      <c r="AA756" s="551"/>
      <c r="AB756" s="551"/>
    </row>
    <row r="757" spans="1:28" s="556" customFormat="1" ht="14.25" hidden="1" customHeight="1" x14ac:dyDescent="0.25">
      <c r="A757" s="2318" t="s">
        <v>1668</v>
      </c>
      <c r="B757" s="2319"/>
      <c r="C757" s="2319"/>
      <c r="D757" s="2319"/>
      <c r="E757" s="2319"/>
      <c r="F757" s="2319"/>
      <c r="G757" s="2319"/>
      <c r="H757" s="2319"/>
      <c r="I757" s="2320"/>
      <c r="J757" s="1228">
        <f>SUM(J758:J758)</f>
        <v>0</v>
      </c>
      <c r="K757" s="582"/>
      <c r="L757" s="1182"/>
      <c r="M757" s="579"/>
      <c r="N757" s="579"/>
      <c r="Q757" s="1183"/>
      <c r="R757" s="1184"/>
      <c r="S757" s="1185"/>
      <c r="T757" s="1186"/>
    </row>
    <row r="758" spans="1:28" ht="14.25" hidden="1" customHeight="1" x14ac:dyDescent="0.25">
      <c r="A758" s="1127">
        <v>2</v>
      </c>
      <c r="B758" s="2343" t="s">
        <v>755</v>
      </c>
      <c r="C758" s="2219"/>
      <c r="D758" s="2219"/>
      <c r="E758" s="2219"/>
      <c r="F758" s="2219"/>
      <c r="G758" s="1420" t="s">
        <v>304</v>
      </c>
      <c r="H758" s="1135"/>
      <c r="I758" s="1136">
        <v>330</v>
      </c>
      <c r="J758" s="1181">
        <f t="shared" ref="J758" si="16">H758*I758</f>
        <v>0</v>
      </c>
      <c r="K758" s="582"/>
      <c r="L758" s="815"/>
      <c r="O758" s="551"/>
      <c r="P758" s="551"/>
      <c r="Q758" s="1137"/>
      <c r="R758" s="1138"/>
      <c r="S758" s="1139"/>
      <c r="T758" s="1140"/>
      <c r="U758" s="551"/>
      <c r="V758" s="551"/>
      <c r="W758" s="551"/>
      <c r="X758" s="551"/>
      <c r="Y758" s="551"/>
      <c r="Z758" s="551"/>
      <c r="AA758" s="551"/>
      <c r="AB758" s="551"/>
    </row>
    <row r="759" spans="1:28" hidden="1" x14ac:dyDescent="0.25">
      <c r="A759" s="2344" t="s">
        <v>39</v>
      </c>
      <c r="B759" s="2345"/>
      <c r="C759" s="2345"/>
      <c r="D759" s="2345"/>
      <c r="E759" s="2345"/>
      <c r="F759" s="2345"/>
      <c r="G759" s="2345"/>
      <c r="H759" s="2345"/>
      <c r="I759" s="2346"/>
      <c r="J759" s="1192">
        <f>J757</f>
        <v>0</v>
      </c>
      <c r="L759" s="1125"/>
      <c r="M759" s="1126"/>
      <c r="N759" s="586"/>
      <c r="O759" s="586"/>
      <c r="P759" s="586"/>
      <c r="Q759" s="559"/>
      <c r="R759" s="514"/>
      <c r="S759" s="559"/>
      <c r="T759" s="559"/>
      <c r="U759" s="551"/>
      <c r="V759" s="551"/>
      <c r="W759" s="551"/>
      <c r="X759" s="551"/>
      <c r="Y759" s="551"/>
      <c r="Z759" s="551"/>
      <c r="AA759" s="551"/>
      <c r="AB759" s="551"/>
    </row>
    <row r="760" spans="1:28" hidden="1" x14ac:dyDescent="0.25">
      <c r="A760" s="507"/>
      <c r="B760" s="504"/>
      <c r="C760" s="504"/>
      <c r="D760" s="504"/>
      <c r="E760" s="509"/>
      <c r="K760" s="553"/>
      <c r="L760" s="1125"/>
      <c r="M760" s="1126"/>
      <c r="N760" s="551"/>
      <c r="O760" s="551"/>
      <c r="P760" s="551"/>
      <c r="Q760" s="551"/>
      <c r="R760" s="551"/>
      <c r="S760" s="551"/>
      <c r="T760" s="551"/>
      <c r="U760" s="551"/>
      <c r="V760" s="551"/>
      <c r="W760" s="551"/>
      <c r="X760" s="551"/>
      <c r="Y760" s="551"/>
      <c r="Z760" s="551"/>
      <c r="AA760" s="551"/>
      <c r="AB760" s="551"/>
    </row>
    <row r="761" spans="1:28" ht="15" hidden="1" customHeight="1" x14ac:dyDescent="0.25">
      <c r="A761" s="1449" t="s">
        <v>1174</v>
      </c>
      <c r="K761" s="553"/>
      <c r="L761" s="582"/>
      <c r="M761" s="1126">
        <v>13</v>
      </c>
      <c r="N761" s="551"/>
      <c r="O761" s="551"/>
      <c r="P761" s="551"/>
      <c r="Q761" s="551"/>
      <c r="R761" s="551"/>
      <c r="S761" s="551"/>
      <c r="T761" s="551"/>
      <c r="U761" s="551"/>
      <c r="V761" s="551"/>
      <c r="W761" s="551"/>
      <c r="X761" s="551"/>
      <c r="Y761" s="551"/>
      <c r="Z761" s="551"/>
      <c r="AA761" s="551"/>
      <c r="AB761" s="551"/>
    </row>
    <row r="762" spans="1:28" ht="15" hidden="1" customHeight="1" x14ac:dyDescent="0.25">
      <c r="A762" s="2170" t="s">
        <v>8</v>
      </c>
      <c r="B762" s="2170" t="s">
        <v>35</v>
      </c>
      <c r="C762" s="2170"/>
      <c r="D762" s="2170"/>
      <c r="E762" s="2170"/>
      <c r="F762" s="2170"/>
      <c r="G762" s="2170" t="s">
        <v>61</v>
      </c>
      <c r="H762" s="2193" t="s">
        <v>735</v>
      </c>
      <c r="I762" s="2240"/>
      <c r="J762" s="2179"/>
      <c r="K762" s="553"/>
      <c r="L762" s="582"/>
      <c r="M762" s="1126">
        <v>14</v>
      </c>
      <c r="N762" s="551"/>
      <c r="O762" s="551"/>
      <c r="P762" s="551"/>
      <c r="Q762" s="551"/>
      <c r="R762" s="551"/>
      <c r="S762" s="551"/>
      <c r="T762" s="551"/>
      <c r="U762" s="551"/>
      <c r="V762" s="551"/>
      <c r="W762" s="551"/>
      <c r="X762" s="551"/>
      <c r="Y762" s="551"/>
      <c r="Z762" s="551"/>
      <c r="AA762" s="551"/>
      <c r="AB762" s="551"/>
    </row>
    <row r="763" spans="1:28" ht="30" hidden="1" customHeight="1" x14ac:dyDescent="0.25">
      <c r="A763" s="2170"/>
      <c r="B763" s="2170"/>
      <c r="C763" s="2170"/>
      <c r="D763" s="2170"/>
      <c r="E763" s="2170"/>
      <c r="F763" s="2170"/>
      <c r="G763" s="2170"/>
      <c r="H763" s="1410" t="s">
        <v>248</v>
      </c>
      <c r="I763" s="1420" t="s">
        <v>264</v>
      </c>
      <c r="J763" s="1420" t="s">
        <v>256</v>
      </c>
      <c r="K763" s="553"/>
      <c r="L763" s="582"/>
      <c r="M763" s="1126">
        <v>15</v>
      </c>
      <c r="N763" s="551"/>
      <c r="O763" s="551"/>
      <c r="P763" s="551"/>
      <c r="Q763" s="551"/>
      <c r="R763" s="551"/>
      <c r="S763" s="551"/>
      <c r="T763" s="551"/>
      <c r="U763" s="551"/>
      <c r="V763" s="551"/>
      <c r="W763" s="551"/>
      <c r="X763" s="551"/>
      <c r="Y763" s="551"/>
      <c r="Z763" s="551"/>
      <c r="AA763" s="551"/>
      <c r="AB763" s="551"/>
    </row>
    <row r="764" spans="1:28" ht="15" hidden="1" customHeight="1" x14ac:dyDescent="0.25">
      <c r="A764" s="1127">
        <v>1</v>
      </c>
      <c r="B764" s="2283" t="s">
        <v>1178</v>
      </c>
      <c r="C764" s="2283"/>
      <c r="D764" s="2283"/>
      <c r="E764" s="2283"/>
      <c r="F764" s="2283"/>
      <c r="G764" s="1420" t="s">
        <v>1192</v>
      </c>
      <c r="H764" s="1229"/>
      <c r="I764" s="1420">
        <v>112</v>
      </c>
      <c r="J764" s="1426">
        <f>H764*I764</f>
        <v>0</v>
      </c>
      <c r="K764" s="553"/>
      <c r="L764" s="582"/>
      <c r="M764" s="1126">
        <v>16</v>
      </c>
      <c r="N764" s="551"/>
      <c r="O764" s="551"/>
      <c r="P764" s="551"/>
      <c r="Q764" s="551"/>
      <c r="R764" s="551"/>
      <c r="S764" s="551"/>
      <c r="T764" s="551"/>
      <c r="U764" s="551"/>
      <c r="V764" s="551"/>
      <c r="W764" s="551"/>
      <c r="X764" s="551"/>
      <c r="Y764" s="551"/>
      <c r="Z764" s="551"/>
      <c r="AA764" s="551"/>
      <c r="AB764" s="551"/>
    </row>
    <row r="765" spans="1:28" ht="15" hidden="1" customHeight="1" x14ac:dyDescent="0.25">
      <c r="A765" s="1127">
        <v>2</v>
      </c>
      <c r="B765" s="2283" t="s">
        <v>1179</v>
      </c>
      <c r="C765" s="2283"/>
      <c r="D765" s="2283"/>
      <c r="E765" s="2283"/>
      <c r="F765" s="2283"/>
      <c r="G765" s="1420" t="s">
        <v>1192</v>
      </c>
      <c r="H765" s="1229"/>
      <c r="I765" s="1420">
        <v>237</v>
      </c>
      <c r="J765" s="1426">
        <f t="shared" ref="J765:J815" si="17">H765*I765</f>
        <v>0</v>
      </c>
      <c r="K765" s="553"/>
      <c r="L765" s="582"/>
      <c r="M765" s="1126">
        <v>17</v>
      </c>
      <c r="N765" s="551"/>
      <c r="O765" s="551"/>
      <c r="P765" s="551"/>
      <c r="Q765" s="551"/>
      <c r="R765" s="551"/>
      <c r="S765" s="551"/>
      <c r="T765" s="551"/>
      <c r="U765" s="551"/>
      <c r="V765" s="551"/>
      <c r="W765" s="551"/>
      <c r="X765" s="551"/>
      <c r="Y765" s="551"/>
      <c r="Z765" s="551"/>
      <c r="AA765" s="551"/>
      <c r="AB765" s="551"/>
    </row>
    <row r="766" spans="1:28" ht="15" hidden="1" customHeight="1" x14ac:dyDescent="0.25">
      <c r="A766" s="1127">
        <v>3</v>
      </c>
      <c r="B766" s="2283" t="s">
        <v>1180</v>
      </c>
      <c r="C766" s="2283"/>
      <c r="D766" s="2283"/>
      <c r="E766" s="2283"/>
      <c r="F766" s="2283"/>
      <c r="G766" s="1420" t="s">
        <v>1192</v>
      </c>
      <c r="H766" s="1229"/>
      <c r="I766" s="1420">
        <v>196</v>
      </c>
      <c r="J766" s="1426">
        <f t="shared" si="17"/>
        <v>0</v>
      </c>
      <c r="K766" s="553"/>
      <c r="L766" s="582"/>
      <c r="M766" s="1126">
        <v>18</v>
      </c>
      <c r="N766" s="551"/>
      <c r="O766" s="551"/>
      <c r="P766" s="551"/>
      <c r="Q766" s="551"/>
      <c r="R766" s="551"/>
      <c r="S766" s="551"/>
      <c r="T766" s="551"/>
      <c r="U766" s="551"/>
      <c r="V766" s="551"/>
      <c r="W766" s="551"/>
      <c r="X766" s="551"/>
      <c r="Y766" s="551"/>
      <c r="Z766" s="551"/>
      <c r="AA766" s="551"/>
      <c r="AB766" s="551"/>
    </row>
    <row r="767" spans="1:28" ht="15" hidden="1" customHeight="1" x14ac:dyDescent="0.25">
      <c r="A767" s="1127">
        <v>4</v>
      </c>
      <c r="B767" s="2283" t="s">
        <v>1181</v>
      </c>
      <c r="C767" s="2283"/>
      <c r="D767" s="2283"/>
      <c r="E767" s="2283"/>
      <c r="F767" s="2283"/>
      <c r="G767" s="1420" t="s">
        <v>1192</v>
      </c>
      <c r="H767" s="1229"/>
      <c r="I767" s="1420">
        <v>277</v>
      </c>
      <c r="J767" s="1426">
        <f t="shared" si="17"/>
        <v>0</v>
      </c>
      <c r="K767" s="553"/>
      <c r="L767" s="582"/>
      <c r="M767" s="1126">
        <v>19</v>
      </c>
      <c r="N767" s="551"/>
      <c r="O767" s="551"/>
      <c r="P767" s="551"/>
      <c r="Q767" s="551"/>
      <c r="R767" s="551"/>
      <c r="S767" s="551"/>
      <c r="T767" s="551"/>
      <c r="U767" s="551"/>
      <c r="V767" s="551"/>
      <c r="W767" s="551"/>
      <c r="X767" s="551"/>
      <c r="Y767" s="551"/>
      <c r="Z767" s="551"/>
      <c r="AA767" s="551"/>
      <c r="AB767" s="551"/>
    </row>
    <row r="768" spans="1:28" ht="15" hidden="1" customHeight="1" x14ac:dyDescent="0.25">
      <c r="A768" s="1127">
        <v>5</v>
      </c>
      <c r="B768" s="2283" t="s">
        <v>1182</v>
      </c>
      <c r="C768" s="2283"/>
      <c r="D768" s="2283"/>
      <c r="E768" s="2283"/>
      <c r="F768" s="2283"/>
      <c r="G768" s="1420" t="s">
        <v>245</v>
      </c>
      <c r="H768" s="1229"/>
      <c r="I768" s="1420">
        <v>584</v>
      </c>
      <c r="J768" s="1426">
        <f t="shared" si="17"/>
        <v>0</v>
      </c>
      <c r="K768" s="553"/>
      <c r="L768" s="582"/>
      <c r="M768" s="1126">
        <v>20</v>
      </c>
      <c r="N768" s="551"/>
      <c r="O768" s="551"/>
      <c r="P768" s="551"/>
      <c r="Q768" s="551"/>
      <c r="R768" s="551"/>
      <c r="S768" s="551"/>
      <c r="T768" s="551"/>
      <c r="U768" s="551"/>
      <c r="V768" s="551"/>
      <c r="W768" s="551"/>
      <c r="X768" s="551"/>
      <c r="Y768" s="551"/>
      <c r="Z768" s="551"/>
      <c r="AA768" s="551"/>
      <c r="AB768" s="551"/>
    </row>
    <row r="769" spans="1:28" ht="15" hidden="1" customHeight="1" x14ac:dyDescent="0.25">
      <c r="A769" s="1127">
        <v>6</v>
      </c>
      <c r="B769" s="2283" t="s">
        <v>1183</v>
      </c>
      <c r="C769" s="2283"/>
      <c r="D769" s="2283"/>
      <c r="E769" s="2283"/>
      <c r="F769" s="2283"/>
      <c r="G769" s="1420" t="s">
        <v>245</v>
      </c>
      <c r="H769" s="1229"/>
      <c r="I769" s="1420">
        <v>1458</v>
      </c>
      <c r="J769" s="1426">
        <f t="shared" si="17"/>
        <v>0</v>
      </c>
      <c r="K769" s="553"/>
      <c r="L769" s="582"/>
      <c r="M769" s="1126">
        <v>21</v>
      </c>
      <c r="N769" s="551"/>
      <c r="O769" s="551"/>
      <c r="P769" s="551"/>
      <c r="Q769" s="551"/>
      <c r="R769" s="551"/>
      <c r="S769" s="551"/>
      <c r="T769" s="551"/>
      <c r="U769" s="551"/>
      <c r="V769" s="551"/>
      <c r="W769" s="551"/>
      <c r="X769" s="551"/>
      <c r="Y769" s="551"/>
      <c r="Z769" s="551"/>
      <c r="AA769" s="551"/>
      <c r="AB769" s="551"/>
    </row>
    <row r="770" spans="1:28" ht="15" hidden="1" customHeight="1" x14ac:dyDescent="0.25">
      <c r="A770" s="1127">
        <v>7</v>
      </c>
      <c r="B770" s="2283" t="s">
        <v>1184</v>
      </c>
      <c r="C770" s="2283"/>
      <c r="D770" s="2283"/>
      <c r="E770" s="2283"/>
      <c r="F770" s="2283"/>
      <c r="G770" s="1420" t="s">
        <v>1192</v>
      </c>
      <c r="H770" s="1229"/>
      <c r="I770" s="1420">
        <v>83</v>
      </c>
      <c r="J770" s="1426">
        <f t="shared" si="17"/>
        <v>0</v>
      </c>
      <c r="K770" s="553"/>
      <c r="L770" s="582"/>
      <c r="M770" s="1126">
        <v>22</v>
      </c>
      <c r="N770" s="551"/>
      <c r="O770" s="551"/>
      <c r="P770" s="551"/>
      <c r="Q770" s="551"/>
      <c r="R770" s="551"/>
      <c r="S770" s="551"/>
      <c r="T770" s="551"/>
      <c r="U770" s="551"/>
      <c r="V770" s="551"/>
      <c r="W770" s="551"/>
      <c r="X770" s="551"/>
      <c r="Y770" s="551"/>
      <c r="Z770" s="551"/>
      <c r="AA770" s="551"/>
      <c r="AB770" s="551"/>
    </row>
    <row r="771" spans="1:28" ht="15" hidden="1" customHeight="1" x14ac:dyDescent="0.25">
      <c r="A771" s="1127">
        <v>8</v>
      </c>
      <c r="B771" s="2283" t="s">
        <v>1185</v>
      </c>
      <c r="C771" s="2283"/>
      <c r="D771" s="2283"/>
      <c r="E771" s="2283"/>
      <c r="F771" s="2283"/>
      <c r="G771" s="1420" t="s">
        <v>1192</v>
      </c>
      <c r="H771" s="1229"/>
      <c r="I771" s="1420">
        <v>93</v>
      </c>
      <c r="J771" s="1426">
        <f t="shared" si="17"/>
        <v>0</v>
      </c>
      <c r="K771" s="553"/>
      <c r="L771" s="582"/>
      <c r="M771" s="1126">
        <v>23</v>
      </c>
      <c r="N771" s="551"/>
      <c r="O771" s="551"/>
      <c r="P771" s="551"/>
      <c r="Q771" s="551"/>
      <c r="R771" s="551"/>
      <c r="S771" s="551"/>
      <c r="T771" s="551"/>
      <c r="U771" s="551"/>
      <c r="V771" s="551"/>
      <c r="W771" s="551"/>
      <c r="X771" s="551"/>
      <c r="Y771" s="551"/>
      <c r="Z771" s="551"/>
      <c r="AA771" s="551"/>
      <c r="AB771" s="551"/>
    </row>
    <row r="772" spans="1:28" ht="15" hidden="1" customHeight="1" x14ac:dyDescent="0.25">
      <c r="A772" s="1127">
        <v>9</v>
      </c>
      <c r="B772" s="2283" t="s">
        <v>1186</v>
      </c>
      <c r="C772" s="2283"/>
      <c r="D772" s="2283"/>
      <c r="E772" s="2283"/>
      <c r="F772" s="2283"/>
      <c r="G772" s="1420" t="s">
        <v>1192</v>
      </c>
      <c r="H772" s="1229"/>
      <c r="I772" s="1420">
        <v>254</v>
      </c>
      <c r="J772" s="1426">
        <f t="shared" si="17"/>
        <v>0</v>
      </c>
      <c r="K772" s="553"/>
      <c r="L772" s="582"/>
      <c r="M772" s="1126">
        <v>24</v>
      </c>
      <c r="N772" s="551"/>
      <c r="O772" s="551"/>
      <c r="P772" s="551"/>
      <c r="Q772" s="551"/>
      <c r="R772" s="551"/>
      <c r="S772" s="551"/>
      <c r="T772" s="551"/>
      <c r="U772" s="551"/>
      <c r="V772" s="551"/>
      <c r="W772" s="551"/>
      <c r="X772" s="551"/>
      <c r="Y772" s="551"/>
      <c r="Z772" s="551"/>
      <c r="AA772" s="551"/>
      <c r="AB772" s="551"/>
    </row>
    <row r="773" spans="1:28" ht="15" hidden="1" customHeight="1" x14ac:dyDescent="0.25">
      <c r="A773" s="1127">
        <v>10</v>
      </c>
      <c r="B773" s="2283" t="s">
        <v>1187</v>
      </c>
      <c r="C773" s="2283"/>
      <c r="D773" s="2283"/>
      <c r="E773" s="2283"/>
      <c r="F773" s="2283"/>
      <c r="G773" s="1420" t="s">
        <v>245</v>
      </c>
      <c r="H773" s="1229"/>
      <c r="I773" s="1420">
        <v>1815</v>
      </c>
      <c r="J773" s="1426">
        <f t="shared" si="17"/>
        <v>0</v>
      </c>
      <c r="K773" s="553"/>
      <c r="L773" s="582"/>
      <c r="M773" s="1126">
        <v>25</v>
      </c>
      <c r="N773" s="551"/>
      <c r="O773" s="551"/>
      <c r="P773" s="551"/>
      <c r="Q773" s="551"/>
      <c r="R773" s="551"/>
      <c r="S773" s="551"/>
      <c r="T773" s="551"/>
      <c r="U773" s="551"/>
      <c r="V773" s="551"/>
      <c r="W773" s="551"/>
      <c r="X773" s="551"/>
      <c r="Y773" s="551"/>
      <c r="Z773" s="551"/>
      <c r="AA773" s="551"/>
      <c r="AB773" s="551"/>
    </row>
    <row r="774" spans="1:28" ht="15" hidden="1" customHeight="1" x14ac:dyDescent="0.25">
      <c r="A774" s="1127">
        <v>11</v>
      </c>
      <c r="B774" s="2283" t="s">
        <v>1188</v>
      </c>
      <c r="C774" s="2283"/>
      <c r="D774" s="2283"/>
      <c r="E774" s="2283"/>
      <c r="F774" s="2283"/>
      <c r="G774" s="1420" t="s">
        <v>245</v>
      </c>
      <c r="H774" s="1229"/>
      <c r="I774" s="1420">
        <v>1304</v>
      </c>
      <c r="J774" s="1426">
        <f t="shared" si="17"/>
        <v>0</v>
      </c>
      <c r="K774" s="553"/>
      <c r="L774" s="582"/>
      <c r="M774" s="1126">
        <v>26</v>
      </c>
      <c r="N774" s="551"/>
      <c r="O774" s="551"/>
      <c r="P774" s="551"/>
      <c r="Q774" s="551"/>
      <c r="R774" s="551"/>
      <c r="S774" s="551"/>
      <c r="T774" s="551"/>
      <c r="U774" s="551"/>
      <c r="V774" s="551"/>
      <c r="W774" s="551"/>
      <c r="X774" s="551"/>
      <c r="Y774" s="551"/>
      <c r="Z774" s="551"/>
      <c r="AA774" s="551"/>
      <c r="AB774" s="551"/>
    </row>
    <row r="775" spans="1:28" ht="15" hidden="1" customHeight="1" x14ac:dyDescent="0.25">
      <c r="A775" s="1127">
        <v>12</v>
      </c>
      <c r="B775" s="2283" t="s">
        <v>1189</v>
      </c>
      <c r="C775" s="2283"/>
      <c r="D775" s="2283"/>
      <c r="E775" s="2283"/>
      <c r="F775" s="2283"/>
      <c r="G775" s="1420" t="s">
        <v>1192</v>
      </c>
      <c r="H775" s="1229"/>
      <c r="I775" s="1420">
        <v>924</v>
      </c>
      <c r="J775" s="1426">
        <f t="shared" si="17"/>
        <v>0</v>
      </c>
      <c r="K775" s="553"/>
      <c r="L775" s="582"/>
      <c r="M775" s="1126">
        <v>27</v>
      </c>
      <c r="N775" s="551"/>
      <c r="O775" s="551"/>
      <c r="P775" s="551"/>
      <c r="Q775" s="551"/>
      <c r="R775" s="551"/>
      <c r="S775" s="551"/>
      <c r="T775" s="551"/>
      <c r="U775" s="551"/>
      <c r="V775" s="551"/>
      <c r="W775" s="551"/>
      <c r="X775" s="551"/>
      <c r="Y775" s="551"/>
      <c r="Z775" s="551"/>
      <c r="AA775" s="551"/>
      <c r="AB775" s="551"/>
    </row>
    <row r="776" spans="1:28" ht="15" hidden="1" customHeight="1" x14ac:dyDescent="0.25">
      <c r="A776" s="1127">
        <v>13</v>
      </c>
      <c r="B776" s="2283" t="s">
        <v>1190</v>
      </c>
      <c r="C776" s="2283"/>
      <c r="D776" s="2283"/>
      <c r="E776" s="2283"/>
      <c r="F776" s="2283"/>
      <c r="G776" s="1420" t="s">
        <v>245</v>
      </c>
      <c r="H776" s="1229"/>
      <c r="I776" s="1420">
        <v>243</v>
      </c>
      <c r="J776" s="1426">
        <f t="shared" si="17"/>
        <v>0</v>
      </c>
      <c r="K776" s="553"/>
      <c r="L776" s="582"/>
      <c r="M776" s="1126">
        <v>28</v>
      </c>
      <c r="N776" s="551"/>
      <c r="O776" s="551"/>
      <c r="P776" s="551"/>
      <c r="Q776" s="551"/>
      <c r="R776" s="551"/>
      <c r="S776" s="551"/>
      <c r="T776" s="551"/>
      <c r="U776" s="551"/>
      <c r="V776" s="551"/>
      <c r="W776" s="551"/>
      <c r="X776" s="551"/>
      <c r="Y776" s="551"/>
      <c r="Z776" s="551"/>
      <c r="AA776" s="551"/>
      <c r="AB776" s="551"/>
    </row>
    <row r="777" spans="1:28" ht="15" hidden="1" customHeight="1" x14ac:dyDescent="0.25">
      <c r="A777" s="1127">
        <v>14</v>
      </c>
      <c r="B777" s="2283" t="s">
        <v>1191</v>
      </c>
      <c r="C777" s="2283"/>
      <c r="D777" s="2283"/>
      <c r="E777" s="2283"/>
      <c r="F777" s="2283"/>
      <c r="G777" s="1420" t="s">
        <v>245</v>
      </c>
      <c r="H777" s="1229"/>
      <c r="I777" s="1420">
        <v>2570</v>
      </c>
      <c r="J777" s="1426">
        <f t="shared" si="17"/>
        <v>0</v>
      </c>
      <c r="K777" s="553"/>
      <c r="L777" s="582"/>
      <c r="M777" s="1126">
        <v>29</v>
      </c>
      <c r="N777" s="551"/>
      <c r="O777" s="551"/>
      <c r="P777" s="551"/>
      <c r="Q777" s="551"/>
      <c r="R777" s="551"/>
      <c r="S777" s="551"/>
      <c r="T777" s="551"/>
      <c r="U777" s="551"/>
      <c r="V777" s="551"/>
      <c r="W777" s="551"/>
      <c r="X777" s="551"/>
      <c r="Y777" s="551"/>
      <c r="Z777" s="551"/>
      <c r="AA777" s="551"/>
      <c r="AB777" s="551"/>
    </row>
    <row r="778" spans="1:28" ht="15" hidden="1" customHeight="1" x14ac:dyDescent="0.25">
      <c r="A778" s="1127">
        <v>15</v>
      </c>
      <c r="B778" s="2283" t="s">
        <v>1193</v>
      </c>
      <c r="C778" s="2283"/>
      <c r="D778" s="2283"/>
      <c r="E778" s="2283"/>
      <c r="F778" s="2283"/>
      <c r="G778" s="1420" t="s">
        <v>245</v>
      </c>
      <c r="H778" s="1229"/>
      <c r="I778" s="1420">
        <v>543</v>
      </c>
      <c r="J778" s="1426">
        <f t="shared" si="17"/>
        <v>0</v>
      </c>
      <c r="K778" s="553"/>
      <c r="L778" s="582"/>
      <c r="M778" s="1126">
        <v>30</v>
      </c>
      <c r="N778" s="551"/>
      <c r="O778" s="551"/>
      <c r="P778" s="551"/>
      <c r="Q778" s="551"/>
      <c r="R778" s="551"/>
      <c r="S778" s="551"/>
      <c r="T778" s="551"/>
      <c r="U778" s="551"/>
      <c r="V778" s="551"/>
      <c r="W778" s="551"/>
      <c r="X778" s="551"/>
      <c r="Y778" s="551"/>
      <c r="Z778" s="551"/>
      <c r="AA778" s="551"/>
      <c r="AB778" s="551"/>
    </row>
    <row r="779" spans="1:28" ht="15" hidden="1" customHeight="1" x14ac:dyDescent="0.25">
      <c r="A779" s="1127">
        <v>16</v>
      </c>
      <c r="B779" s="2283" t="s">
        <v>1194</v>
      </c>
      <c r="C779" s="2283"/>
      <c r="D779" s="2283"/>
      <c r="E779" s="2283"/>
      <c r="F779" s="2283"/>
      <c r="G779" s="1420" t="s">
        <v>716</v>
      </c>
      <c r="H779" s="1229"/>
      <c r="I779" s="1420">
        <v>2108</v>
      </c>
      <c r="J779" s="1426">
        <f t="shared" si="17"/>
        <v>0</v>
      </c>
      <c r="K779" s="553"/>
      <c r="L779" s="582"/>
      <c r="M779" s="1126">
        <v>31</v>
      </c>
      <c r="N779" s="551"/>
      <c r="O779" s="551"/>
      <c r="P779" s="551"/>
      <c r="Q779" s="551"/>
      <c r="R779" s="551"/>
      <c r="S779" s="551"/>
      <c r="T779" s="551"/>
      <c r="U779" s="551"/>
      <c r="V779" s="551"/>
      <c r="W779" s="551"/>
      <c r="X779" s="551"/>
      <c r="Y779" s="551"/>
      <c r="Z779" s="551"/>
      <c r="AA779" s="551"/>
      <c r="AB779" s="551"/>
    </row>
    <row r="780" spans="1:28" ht="15" hidden="1" customHeight="1" x14ac:dyDescent="0.25">
      <c r="A780" s="1127">
        <v>17</v>
      </c>
      <c r="B780" s="2283" t="s">
        <v>1195</v>
      </c>
      <c r="C780" s="2283"/>
      <c r="D780" s="2283"/>
      <c r="E780" s="2283"/>
      <c r="F780" s="2283"/>
      <c r="G780" s="1420" t="s">
        <v>1192</v>
      </c>
      <c r="H780" s="1229"/>
      <c r="I780" s="1420">
        <v>3560</v>
      </c>
      <c r="J780" s="1426">
        <f t="shared" si="17"/>
        <v>0</v>
      </c>
      <c r="K780" s="553"/>
      <c r="L780" s="582"/>
      <c r="M780" s="1126">
        <v>32</v>
      </c>
      <c r="N780" s="551"/>
      <c r="O780" s="551"/>
      <c r="P780" s="551"/>
      <c r="Q780" s="551"/>
      <c r="R780" s="551"/>
      <c r="S780" s="551"/>
      <c r="T780" s="551"/>
      <c r="U780" s="551"/>
      <c r="V780" s="551"/>
      <c r="W780" s="551"/>
      <c r="X780" s="551"/>
      <c r="Y780" s="551"/>
      <c r="Z780" s="551"/>
      <c r="AA780" s="551"/>
      <c r="AB780" s="551"/>
    </row>
    <row r="781" spans="1:28" ht="15" hidden="1" customHeight="1" x14ac:dyDescent="0.25">
      <c r="A781" s="1127">
        <v>18</v>
      </c>
      <c r="B781" s="2283" t="s">
        <v>1196</v>
      </c>
      <c r="C781" s="2283"/>
      <c r="D781" s="2283"/>
      <c r="E781" s="2283"/>
      <c r="F781" s="2283"/>
      <c r="G781" s="1420" t="s">
        <v>1192</v>
      </c>
      <c r="H781" s="1229"/>
      <c r="I781" s="1420">
        <v>4004</v>
      </c>
      <c r="J781" s="1426">
        <f t="shared" si="17"/>
        <v>0</v>
      </c>
      <c r="K781" s="553"/>
      <c r="L781" s="582"/>
      <c r="M781" s="1126">
        <v>33</v>
      </c>
      <c r="N781" s="551"/>
      <c r="O781" s="551"/>
      <c r="P781" s="551"/>
      <c r="Q781" s="551"/>
      <c r="R781" s="551"/>
      <c r="S781" s="551"/>
      <c r="T781" s="551"/>
      <c r="U781" s="551"/>
      <c r="V781" s="551"/>
      <c r="W781" s="551"/>
      <c r="X781" s="551"/>
      <c r="Y781" s="551"/>
      <c r="Z781" s="551"/>
      <c r="AA781" s="551"/>
      <c r="AB781" s="551"/>
    </row>
    <row r="782" spans="1:28" ht="15" hidden="1" customHeight="1" x14ac:dyDescent="0.25">
      <c r="A782" s="1127">
        <v>19</v>
      </c>
      <c r="B782" s="2283" t="s">
        <v>1197</v>
      </c>
      <c r="C782" s="2283"/>
      <c r="D782" s="2283"/>
      <c r="E782" s="2283"/>
      <c r="F782" s="2283"/>
      <c r="G782" s="1420" t="s">
        <v>1192</v>
      </c>
      <c r="H782" s="1229"/>
      <c r="I782" s="1420">
        <v>5698</v>
      </c>
      <c r="J782" s="1426">
        <f t="shared" si="17"/>
        <v>0</v>
      </c>
      <c r="K782" s="553"/>
      <c r="L782" s="582"/>
      <c r="M782" s="1126">
        <v>34</v>
      </c>
      <c r="N782" s="551"/>
      <c r="O782" s="551"/>
      <c r="P782" s="551"/>
      <c r="Q782" s="551"/>
      <c r="R782" s="551"/>
      <c r="S782" s="551"/>
      <c r="T782" s="551"/>
      <c r="U782" s="551"/>
      <c r="V782" s="551"/>
      <c r="W782" s="551"/>
      <c r="X782" s="551"/>
      <c r="Y782" s="551"/>
      <c r="Z782" s="551"/>
      <c r="AA782" s="551"/>
      <c r="AB782" s="551"/>
    </row>
    <row r="783" spans="1:28" ht="15" hidden="1" customHeight="1" x14ac:dyDescent="0.25">
      <c r="A783" s="1127">
        <v>20</v>
      </c>
      <c r="B783" s="2283" t="s">
        <v>1198</v>
      </c>
      <c r="C783" s="2283"/>
      <c r="D783" s="2283"/>
      <c r="E783" s="2283"/>
      <c r="F783" s="2283"/>
      <c r="G783" s="1420" t="s">
        <v>245</v>
      </c>
      <c r="H783" s="1229"/>
      <c r="I783" s="1420">
        <v>848</v>
      </c>
      <c r="J783" s="1426">
        <f t="shared" si="17"/>
        <v>0</v>
      </c>
      <c r="K783" s="553"/>
      <c r="L783" s="582"/>
      <c r="M783" s="1126">
        <v>35</v>
      </c>
      <c r="N783" s="551"/>
      <c r="O783" s="551"/>
      <c r="P783" s="551"/>
      <c r="Q783" s="551"/>
      <c r="R783" s="551"/>
      <c r="S783" s="551"/>
      <c r="T783" s="551"/>
      <c r="U783" s="551"/>
      <c r="V783" s="551"/>
      <c r="W783" s="551"/>
      <c r="X783" s="551"/>
      <c r="Y783" s="551"/>
      <c r="Z783" s="551"/>
      <c r="AA783" s="551"/>
      <c r="AB783" s="551"/>
    </row>
    <row r="784" spans="1:28" ht="15" hidden="1" customHeight="1" x14ac:dyDescent="0.25">
      <c r="A784" s="1127">
        <v>21</v>
      </c>
      <c r="B784" s="2283" t="s">
        <v>1199</v>
      </c>
      <c r="C784" s="2283"/>
      <c r="D784" s="2283"/>
      <c r="E784" s="2283"/>
      <c r="F784" s="2283"/>
      <c r="G784" s="1420" t="s">
        <v>245</v>
      </c>
      <c r="H784" s="1229"/>
      <c r="I784" s="1420">
        <v>637</v>
      </c>
      <c r="J784" s="1426">
        <f t="shared" si="17"/>
        <v>0</v>
      </c>
      <c r="K784" s="553"/>
      <c r="L784" s="582"/>
      <c r="M784" s="1126">
        <v>36</v>
      </c>
      <c r="N784" s="551"/>
      <c r="O784" s="551"/>
      <c r="P784" s="551"/>
      <c r="Q784" s="551"/>
      <c r="R784" s="551"/>
      <c r="S784" s="551"/>
      <c r="T784" s="551"/>
      <c r="U784" s="551"/>
      <c r="V784" s="551"/>
      <c r="W784" s="551"/>
      <c r="X784" s="551"/>
      <c r="Y784" s="551"/>
      <c r="Z784" s="551"/>
      <c r="AA784" s="551"/>
      <c r="AB784" s="551"/>
    </row>
    <row r="785" spans="1:28" ht="15" hidden="1" customHeight="1" x14ac:dyDescent="0.25">
      <c r="A785" s="1127">
        <v>22</v>
      </c>
      <c r="B785" s="2283" t="s">
        <v>1200</v>
      </c>
      <c r="C785" s="2283"/>
      <c r="D785" s="2283"/>
      <c r="E785" s="2283"/>
      <c r="F785" s="2283"/>
      <c r="G785" s="1420" t="s">
        <v>716</v>
      </c>
      <c r="H785" s="1229"/>
      <c r="I785" s="1420">
        <v>109</v>
      </c>
      <c r="J785" s="1426">
        <f t="shared" si="17"/>
        <v>0</v>
      </c>
      <c r="K785" s="553"/>
      <c r="L785" s="582"/>
      <c r="M785" s="1126">
        <v>37</v>
      </c>
      <c r="N785" s="551"/>
      <c r="O785" s="551"/>
      <c r="P785" s="551"/>
      <c r="Q785" s="551"/>
      <c r="R785" s="551"/>
      <c r="S785" s="551"/>
      <c r="T785" s="551"/>
      <c r="U785" s="551"/>
      <c r="V785" s="551"/>
      <c r="W785" s="551"/>
      <c r="X785" s="551"/>
      <c r="Y785" s="551"/>
      <c r="Z785" s="551"/>
      <c r="AA785" s="551"/>
      <c r="AB785" s="551"/>
    </row>
    <row r="786" spans="1:28" ht="15" hidden="1" customHeight="1" x14ac:dyDescent="0.25">
      <c r="A786" s="1127">
        <v>23</v>
      </c>
      <c r="B786" s="2283" t="s">
        <v>1201</v>
      </c>
      <c r="C786" s="2283"/>
      <c r="D786" s="2283"/>
      <c r="E786" s="2283"/>
      <c r="F786" s="2283"/>
      <c r="G786" s="1420" t="s">
        <v>716</v>
      </c>
      <c r="H786" s="1229"/>
      <c r="I786" s="1420">
        <v>328</v>
      </c>
      <c r="J786" s="1426">
        <f t="shared" si="17"/>
        <v>0</v>
      </c>
      <c r="K786" s="553"/>
      <c r="L786" s="582"/>
      <c r="M786" s="1126">
        <v>38</v>
      </c>
      <c r="N786" s="551"/>
      <c r="O786" s="551"/>
      <c r="P786" s="551"/>
      <c r="Q786" s="551"/>
      <c r="R786" s="551"/>
      <c r="S786" s="551"/>
      <c r="T786" s="551"/>
      <c r="U786" s="551"/>
      <c r="V786" s="551"/>
      <c r="W786" s="551"/>
      <c r="X786" s="551"/>
      <c r="Y786" s="551"/>
      <c r="Z786" s="551"/>
      <c r="AA786" s="551"/>
      <c r="AB786" s="551"/>
    </row>
    <row r="787" spans="1:28" ht="15" hidden="1" customHeight="1" x14ac:dyDescent="0.25">
      <c r="A787" s="1127">
        <v>24</v>
      </c>
      <c r="B787" s="2283" t="s">
        <v>1202</v>
      </c>
      <c r="C787" s="2283"/>
      <c r="D787" s="2283"/>
      <c r="E787" s="2283"/>
      <c r="F787" s="2283"/>
      <c r="G787" s="1420" t="s">
        <v>1192</v>
      </c>
      <c r="H787" s="1229"/>
      <c r="I787" s="1420">
        <v>70</v>
      </c>
      <c r="J787" s="1426">
        <f t="shared" si="17"/>
        <v>0</v>
      </c>
      <c r="K787" s="553"/>
      <c r="L787" s="582"/>
      <c r="M787" s="1126">
        <v>39</v>
      </c>
      <c r="N787" s="551"/>
      <c r="O787" s="551"/>
      <c r="P787" s="551"/>
      <c r="Q787" s="551"/>
      <c r="R787" s="551"/>
      <c r="S787" s="551"/>
      <c r="T787" s="551"/>
      <c r="U787" s="551"/>
      <c r="V787" s="551"/>
      <c r="W787" s="551"/>
      <c r="X787" s="551"/>
      <c r="Y787" s="551"/>
      <c r="Z787" s="551"/>
      <c r="AA787" s="551"/>
      <c r="AB787" s="551"/>
    </row>
    <row r="788" spans="1:28" ht="15" hidden="1" customHeight="1" x14ac:dyDescent="0.25">
      <c r="A788" s="1127">
        <v>25</v>
      </c>
      <c r="B788" s="2283" t="s">
        <v>1203</v>
      </c>
      <c r="C788" s="2283"/>
      <c r="D788" s="2283"/>
      <c r="E788" s="2283"/>
      <c r="F788" s="2283"/>
      <c r="G788" s="1420" t="s">
        <v>1192</v>
      </c>
      <c r="H788" s="1229"/>
      <c r="I788" s="1420">
        <v>383</v>
      </c>
      <c r="J788" s="1426">
        <f t="shared" si="17"/>
        <v>0</v>
      </c>
      <c r="K788" s="553"/>
      <c r="L788" s="582"/>
      <c r="M788" s="1126">
        <v>40</v>
      </c>
      <c r="N788" s="551"/>
      <c r="O788" s="551"/>
      <c r="P788" s="551"/>
      <c r="Q788" s="551"/>
      <c r="R788" s="551"/>
      <c r="S788" s="551"/>
      <c r="T788" s="551"/>
      <c r="U788" s="551"/>
      <c r="V788" s="551"/>
      <c r="W788" s="551"/>
      <c r="X788" s="551"/>
      <c r="Y788" s="551"/>
      <c r="Z788" s="551"/>
      <c r="AA788" s="551"/>
      <c r="AB788" s="551"/>
    </row>
    <row r="789" spans="1:28" ht="15" hidden="1" customHeight="1" x14ac:dyDescent="0.25">
      <c r="A789" s="1127">
        <v>26</v>
      </c>
      <c r="B789" s="2283" t="s">
        <v>1204</v>
      </c>
      <c r="C789" s="2283"/>
      <c r="D789" s="2283"/>
      <c r="E789" s="2283"/>
      <c r="F789" s="2283"/>
      <c r="G789" s="1420" t="s">
        <v>245</v>
      </c>
      <c r="H789" s="1229"/>
      <c r="I789" s="1420">
        <v>135</v>
      </c>
      <c r="J789" s="1426">
        <f t="shared" si="17"/>
        <v>0</v>
      </c>
      <c r="K789" s="553"/>
      <c r="L789" s="582"/>
      <c r="M789" s="1126">
        <v>41</v>
      </c>
      <c r="N789" s="551"/>
      <c r="O789" s="551"/>
      <c r="P789" s="551"/>
      <c r="Q789" s="551"/>
      <c r="R789" s="551"/>
      <c r="S789" s="551"/>
      <c r="T789" s="551"/>
      <c r="U789" s="551"/>
      <c r="V789" s="551"/>
      <c r="W789" s="551"/>
      <c r="X789" s="551"/>
      <c r="Y789" s="551"/>
      <c r="Z789" s="551"/>
      <c r="AA789" s="551"/>
      <c r="AB789" s="551"/>
    </row>
    <row r="790" spans="1:28" ht="15" hidden="1" customHeight="1" x14ac:dyDescent="0.25">
      <c r="A790" s="1127">
        <v>27</v>
      </c>
      <c r="B790" s="2283" t="s">
        <v>1205</v>
      </c>
      <c r="C790" s="2283"/>
      <c r="D790" s="2283"/>
      <c r="E790" s="2283"/>
      <c r="F790" s="2283"/>
      <c r="G790" s="1420" t="s">
        <v>245</v>
      </c>
      <c r="H790" s="1229"/>
      <c r="I790" s="1420">
        <v>135</v>
      </c>
      <c r="J790" s="1426">
        <f t="shared" si="17"/>
        <v>0</v>
      </c>
      <c r="K790" s="553"/>
      <c r="L790" s="582"/>
      <c r="M790" s="1126">
        <v>42</v>
      </c>
      <c r="N790" s="551"/>
      <c r="O790" s="551"/>
      <c r="P790" s="551"/>
      <c r="Q790" s="551"/>
      <c r="R790" s="551"/>
      <c r="S790" s="551"/>
      <c r="T790" s="551"/>
      <c r="U790" s="551"/>
      <c r="V790" s="551"/>
      <c r="W790" s="551"/>
      <c r="X790" s="551"/>
      <c r="Y790" s="551"/>
      <c r="Z790" s="551"/>
      <c r="AA790" s="551"/>
      <c r="AB790" s="551"/>
    </row>
    <row r="791" spans="1:28" ht="15" hidden="1" customHeight="1" x14ac:dyDescent="0.25">
      <c r="A791" s="1127">
        <v>28</v>
      </c>
      <c r="B791" s="2283" t="s">
        <v>1206</v>
      </c>
      <c r="C791" s="2283"/>
      <c r="D791" s="2283"/>
      <c r="E791" s="2283"/>
      <c r="F791" s="2283"/>
      <c r="G791" s="1420" t="s">
        <v>245</v>
      </c>
      <c r="H791" s="1229"/>
      <c r="I791" s="1420">
        <v>308</v>
      </c>
      <c r="J791" s="1426">
        <f t="shared" si="17"/>
        <v>0</v>
      </c>
      <c r="K791" s="553"/>
      <c r="L791" s="582"/>
      <c r="M791" s="1126">
        <v>43</v>
      </c>
      <c r="N791" s="551"/>
      <c r="O791" s="551"/>
      <c r="P791" s="551"/>
      <c r="Q791" s="551"/>
      <c r="R791" s="551"/>
      <c r="S791" s="551"/>
      <c r="T791" s="551"/>
      <c r="U791" s="551"/>
      <c r="V791" s="551"/>
      <c r="W791" s="551"/>
      <c r="X791" s="551"/>
      <c r="Y791" s="551"/>
      <c r="Z791" s="551"/>
      <c r="AA791" s="551"/>
      <c r="AB791" s="551"/>
    </row>
    <row r="792" spans="1:28" ht="15" hidden="1" customHeight="1" x14ac:dyDescent="0.25">
      <c r="A792" s="1127">
        <v>29</v>
      </c>
      <c r="B792" s="2283" t="s">
        <v>1207</v>
      </c>
      <c r="C792" s="2283"/>
      <c r="D792" s="2283"/>
      <c r="E792" s="2283"/>
      <c r="F792" s="2283"/>
      <c r="G792" s="1420" t="s">
        <v>1192</v>
      </c>
      <c r="H792" s="1229"/>
      <c r="I792" s="1420">
        <v>759</v>
      </c>
      <c r="J792" s="1426">
        <f t="shared" si="17"/>
        <v>0</v>
      </c>
      <c r="K792" s="553"/>
      <c r="L792" s="582"/>
      <c r="M792" s="1126">
        <v>44</v>
      </c>
      <c r="N792" s="551"/>
      <c r="O792" s="551"/>
      <c r="P792" s="551"/>
      <c r="Q792" s="551"/>
      <c r="R792" s="551"/>
      <c r="S792" s="551"/>
      <c r="T792" s="551"/>
      <c r="U792" s="551"/>
      <c r="V792" s="551"/>
      <c r="W792" s="551"/>
      <c r="X792" s="551"/>
      <c r="Y792" s="551"/>
      <c r="Z792" s="551"/>
      <c r="AA792" s="551"/>
      <c r="AB792" s="551"/>
    </row>
    <row r="793" spans="1:28" ht="15" hidden="1" customHeight="1" x14ac:dyDescent="0.25">
      <c r="A793" s="1127">
        <v>30</v>
      </c>
      <c r="B793" s="2283" t="s">
        <v>1208</v>
      </c>
      <c r="C793" s="2283"/>
      <c r="D793" s="2283"/>
      <c r="E793" s="2283"/>
      <c r="F793" s="2283"/>
      <c r="G793" s="1420" t="s">
        <v>245</v>
      </c>
      <c r="H793" s="1229"/>
      <c r="I793" s="1420">
        <v>357</v>
      </c>
      <c r="J793" s="1426">
        <f t="shared" si="17"/>
        <v>0</v>
      </c>
      <c r="K793" s="553"/>
      <c r="L793" s="582"/>
      <c r="M793" s="1126">
        <v>45</v>
      </c>
      <c r="N793" s="551"/>
      <c r="O793" s="551"/>
      <c r="P793" s="551"/>
      <c r="Q793" s="551"/>
      <c r="R793" s="551"/>
      <c r="S793" s="551"/>
      <c r="T793" s="551"/>
      <c r="U793" s="551"/>
      <c r="V793" s="551"/>
      <c r="W793" s="551"/>
      <c r="X793" s="551"/>
      <c r="Y793" s="551"/>
      <c r="Z793" s="551"/>
      <c r="AA793" s="551"/>
      <c r="AB793" s="551"/>
    </row>
    <row r="794" spans="1:28" ht="15" hidden="1" customHeight="1" x14ac:dyDescent="0.25">
      <c r="A794" s="1127">
        <v>31</v>
      </c>
      <c r="B794" s="2283" t="s">
        <v>1209</v>
      </c>
      <c r="C794" s="2283"/>
      <c r="D794" s="2283"/>
      <c r="E794" s="2283"/>
      <c r="F794" s="2283"/>
      <c r="G794" s="1420" t="s">
        <v>245</v>
      </c>
      <c r="H794" s="1229"/>
      <c r="I794" s="1420">
        <v>357</v>
      </c>
      <c r="J794" s="1426">
        <f t="shared" si="17"/>
        <v>0</v>
      </c>
      <c r="K794" s="553"/>
      <c r="L794" s="582"/>
      <c r="M794" s="1126">
        <v>46</v>
      </c>
      <c r="N794" s="551"/>
      <c r="O794" s="551"/>
      <c r="P794" s="551"/>
      <c r="Q794" s="551"/>
      <c r="R794" s="551"/>
      <c r="S794" s="551"/>
      <c r="T794" s="551"/>
      <c r="U794" s="551"/>
      <c r="V794" s="551"/>
      <c r="W794" s="551"/>
      <c r="X794" s="551"/>
      <c r="Y794" s="551"/>
      <c r="Z794" s="551"/>
      <c r="AA794" s="551"/>
      <c r="AB794" s="551"/>
    </row>
    <row r="795" spans="1:28" ht="15" hidden="1" customHeight="1" x14ac:dyDescent="0.25">
      <c r="A795" s="1127">
        <v>32</v>
      </c>
      <c r="B795" s="2283" t="s">
        <v>1210</v>
      </c>
      <c r="C795" s="2283"/>
      <c r="D795" s="2283"/>
      <c r="E795" s="2283"/>
      <c r="F795" s="2283"/>
      <c r="G795" s="1420" t="s">
        <v>1192</v>
      </c>
      <c r="H795" s="1229"/>
      <c r="I795" s="1420">
        <v>802</v>
      </c>
      <c r="J795" s="1426">
        <f t="shared" si="17"/>
        <v>0</v>
      </c>
      <c r="K795" s="553"/>
      <c r="L795" s="582"/>
      <c r="M795" s="1126">
        <v>47</v>
      </c>
      <c r="N795" s="551"/>
      <c r="O795" s="551"/>
      <c r="P795" s="551"/>
      <c r="Q795" s="551"/>
      <c r="R795" s="551"/>
      <c r="S795" s="551"/>
      <c r="T795" s="551"/>
      <c r="U795" s="551"/>
      <c r="V795" s="551"/>
      <c r="W795" s="551"/>
      <c r="X795" s="551"/>
      <c r="Y795" s="551"/>
      <c r="Z795" s="551"/>
      <c r="AA795" s="551"/>
      <c r="AB795" s="551"/>
    </row>
    <row r="796" spans="1:28" ht="15" hidden="1" customHeight="1" x14ac:dyDescent="0.25">
      <c r="A796" s="1127">
        <v>33</v>
      </c>
      <c r="B796" s="2283" t="s">
        <v>1213</v>
      </c>
      <c r="C796" s="2283"/>
      <c r="D796" s="2283"/>
      <c r="E796" s="2283"/>
      <c r="F796" s="2283"/>
      <c r="G796" s="1420" t="s">
        <v>1192</v>
      </c>
      <c r="H796" s="1229"/>
      <c r="I796" s="1420">
        <v>1569</v>
      </c>
      <c r="J796" s="1426">
        <f t="shared" si="17"/>
        <v>0</v>
      </c>
      <c r="K796" s="553"/>
      <c r="L796" s="582"/>
      <c r="M796" s="1126">
        <v>48</v>
      </c>
      <c r="N796" s="551"/>
      <c r="O796" s="551"/>
      <c r="P796" s="551"/>
      <c r="Q796" s="551"/>
      <c r="R796" s="551"/>
      <c r="S796" s="551"/>
      <c r="T796" s="551"/>
      <c r="U796" s="551"/>
      <c r="V796" s="551"/>
      <c r="W796" s="551"/>
      <c r="X796" s="551"/>
      <c r="Y796" s="551"/>
      <c r="Z796" s="551"/>
      <c r="AA796" s="551"/>
      <c r="AB796" s="551"/>
    </row>
    <row r="797" spans="1:28" ht="15" hidden="1" customHeight="1" x14ac:dyDescent="0.25">
      <c r="A797" s="1127">
        <v>34</v>
      </c>
      <c r="B797" s="2283" t="s">
        <v>1211</v>
      </c>
      <c r="C797" s="2283"/>
      <c r="D797" s="2283"/>
      <c r="E797" s="2283"/>
      <c r="F797" s="2283"/>
      <c r="G797" s="1420" t="s">
        <v>1192</v>
      </c>
      <c r="H797" s="1229"/>
      <c r="I797" s="1420">
        <v>962</v>
      </c>
      <c r="J797" s="1426">
        <f t="shared" si="17"/>
        <v>0</v>
      </c>
      <c r="K797" s="553"/>
      <c r="L797" s="582"/>
      <c r="M797" s="1126">
        <v>49</v>
      </c>
      <c r="N797" s="551"/>
      <c r="O797" s="551"/>
      <c r="P797" s="551"/>
      <c r="Q797" s="551"/>
      <c r="R797" s="551"/>
      <c r="S797" s="551"/>
      <c r="T797" s="551"/>
      <c r="U797" s="551"/>
      <c r="V797" s="551"/>
      <c r="W797" s="551"/>
      <c r="X797" s="551"/>
      <c r="Y797" s="551"/>
      <c r="Z797" s="551"/>
      <c r="AA797" s="551"/>
      <c r="AB797" s="551"/>
    </row>
    <row r="798" spans="1:28" ht="15" hidden="1" customHeight="1" x14ac:dyDescent="0.25">
      <c r="A798" s="1127">
        <v>35</v>
      </c>
      <c r="B798" s="2283" t="s">
        <v>1212</v>
      </c>
      <c r="C798" s="2283"/>
      <c r="D798" s="2283"/>
      <c r="E798" s="2283"/>
      <c r="F798" s="2283"/>
      <c r="G798" s="1420" t="s">
        <v>1192</v>
      </c>
      <c r="H798" s="1229"/>
      <c r="I798" s="1420">
        <v>366</v>
      </c>
      <c r="J798" s="1426">
        <f t="shared" si="17"/>
        <v>0</v>
      </c>
      <c r="K798" s="553"/>
      <c r="L798" s="582"/>
      <c r="M798" s="1126">
        <v>50</v>
      </c>
      <c r="N798" s="551"/>
      <c r="O798" s="551"/>
      <c r="P798" s="551"/>
      <c r="Q798" s="551"/>
      <c r="R798" s="551"/>
      <c r="S798" s="551"/>
      <c r="T798" s="551"/>
      <c r="U798" s="551"/>
      <c r="V798" s="551"/>
      <c r="W798" s="551"/>
      <c r="X798" s="551"/>
      <c r="Y798" s="551"/>
      <c r="Z798" s="551"/>
      <c r="AA798" s="551"/>
      <c r="AB798" s="551"/>
    </row>
    <row r="799" spans="1:28" ht="15" hidden="1" customHeight="1" x14ac:dyDescent="0.25">
      <c r="A799" s="1127">
        <v>36</v>
      </c>
      <c r="B799" s="2283" t="s">
        <v>1214</v>
      </c>
      <c r="C799" s="2283"/>
      <c r="D799" s="2283"/>
      <c r="E799" s="2283"/>
      <c r="F799" s="2283"/>
      <c r="G799" s="1420" t="s">
        <v>1192</v>
      </c>
      <c r="H799" s="1229"/>
      <c r="I799" s="1420">
        <v>791</v>
      </c>
      <c r="J799" s="1426">
        <f t="shared" si="17"/>
        <v>0</v>
      </c>
      <c r="K799" s="553"/>
      <c r="L799" s="582"/>
      <c r="M799" s="1126">
        <v>51</v>
      </c>
      <c r="N799" s="551"/>
      <c r="O799" s="551"/>
      <c r="P799" s="551"/>
      <c r="Q799" s="551"/>
      <c r="R799" s="551"/>
      <c r="S799" s="551"/>
      <c r="T799" s="551"/>
      <c r="U799" s="551"/>
      <c r="V799" s="551"/>
      <c r="W799" s="551"/>
      <c r="X799" s="551"/>
      <c r="Y799" s="551"/>
      <c r="Z799" s="551"/>
      <c r="AA799" s="551"/>
      <c r="AB799" s="551"/>
    </row>
    <row r="800" spans="1:28" ht="15" hidden="1" customHeight="1" x14ac:dyDescent="0.25">
      <c r="A800" s="1127">
        <v>37</v>
      </c>
      <c r="B800" s="2283" t="s">
        <v>1215</v>
      </c>
      <c r="C800" s="2283"/>
      <c r="D800" s="2283"/>
      <c r="E800" s="2283"/>
      <c r="F800" s="2283"/>
      <c r="G800" s="1420" t="s">
        <v>1192</v>
      </c>
      <c r="H800" s="1229"/>
      <c r="I800" s="1420">
        <v>1016</v>
      </c>
      <c r="J800" s="1426">
        <f t="shared" si="17"/>
        <v>0</v>
      </c>
      <c r="K800" s="553"/>
      <c r="L800" s="582"/>
      <c r="M800" s="1126">
        <v>52</v>
      </c>
      <c r="N800" s="551"/>
      <c r="O800" s="551"/>
      <c r="P800" s="551"/>
      <c r="Q800" s="551"/>
      <c r="R800" s="551"/>
      <c r="S800" s="551"/>
      <c r="T800" s="551"/>
      <c r="U800" s="551"/>
      <c r="V800" s="551"/>
      <c r="W800" s="551"/>
      <c r="X800" s="551"/>
      <c r="Y800" s="551"/>
      <c r="Z800" s="551"/>
      <c r="AA800" s="551"/>
      <c r="AB800" s="551"/>
    </row>
    <row r="801" spans="1:28" ht="15" hidden="1" customHeight="1" x14ac:dyDescent="0.25">
      <c r="A801" s="1127">
        <v>38</v>
      </c>
      <c r="B801" s="2283" t="s">
        <v>1216</v>
      </c>
      <c r="C801" s="2283"/>
      <c r="D801" s="2283"/>
      <c r="E801" s="2283"/>
      <c r="F801" s="2283"/>
      <c r="G801" s="1420" t="s">
        <v>1192</v>
      </c>
      <c r="H801" s="1229"/>
      <c r="I801" s="1420">
        <v>1016</v>
      </c>
      <c r="J801" s="1426">
        <f t="shared" si="17"/>
        <v>0</v>
      </c>
      <c r="K801" s="553"/>
      <c r="L801" s="582"/>
      <c r="M801" s="1126">
        <v>53</v>
      </c>
      <c r="N801" s="551"/>
      <c r="O801" s="551"/>
      <c r="P801" s="551"/>
      <c r="Q801" s="551"/>
      <c r="R801" s="551"/>
      <c r="S801" s="551"/>
      <c r="T801" s="551"/>
      <c r="U801" s="551"/>
      <c r="V801" s="551"/>
      <c r="W801" s="551"/>
      <c r="X801" s="551"/>
      <c r="Y801" s="551"/>
      <c r="Z801" s="551"/>
      <c r="AA801" s="551"/>
      <c r="AB801" s="551"/>
    </row>
    <row r="802" spans="1:28" ht="15" hidden="1" customHeight="1" x14ac:dyDescent="0.25">
      <c r="A802" s="1127">
        <v>39</v>
      </c>
      <c r="B802" s="2283" t="s">
        <v>1217</v>
      </c>
      <c r="C802" s="2283"/>
      <c r="D802" s="2283"/>
      <c r="E802" s="2283"/>
      <c r="F802" s="2283"/>
      <c r="G802" s="1420" t="s">
        <v>1192</v>
      </c>
      <c r="H802" s="1229"/>
      <c r="I802" s="1420">
        <v>1131</v>
      </c>
      <c r="J802" s="1426">
        <f t="shared" si="17"/>
        <v>0</v>
      </c>
      <c r="K802" s="553"/>
      <c r="L802" s="582"/>
      <c r="M802" s="1126">
        <v>54</v>
      </c>
      <c r="N802" s="551"/>
      <c r="O802" s="551"/>
      <c r="P802" s="551"/>
      <c r="Q802" s="551"/>
      <c r="R802" s="551"/>
      <c r="S802" s="551"/>
      <c r="T802" s="551"/>
      <c r="U802" s="551"/>
      <c r="V802" s="551"/>
      <c r="W802" s="551"/>
      <c r="X802" s="551"/>
      <c r="Y802" s="551"/>
      <c r="Z802" s="551"/>
      <c r="AA802" s="551"/>
      <c r="AB802" s="551"/>
    </row>
    <row r="803" spans="1:28" ht="15" hidden="1" customHeight="1" x14ac:dyDescent="0.25">
      <c r="A803" s="1127">
        <v>40</v>
      </c>
      <c r="B803" s="2283" t="s">
        <v>1218</v>
      </c>
      <c r="C803" s="2283"/>
      <c r="D803" s="2283"/>
      <c r="E803" s="2283"/>
      <c r="F803" s="2283"/>
      <c r="G803" s="1420" t="s">
        <v>1192</v>
      </c>
      <c r="H803" s="1229"/>
      <c r="I803" s="1420">
        <v>50</v>
      </c>
      <c r="J803" s="1426">
        <f t="shared" si="17"/>
        <v>0</v>
      </c>
      <c r="K803" s="553"/>
      <c r="L803" s="582"/>
      <c r="M803" s="1126">
        <v>55</v>
      </c>
      <c r="N803" s="551"/>
      <c r="O803" s="551"/>
      <c r="P803" s="551"/>
      <c r="Q803" s="551"/>
      <c r="R803" s="551"/>
      <c r="S803" s="551"/>
      <c r="T803" s="551"/>
      <c r="U803" s="551"/>
      <c r="V803" s="551"/>
      <c r="W803" s="551"/>
      <c r="X803" s="551"/>
      <c r="Y803" s="551"/>
      <c r="Z803" s="551"/>
      <c r="AA803" s="551"/>
      <c r="AB803" s="551"/>
    </row>
    <row r="804" spans="1:28" ht="15" hidden="1" customHeight="1" x14ac:dyDescent="0.25">
      <c r="A804" s="1127">
        <v>41</v>
      </c>
      <c r="B804" s="2283" t="s">
        <v>1219</v>
      </c>
      <c r="C804" s="2283"/>
      <c r="D804" s="2283"/>
      <c r="E804" s="2283"/>
      <c r="F804" s="2283"/>
      <c r="G804" s="1420" t="s">
        <v>1192</v>
      </c>
      <c r="H804" s="1229"/>
      <c r="I804" s="1420">
        <v>52</v>
      </c>
      <c r="J804" s="1426">
        <f t="shared" si="17"/>
        <v>0</v>
      </c>
      <c r="K804" s="553"/>
      <c r="L804" s="582"/>
      <c r="M804" s="1126">
        <v>56</v>
      </c>
      <c r="N804" s="551"/>
      <c r="O804" s="551"/>
      <c r="P804" s="551"/>
      <c r="Q804" s="551"/>
      <c r="R804" s="551"/>
      <c r="S804" s="551"/>
      <c r="T804" s="551"/>
      <c r="U804" s="551"/>
      <c r="V804" s="551"/>
      <c r="W804" s="551"/>
      <c r="X804" s="551"/>
      <c r="Y804" s="551"/>
      <c r="Z804" s="551"/>
      <c r="AA804" s="551"/>
      <c r="AB804" s="551"/>
    </row>
    <row r="805" spans="1:28" ht="15" hidden="1" customHeight="1" x14ac:dyDescent="0.25">
      <c r="A805" s="1127">
        <v>42</v>
      </c>
      <c r="B805" s="2283" t="s">
        <v>1220</v>
      </c>
      <c r="C805" s="2283"/>
      <c r="D805" s="2283"/>
      <c r="E805" s="2283"/>
      <c r="F805" s="2283"/>
      <c r="G805" s="1420" t="s">
        <v>1192</v>
      </c>
      <c r="H805" s="1229"/>
      <c r="I805" s="1420">
        <v>452</v>
      </c>
      <c r="J805" s="1426">
        <f t="shared" si="17"/>
        <v>0</v>
      </c>
      <c r="K805" s="553"/>
      <c r="L805" s="582"/>
      <c r="M805" s="1126">
        <v>57</v>
      </c>
      <c r="N805" s="551"/>
      <c r="O805" s="551"/>
      <c r="P805" s="551"/>
      <c r="Q805" s="551"/>
      <c r="R805" s="551"/>
      <c r="S805" s="551"/>
      <c r="T805" s="551"/>
      <c r="U805" s="551"/>
      <c r="V805" s="551"/>
      <c r="W805" s="551"/>
      <c r="X805" s="551"/>
      <c r="Y805" s="551"/>
      <c r="Z805" s="551"/>
      <c r="AA805" s="551"/>
      <c r="AB805" s="551"/>
    </row>
    <row r="806" spans="1:28" ht="15" hidden="1" customHeight="1" x14ac:dyDescent="0.25">
      <c r="A806" s="1127">
        <v>43</v>
      </c>
      <c r="B806" s="2283" t="s">
        <v>1221</v>
      </c>
      <c r="C806" s="2283"/>
      <c r="D806" s="2283"/>
      <c r="E806" s="2283"/>
      <c r="F806" s="2283"/>
      <c r="G806" s="1420" t="s">
        <v>1192</v>
      </c>
      <c r="H806" s="1229"/>
      <c r="I806" s="1420">
        <v>1042</v>
      </c>
      <c r="J806" s="1426">
        <f t="shared" si="17"/>
        <v>0</v>
      </c>
      <c r="K806" s="553"/>
      <c r="L806" s="582"/>
      <c r="M806" s="1126">
        <v>58</v>
      </c>
      <c r="N806" s="551"/>
      <c r="O806" s="551"/>
      <c r="P806" s="551"/>
      <c r="Q806" s="551"/>
      <c r="R806" s="551"/>
      <c r="S806" s="551"/>
      <c r="T806" s="551"/>
      <c r="U806" s="551"/>
      <c r="V806" s="551"/>
      <c r="W806" s="551"/>
      <c r="X806" s="551"/>
      <c r="Y806" s="551"/>
      <c r="Z806" s="551"/>
      <c r="AA806" s="551"/>
      <c r="AB806" s="551"/>
    </row>
    <row r="807" spans="1:28" ht="15" hidden="1" customHeight="1" x14ac:dyDescent="0.25">
      <c r="A807" s="1127">
        <v>44</v>
      </c>
      <c r="B807" s="2283" t="s">
        <v>1222</v>
      </c>
      <c r="C807" s="2283"/>
      <c r="D807" s="2283"/>
      <c r="E807" s="2283"/>
      <c r="F807" s="2283"/>
      <c r="G807" s="1420" t="s">
        <v>245</v>
      </c>
      <c r="H807" s="1229"/>
      <c r="I807" s="1420">
        <v>85660</v>
      </c>
      <c r="J807" s="1426">
        <f t="shared" si="17"/>
        <v>0</v>
      </c>
      <c r="K807" s="553"/>
      <c r="L807" s="582"/>
      <c r="M807" s="1126">
        <v>59</v>
      </c>
      <c r="N807" s="551"/>
      <c r="O807" s="551"/>
      <c r="P807" s="551"/>
      <c r="Q807" s="551"/>
      <c r="R807" s="551"/>
      <c r="S807" s="551"/>
      <c r="T807" s="551"/>
      <c r="U807" s="551"/>
      <c r="V807" s="551"/>
      <c r="W807" s="551"/>
      <c r="X807" s="551"/>
      <c r="Y807" s="551"/>
      <c r="Z807" s="551"/>
      <c r="AA807" s="551"/>
      <c r="AB807" s="551"/>
    </row>
    <row r="808" spans="1:28" ht="15" hidden="1" customHeight="1" x14ac:dyDescent="0.25">
      <c r="A808" s="1127">
        <v>45</v>
      </c>
      <c r="B808" s="2283" t="s">
        <v>1226</v>
      </c>
      <c r="C808" s="2283"/>
      <c r="D808" s="2283"/>
      <c r="E808" s="2283"/>
      <c r="F808" s="2283"/>
      <c r="G808" s="1420" t="s">
        <v>245</v>
      </c>
      <c r="H808" s="1229"/>
      <c r="I808" s="1420">
        <v>85700</v>
      </c>
      <c r="J808" s="1426">
        <f t="shared" si="17"/>
        <v>0</v>
      </c>
      <c r="K808" s="553"/>
      <c r="L808" s="582"/>
      <c r="M808" s="1126">
        <v>60</v>
      </c>
      <c r="N808" s="551"/>
      <c r="O808" s="551"/>
      <c r="P808" s="551"/>
      <c r="Q808" s="551"/>
      <c r="R808" s="551"/>
      <c r="S808" s="551"/>
      <c r="T808" s="551"/>
      <c r="U808" s="551"/>
      <c r="V808" s="551"/>
      <c r="W808" s="551"/>
      <c r="X808" s="551"/>
      <c r="Y808" s="551"/>
      <c r="Z808" s="551"/>
      <c r="AA808" s="551"/>
      <c r="AB808" s="551"/>
    </row>
    <row r="809" spans="1:28" ht="28.5" hidden="1" customHeight="1" x14ac:dyDescent="0.25">
      <c r="A809" s="1141">
        <v>46</v>
      </c>
      <c r="B809" s="1986" t="s">
        <v>1308</v>
      </c>
      <c r="C809" s="1986"/>
      <c r="D809" s="1986"/>
      <c r="E809" s="1986"/>
      <c r="F809" s="1986"/>
      <c r="G809" s="1426" t="s">
        <v>1310</v>
      </c>
      <c r="H809" s="1230"/>
      <c r="I809" s="1426">
        <v>44000</v>
      </c>
      <c r="J809" s="1426">
        <f t="shared" si="17"/>
        <v>0</v>
      </c>
      <c r="K809" s="553"/>
      <c r="L809" s="582"/>
      <c r="M809" s="1126">
        <v>61</v>
      </c>
      <c r="N809" s="551"/>
      <c r="O809" s="551"/>
      <c r="P809" s="551"/>
      <c r="Q809" s="551"/>
      <c r="R809" s="551"/>
      <c r="S809" s="551"/>
      <c r="T809" s="551"/>
      <c r="U809" s="551"/>
      <c r="V809" s="551"/>
      <c r="W809" s="551"/>
      <c r="X809" s="551"/>
      <c r="Y809" s="551"/>
      <c r="Z809" s="551"/>
      <c r="AA809" s="551"/>
      <c r="AB809" s="551"/>
    </row>
    <row r="810" spans="1:28" ht="15" hidden="1" customHeight="1" x14ac:dyDescent="0.25">
      <c r="A810" s="1141">
        <v>47</v>
      </c>
      <c r="B810" s="1986" t="s">
        <v>1309</v>
      </c>
      <c r="C810" s="1986"/>
      <c r="D810" s="1986"/>
      <c r="E810" s="1986"/>
      <c r="F810" s="1986"/>
      <c r="G810" s="1426" t="s">
        <v>1310</v>
      </c>
      <c r="H810" s="1230"/>
      <c r="I810" s="1426">
        <v>28000</v>
      </c>
      <c r="J810" s="1426">
        <f t="shared" si="17"/>
        <v>0</v>
      </c>
      <c r="K810" s="553"/>
      <c r="L810" s="582"/>
      <c r="M810" s="1126">
        <v>62</v>
      </c>
      <c r="N810" s="551"/>
      <c r="O810" s="551"/>
      <c r="P810" s="551"/>
      <c r="Q810" s="551"/>
      <c r="R810" s="551"/>
      <c r="S810" s="551"/>
      <c r="T810" s="551"/>
      <c r="U810" s="551"/>
      <c r="V810" s="551"/>
      <c r="W810" s="551"/>
      <c r="X810" s="551"/>
      <c r="Y810" s="551"/>
      <c r="Z810" s="551"/>
      <c r="AA810" s="551"/>
      <c r="AB810" s="551"/>
    </row>
    <row r="811" spans="1:28" ht="15" hidden="1" customHeight="1" x14ac:dyDescent="0.25">
      <c r="A811" s="1127">
        <v>48</v>
      </c>
      <c r="B811" s="2283" t="s">
        <v>1304</v>
      </c>
      <c r="C811" s="2283"/>
      <c r="D811" s="2283"/>
      <c r="E811" s="2283"/>
      <c r="F811" s="2283"/>
      <c r="G811" s="1420" t="s">
        <v>245</v>
      </c>
      <c r="H811" s="1229"/>
      <c r="I811" s="1420">
        <v>2235</v>
      </c>
      <c r="J811" s="1426">
        <f t="shared" si="17"/>
        <v>0</v>
      </c>
      <c r="K811" s="553"/>
      <c r="L811" s="582"/>
      <c r="M811" s="1126">
        <v>63</v>
      </c>
      <c r="N811" s="551"/>
      <c r="O811" s="551"/>
      <c r="P811" s="551"/>
      <c r="Q811" s="551"/>
      <c r="R811" s="551"/>
      <c r="S811" s="551"/>
      <c r="T811" s="551"/>
      <c r="U811" s="551"/>
      <c r="V811" s="551"/>
      <c r="W811" s="551"/>
      <c r="X811" s="551"/>
      <c r="Y811" s="551"/>
      <c r="Z811" s="551"/>
      <c r="AA811" s="551"/>
      <c r="AB811" s="551"/>
    </row>
    <row r="812" spans="1:28" ht="15" hidden="1" customHeight="1" x14ac:dyDescent="0.25">
      <c r="A812" s="1127">
        <v>49</v>
      </c>
      <c r="B812" s="2283" t="s">
        <v>1305</v>
      </c>
      <c r="C812" s="2283"/>
      <c r="D812" s="2283"/>
      <c r="E812" s="2283"/>
      <c r="F812" s="2283"/>
      <c r="G812" s="1420" t="s">
        <v>245</v>
      </c>
      <c r="H812" s="1229"/>
      <c r="I812" s="1420">
        <v>825</v>
      </c>
      <c r="J812" s="1426">
        <f t="shared" si="17"/>
        <v>0</v>
      </c>
      <c r="K812" s="553"/>
      <c r="L812" s="582"/>
      <c r="M812" s="1126">
        <v>64</v>
      </c>
      <c r="N812" s="551"/>
      <c r="O812" s="551"/>
      <c r="P812" s="551"/>
      <c r="Q812" s="551"/>
      <c r="R812" s="551"/>
      <c r="S812" s="551"/>
      <c r="T812" s="551"/>
      <c r="U812" s="551"/>
      <c r="V812" s="551"/>
      <c r="W812" s="551"/>
      <c r="X812" s="551"/>
      <c r="Y812" s="551"/>
      <c r="Z812" s="551"/>
      <c r="AA812" s="551"/>
      <c r="AB812" s="551"/>
    </row>
    <row r="813" spans="1:28" ht="15" hidden="1" customHeight="1" x14ac:dyDescent="0.25">
      <c r="A813" s="1127">
        <v>50</v>
      </c>
      <c r="B813" s="2283" t="s">
        <v>1363</v>
      </c>
      <c r="C813" s="2283"/>
      <c r="D813" s="2283"/>
      <c r="E813" s="2283"/>
      <c r="F813" s="2283"/>
      <c r="G813" s="1420" t="s">
        <v>245</v>
      </c>
      <c r="H813" s="1229"/>
      <c r="I813" s="1420">
        <v>5500</v>
      </c>
      <c r="J813" s="1426">
        <f t="shared" si="17"/>
        <v>0</v>
      </c>
      <c r="K813" s="553"/>
      <c r="L813" s="582"/>
      <c r="M813" s="1126">
        <v>65</v>
      </c>
      <c r="N813" s="551"/>
      <c r="O813" s="551"/>
      <c r="P813" s="551"/>
      <c r="Q813" s="551"/>
      <c r="R813" s="551"/>
      <c r="S813" s="551"/>
      <c r="T813" s="551"/>
      <c r="U813" s="551"/>
      <c r="V813" s="551"/>
      <c r="W813" s="551"/>
      <c r="X813" s="551"/>
      <c r="Y813" s="551"/>
      <c r="Z813" s="551"/>
      <c r="AA813" s="551"/>
      <c r="AB813" s="551"/>
    </row>
    <row r="814" spans="1:28" ht="15" hidden="1" customHeight="1" x14ac:dyDescent="0.25">
      <c r="A814" s="1127">
        <v>51</v>
      </c>
      <c r="B814" s="2283" t="s">
        <v>1364</v>
      </c>
      <c r="C814" s="2283"/>
      <c r="D814" s="2283"/>
      <c r="E814" s="2283"/>
      <c r="F814" s="2283"/>
      <c r="G814" s="1420" t="s">
        <v>245</v>
      </c>
      <c r="H814" s="1229"/>
      <c r="I814" s="1420">
        <v>202</v>
      </c>
      <c r="J814" s="1426">
        <f t="shared" si="17"/>
        <v>0</v>
      </c>
      <c r="K814" s="553"/>
      <c r="L814" s="582"/>
      <c r="M814" s="1126">
        <v>66</v>
      </c>
      <c r="N814" s="551"/>
      <c r="O814" s="551"/>
      <c r="P814" s="551"/>
      <c r="Q814" s="551"/>
      <c r="R814" s="551"/>
      <c r="S814" s="551"/>
      <c r="T814" s="551"/>
      <c r="U814" s="551"/>
      <c r="V814" s="551"/>
      <c r="W814" s="551"/>
      <c r="X814" s="551"/>
      <c r="Y814" s="551"/>
      <c r="Z814" s="551"/>
      <c r="AA814" s="551"/>
      <c r="AB814" s="551"/>
    </row>
    <row r="815" spans="1:28" ht="15" hidden="1" customHeight="1" x14ac:dyDescent="0.25">
      <c r="A815" s="1127">
        <v>52</v>
      </c>
      <c r="B815" s="2283" t="s">
        <v>1365</v>
      </c>
      <c r="C815" s="2283"/>
      <c r="D815" s="2283"/>
      <c r="E815" s="2283"/>
      <c r="F815" s="2283"/>
      <c r="G815" s="1420" t="s">
        <v>245</v>
      </c>
      <c r="H815" s="1229"/>
      <c r="I815" s="1420">
        <v>1497</v>
      </c>
      <c r="J815" s="1426">
        <f t="shared" si="17"/>
        <v>0</v>
      </c>
      <c r="K815" s="553"/>
      <c r="L815" s="582"/>
      <c r="M815" s="1126">
        <v>67</v>
      </c>
      <c r="N815" s="551"/>
      <c r="O815" s="551"/>
      <c r="P815" s="551"/>
      <c r="Q815" s="551"/>
      <c r="R815" s="551"/>
      <c r="S815" s="551"/>
      <c r="T815" s="551"/>
      <c r="U815" s="551"/>
      <c r="V815" s="551"/>
      <c r="W815" s="551"/>
      <c r="X815" s="551"/>
      <c r="Y815" s="551"/>
      <c r="Z815" s="551"/>
      <c r="AA815" s="551"/>
      <c r="AB815" s="551"/>
    </row>
    <row r="816" spans="1:28" ht="15" hidden="1" customHeight="1" x14ac:dyDescent="0.25">
      <c r="A816" s="2344" t="s">
        <v>39</v>
      </c>
      <c r="B816" s="2345"/>
      <c r="C816" s="2345"/>
      <c r="D816" s="2345"/>
      <c r="E816" s="2345"/>
      <c r="F816" s="2345"/>
      <c r="G816" s="2345"/>
      <c r="H816" s="2345"/>
      <c r="I816" s="2346"/>
      <c r="J816" s="1192">
        <f>SUM(J764:J815)</f>
        <v>0</v>
      </c>
      <c r="K816" s="551"/>
      <c r="L816" s="600"/>
      <c r="M816" s="1126">
        <v>68</v>
      </c>
      <c r="N816" s="586"/>
      <c r="O816" s="586"/>
      <c r="P816" s="586"/>
      <c r="Q816" s="559"/>
      <c r="R816" s="514"/>
      <c r="S816" s="559"/>
      <c r="T816" s="559"/>
      <c r="U816" s="551"/>
      <c r="V816" s="551"/>
      <c r="W816" s="551"/>
      <c r="X816" s="551"/>
      <c r="Y816" s="551"/>
      <c r="Z816" s="551"/>
      <c r="AA816" s="551"/>
      <c r="AB816" s="551"/>
    </row>
    <row r="817" spans="1:28" ht="15" hidden="1" customHeight="1" x14ac:dyDescent="0.25">
      <c r="A817" s="507"/>
      <c r="B817" s="504"/>
      <c r="C817" s="504"/>
      <c r="D817" s="504"/>
      <c r="E817" s="509"/>
      <c r="K817" s="553"/>
      <c r="L817" s="582"/>
      <c r="M817" s="1126">
        <v>69</v>
      </c>
      <c r="N817" s="551"/>
      <c r="O817" s="551"/>
      <c r="P817" s="551"/>
      <c r="Q817" s="551"/>
      <c r="R817" s="551"/>
      <c r="S817" s="551"/>
      <c r="T817" s="551"/>
      <c r="U817" s="551"/>
      <c r="V817" s="551"/>
      <c r="W817" s="551"/>
      <c r="X817" s="551"/>
      <c r="Y817" s="551"/>
      <c r="Z817" s="551"/>
      <c r="AA817" s="551"/>
      <c r="AB817" s="551"/>
    </row>
    <row r="818" spans="1:28" ht="15" hidden="1" customHeight="1" x14ac:dyDescent="0.25">
      <c r="A818" s="1449" t="s">
        <v>1174</v>
      </c>
      <c r="K818" s="553"/>
      <c r="L818" s="582"/>
      <c r="M818" s="1126">
        <v>70</v>
      </c>
      <c r="N818" s="551"/>
      <c r="O818" s="551"/>
      <c r="P818" s="551"/>
      <c r="Q818" s="551"/>
      <c r="R818" s="551"/>
      <c r="S818" s="551"/>
      <c r="T818" s="551"/>
      <c r="U818" s="551"/>
      <c r="V818" s="551"/>
      <c r="W818" s="551"/>
      <c r="X818" s="551"/>
      <c r="Y818" s="551"/>
      <c r="Z818" s="551"/>
      <c r="AA818" s="551"/>
      <c r="AB818" s="551"/>
    </row>
    <row r="819" spans="1:28" ht="15" hidden="1" customHeight="1" x14ac:dyDescent="0.25">
      <c r="A819" s="2170" t="s">
        <v>8</v>
      </c>
      <c r="B819" s="2170" t="s">
        <v>35</v>
      </c>
      <c r="C819" s="2170"/>
      <c r="D819" s="2170"/>
      <c r="E819" s="2170"/>
      <c r="F819" s="2170"/>
      <c r="G819" s="2170" t="s">
        <v>61</v>
      </c>
      <c r="H819" s="2193" t="s">
        <v>735</v>
      </c>
      <c r="I819" s="2240"/>
      <c r="J819" s="2179"/>
      <c r="K819" s="553"/>
      <c r="L819" s="582"/>
      <c r="M819" s="1126">
        <v>71</v>
      </c>
      <c r="N819" s="551"/>
      <c r="O819" s="551"/>
      <c r="P819" s="551"/>
      <c r="Q819" s="551"/>
      <c r="R819" s="551"/>
      <c r="S819" s="551"/>
      <c r="T819" s="551"/>
      <c r="U819" s="551"/>
      <c r="V819" s="551"/>
      <c r="W819" s="551"/>
      <c r="X819" s="551"/>
      <c r="Y819" s="551"/>
      <c r="Z819" s="551"/>
      <c r="AA819" s="551"/>
      <c r="AB819" s="551"/>
    </row>
    <row r="820" spans="1:28" ht="30" hidden="1" customHeight="1" x14ac:dyDescent="0.25">
      <c r="A820" s="2170"/>
      <c r="B820" s="2170"/>
      <c r="C820" s="2170"/>
      <c r="D820" s="2170"/>
      <c r="E820" s="2170"/>
      <c r="F820" s="2170"/>
      <c r="G820" s="2170"/>
      <c r="H820" s="1410" t="s">
        <v>248</v>
      </c>
      <c r="I820" s="1420" t="s">
        <v>264</v>
      </c>
      <c r="J820" s="1420" t="s">
        <v>256</v>
      </c>
      <c r="K820" s="553"/>
      <c r="L820" s="582"/>
      <c r="M820" s="1126">
        <v>72</v>
      </c>
      <c r="N820" s="551"/>
      <c r="O820" s="551"/>
      <c r="P820" s="551"/>
      <c r="Q820" s="551"/>
      <c r="R820" s="551"/>
      <c r="S820" s="551"/>
      <c r="T820" s="551"/>
      <c r="U820" s="551"/>
      <c r="V820" s="551"/>
      <c r="W820" s="551"/>
      <c r="X820" s="551"/>
      <c r="Y820" s="551"/>
      <c r="Z820" s="551"/>
      <c r="AA820" s="551"/>
      <c r="AB820" s="551"/>
    </row>
    <row r="821" spans="1:28" ht="15" hidden="1" customHeight="1" x14ac:dyDescent="0.25">
      <c r="A821" s="1127">
        <v>1</v>
      </c>
      <c r="B821" s="2283" t="s">
        <v>1445</v>
      </c>
      <c r="C821" s="2283"/>
      <c r="D821" s="2283"/>
      <c r="E821" s="2283"/>
      <c r="F821" s="2283"/>
      <c r="G821" s="1420" t="s">
        <v>304</v>
      </c>
      <c r="H821" s="1229"/>
      <c r="I821" s="1231">
        <v>2200</v>
      </c>
      <c r="J821" s="1426">
        <f>H821*I821</f>
        <v>0</v>
      </c>
      <c r="K821" s="553"/>
      <c r="L821" s="582"/>
      <c r="M821" s="1126">
        <v>73</v>
      </c>
      <c r="N821" s="551"/>
      <c r="O821" s="551"/>
      <c r="P821" s="551"/>
      <c r="Q821" s="551"/>
      <c r="R821" s="551"/>
      <c r="S821" s="551"/>
      <c r="T821" s="551"/>
      <c r="U821" s="551"/>
      <c r="V821" s="551"/>
      <c r="W821" s="551"/>
      <c r="X821" s="551"/>
      <c r="Y821" s="551"/>
      <c r="Z821" s="551"/>
      <c r="AA821" s="551"/>
      <c r="AB821" s="551"/>
    </row>
    <row r="822" spans="1:28" ht="15" hidden="1" customHeight="1" x14ac:dyDescent="0.25">
      <c r="A822" s="1127">
        <v>9</v>
      </c>
      <c r="B822" s="2283" t="s">
        <v>1446</v>
      </c>
      <c r="C822" s="2283"/>
      <c r="D822" s="2283"/>
      <c r="E822" s="2283"/>
      <c r="F822" s="2283"/>
      <c r="G822" s="1420" t="s">
        <v>304</v>
      </c>
      <c r="H822" s="1229"/>
      <c r="I822" s="1231">
        <v>2234</v>
      </c>
      <c r="J822" s="1426">
        <f>H822*I822</f>
        <v>0</v>
      </c>
      <c r="K822" s="553"/>
      <c r="L822" s="582"/>
      <c r="M822" s="1126">
        <v>74</v>
      </c>
      <c r="N822" s="551"/>
      <c r="O822" s="551"/>
      <c r="P822" s="551"/>
      <c r="Q822" s="551"/>
      <c r="R822" s="551"/>
      <c r="S822" s="551"/>
      <c r="T822" s="551"/>
      <c r="U822" s="551"/>
      <c r="V822" s="551"/>
      <c r="W822" s="551"/>
      <c r="X822" s="551"/>
      <c r="Y822" s="551"/>
      <c r="Z822" s="551"/>
      <c r="AA822" s="551"/>
      <c r="AB822" s="551"/>
    </row>
    <row r="823" spans="1:28" ht="15" hidden="1" customHeight="1" x14ac:dyDescent="0.25">
      <c r="A823" s="1127">
        <v>13</v>
      </c>
      <c r="B823" s="2283" t="s">
        <v>1447</v>
      </c>
      <c r="C823" s="2283"/>
      <c r="D823" s="2283"/>
      <c r="E823" s="2283"/>
      <c r="F823" s="2283"/>
      <c r="G823" s="1420" t="s">
        <v>716</v>
      </c>
      <c r="H823" s="1229"/>
      <c r="I823" s="1231">
        <v>2309</v>
      </c>
      <c r="J823" s="1426">
        <f>H823*I823</f>
        <v>0</v>
      </c>
      <c r="K823" s="553"/>
      <c r="L823" s="582"/>
      <c r="M823" s="1126">
        <v>75</v>
      </c>
      <c r="N823" s="551"/>
      <c r="O823" s="551"/>
      <c r="P823" s="551"/>
      <c r="Q823" s="551"/>
      <c r="R823" s="551"/>
      <c r="S823" s="551"/>
      <c r="T823" s="551"/>
      <c r="U823" s="551"/>
      <c r="V823" s="551"/>
      <c r="W823" s="551"/>
      <c r="X823" s="551"/>
      <c r="Y823" s="551"/>
      <c r="Z823" s="551"/>
      <c r="AA823" s="551"/>
      <c r="AB823" s="551"/>
    </row>
    <row r="824" spans="1:28" ht="15" hidden="1" customHeight="1" x14ac:dyDescent="0.25">
      <c r="A824" s="1127">
        <v>17</v>
      </c>
      <c r="B824" s="2283" t="s">
        <v>1304</v>
      </c>
      <c r="C824" s="2283"/>
      <c r="D824" s="2283"/>
      <c r="E824" s="2283"/>
      <c r="F824" s="2283"/>
      <c r="G824" s="1420" t="s">
        <v>304</v>
      </c>
      <c r="H824" s="1229"/>
      <c r="I824" s="1231">
        <v>1304</v>
      </c>
      <c r="J824" s="1426">
        <f>H824*I824</f>
        <v>0</v>
      </c>
      <c r="K824" s="553"/>
      <c r="L824" s="582"/>
      <c r="M824" s="1126">
        <v>76</v>
      </c>
      <c r="N824" s="551"/>
      <c r="O824" s="551"/>
      <c r="P824" s="551"/>
      <c r="Q824" s="551"/>
      <c r="R824" s="551"/>
      <c r="S824" s="551"/>
      <c r="T824" s="551"/>
      <c r="U824" s="551"/>
      <c r="V824" s="551"/>
      <c r="W824" s="551"/>
      <c r="X824" s="551"/>
      <c r="Y824" s="551"/>
      <c r="Z824" s="551"/>
      <c r="AA824" s="551"/>
      <c r="AB824" s="551"/>
    </row>
    <row r="825" spans="1:28" ht="15" hidden="1" customHeight="1" x14ac:dyDescent="0.25">
      <c r="A825" s="2344" t="s">
        <v>39</v>
      </c>
      <c r="B825" s="2345"/>
      <c r="C825" s="2345"/>
      <c r="D825" s="2345"/>
      <c r="E825" s="2345"/>
      <c r="F825" s="2345"/>
      <c r="G825" s="2345"/>
      <c r="H825" s="2345"/>
      <c r="I825" s="2346"/>
      <c r="J825" s="1192">
        <f>SUM(J821:J824)</f>
        <v>0</v>
      </c>
      <c r="K825" s="551"/>
      <c r="L825" s="946"/>
      <c r="M825" s="1126">
        <v>77</v>
      </c>
      <c r="N825" s="551"/>
      <c r="O825" s="586"/>
      <c r="P825" s="586"/>
      <c r="Q825" s="559"/>
      <c r="R825" s="514"/>
      <c r="S825" s="559"/>
      <c r="T825" s="559"/>
      <c r="U825" s="551"/>
      <c r="V825" s="551"/>
      <c r="W825" s="551"/>
      <c r="X825" s="551"/>
      <c r="Y825" s="551"/>
      <c r="Z825" s="551"/>
      <c r="AA825" s="551"/>
      <c r="AB825" s="551"/>
    </row>
    <row r="826" spans="1:28" ht="15" hidden="1" customHeight="1" x14ac:dyDescent="0.25">
      <c r="A826" s="507"/>
      <c r="B826" s="504"/>
      <c r="C826" s="504"/>
      <c r="D826" s="504"/>
      <c r="E826" s="509"/>
      <c r="K826" s="553"/>
      <c r="L826" s="865"/>
      <c r="M826" s="1126">
        <v>78</v>
      </c>
      <c r="N826" s="551"/>
      <c r="O826" s="551"/>
      <c r="P826" s="551"/>
      <c r="Q826" s="551"/>
      <c r="R826" s="551"/>
      <c r="S826" s="551"/>
      <c r="T826" s="551"/>
      <c r="U826" s="551"/>
      <c r="V826" s="551"/>
      <c r="W826" s="551"/>
      <c r="X826" s="551"/>
      <c r="Y826" s="551"/>
      <c r="Z826" s="551"/>
      <c r="AA826" s="551"/>
      <c r="AB826" s="551"/>
    </row>
    <row r="827" spans="1:28" ht="15" hidden="1" customHeight="1" x14ac:dyDescent="0.25">
      <c r="A827" s="1449" t="s">
        <v>1090</v>
      </c>
      <c r="K827" s="553"/>
      <c r="L827" s="865"/>
      <c r="M827" s="1126">
        <v>79</v>
      </c>
      <c r="N827" s="551"/>
      <c r="O827" s="551"/>
      <c r="P827" s="551"/>
      <c r="Q827" s="551"/>
      <c r="R827" s="551"/>
      <c r="S827" s="551"/>
      <c r="T827" s="551"/>
      <c r="U827" s="551"/>
      <c r="V827" s="551"/>
      <c r="W827" s="551"/>
      <c r="X827" s="551"/>
      <c r="Y827" s="551"/>
      <c r="Z827" s="551"/>
      <c r="AA827" s="551"/>
      <c r="AB827" s="551"/>
    </row>
    <row r="828" spans="1:28" ht="15" hidden="1" customHeight="1" x14ac:dyDescent="0.25">
      <c r="A828" s="2170" t="s">
        <v>8</v>
      </c>
      <c r="B828" s="2170" t="s">
        <v>35</v>
      </c>
      <c r="C828" s="2170"/>
      <c r="D828" s="2170"/>
      <c r="E828" s="2170"/>
      <c r="F828" s="2170"/>
      <c r="G828" s="2170" t="s">
        <v>61</v>
      </c>
      <c r="H828" s="2193" t="s">
        <v>735</v>
      </c>
      <c r="I828" s="2240"/>
      <c r="J828" s="2179"/>
      <c r="K828" s="553"/>
      <c r="L828" s="865"/>
      <c r="M828" s="1126">
        <v>80</v>
      </c>
      <c r="N828" s="551"/>
      <c r="O828" s="551"/>
      <c r="P828" s="551"/>
      <c r="Q828" s="551"/>
      <c r="R828" s="551"/>
      <c r="S828" s="551"/>
      <c r="T828" s="551"/>
      <c r="U828" s="551"/>
      <c r="V828" s="551"/>
      <c r="W828" s="551"/>
      <c r="X828" s="551"/>
      <c r="Y828" s="551"/>
      <c r="Z828" s="551"/>
      <c r="AA828" s="551"/>
      <c r="AB828" s="551"/>
    </row>
    <row r="829" spans="1:28" ht="30" hidden="1" customHeight="1" x14ac:dyDescent="0.25">
      <c r="A829" s="2170"/>
      <c r="B829" s="2170"/>
      <c r="C829" s="2170"/>
      <c r="D829" s="2170"/>
      <c r="E829" s="2170"/>
      <c r="F829" s="2170"/>
      <c r="G829" s="2170"/>
      <c r="H829" s="1410" t="s">
        <v>248</v>
      </c>
      <c r="I829" s="1420" t="s">
        <v>264</v>
      </c>
      <c r="J829" s="1420" t="s">
        <v>256</v>
      </c>
      <c r="K829" s="553"/>
      <c r="L829" s="865"/>
      <c r="M829" s="1126">
        <v>81</v>
      </c>
      <c r="N829" s="551"/>
      <c r="O829" s="551"/>
      <c r="P829" s="551"/>
      <c r="Q829" s="551"/>
      <c r="R829" s="551"/>
      <c r="S829" s="551"/>
      <c r="T829" s="551"/>
      <c r="U829" s="551"/>
      <c r="V829" s="551"/>
      <c r="W829" s="551"/>
      <c r="X829" s="551"/>
      <c r="Y829" s="551"/>
      <c r="Z829" s="551"/>
      <c r="AA829" s="551"/>
      <c r="AB829" s="551"/>
    </row>
    <row r="830" spans="1:28" ht="15" hidden="1" customHeight="1" x14ac:dyDescent="0.25">
      <c r="A830" s="1127">
        <v>1</v>
      </c>
      <c r="B830" s="2243" t="s">
        <v>1223</v>
      </c>
      <c r="C830" s="2350"/>
      <c r="D830" s="2350"/>
      <c r="E830" s="2350"/>
      <c r="F830" s="2351"/>
      <c r="G830" s="1420" t="s">
        <v>1224</v>
      </c>
      <c r="H830" s="1229"/>
      <c r="I830" s="1420">
        <v>577</v>
      </c>
      <c r="J830" s="1426">
        <f>H830*I830</f>
        <v>0</v>
      </c>
      <c r="K830" s="553"/>
      <c r="L830" s="865"/>
      <c r="M830" s="1126">
        <v>82</v>
      </c>
      <c r="N830" s="551"/>
      <c r="O830" s="551"/>
      <c r="P830" s="551"/>
      <c r="Q830" s="551"/>
      <c r="R830" s="551"/>
      <c r="S830" s="551"/>
      <c r="T830" s="551"/>
      <c r="U830" s="551"/>
      <c r="V830" s="551"/>
      <c r="W830" s="551"/>
      <c r="X830" s="551"/>
      <c r="Y830" s="551"/>
      <c r="Z830" s="551"/>
      <c r="AA830" s="551"/>
      <c r="AB830" s="551"/>
    </row>
    <row r="831" spans="1:28" ht="15" hidden="1" customHeight="1" x14ac:dyDescent="0.25">
      <c r="A831" s="1127">
        <v>2</v>
      </c>
      <c r="B831" s="2243" t="s">
        <v>1225</v>
      </c>
      <c r="C831" s="2350"/>
      <c r="D831" s="2350"/>
      <c r="E831" s="2350"/>
      <c r="F831" s="2351"/>
      <c r="G831" s="1420" t="s">
        <v>245</v>
      </c>
      <c r="H831" s="1229"/>
      <c r="I831" s="1420">
        <v>473</v>
      </c>
      <c r="J831" s="1426">
        <f>H831*I831</f>
        <v>0</v>
      </c>
      <c r="K831" s="553"/>
      <c r="L831" s="865"/>
      <c r="M831" s="1126">
        <v>83</v>
      </c>
      <c r="N831" s="551"/>
      <c r="O831" s="551"/>
      <c r="P831" s="551"/>
      <c r="Q831" s="551"/>
      <c r="R831" s="551"/>
      <c r="S831" s="551"/>
      <c r="T831" s="551"/>
      <c r="U831" s="551"/>
      <c r="V831" s="551"/>
      <c r="W831" s="551"/>
      <c r="X831" s="551"/>
      <c r="Y831" s="551"/>
      <c r="Z831" s="551"/>
      <c r="AA831" s="551"/>
      <c r="AB831" s="551"/>
    </row>
    <row r="832" spans="1:28" ht="15" hidden="1" customHeight="1" x14ac:dyDescent="0.25">
      <c r="A832" s="1127">
        <v>3</v>
      </c>
      <c r="B832" s="2243" t="s">
        <v>1081</v>
      </c>
      <c r="C832" s="2350"/>
      <c r="D832" s="2350"/>
      <c r="E832" s="2350"/>
      <c r="F832" s="2351"/>
      <c r="G832" s="1420" t="s">
        <v>245</v>
      </c>
      <c r="H832" s="1229"/>
      <c r="I832" s="1420">
        <v>458</v>
      </c>
      <c r="J832" s="1426">
        <f>H832*I832</f>
        <v>0</v>
      </c>
      <c r="K832" s="553"/>
      <c r="L832" s="865"/>
      <c r="M832" s="1126">
        <v>84</v>
      </c>
      <c r="N832" s="551"/>
      <c r="O832" s="551"/>
      <c r="P832" s="551"/>
      <c r="Q832" s="551"/>
      <c r="R832" s="551"/>
      <c r="S832" s="551"/>
      <c r="T832" s="551"/>
      <c r="U832" s="551"/>
      <c r="V832" s="551"/>
      <c r="W832" s="551"/>
      <c r="X832" s="551"/>
      <c r="Y832" s="551"/>
      <c r="Z832" s="551"/>
      <c r="AA832" s="551"/>
      <c r="AB832" s="551"/>
    </row>
    <row r="833" spans="1:28" ht="15" hidden="1" customHeight="1" x14ac:dyDescent="0.25">
      <c r="A833" s="2344" t="s">
        <v>39</v>
      </c>
      <c r="B833" s="2345"/>
      <c r="C833" s="2345"/>
      <c r="D833" s="2345"/>
      <c r="E833" s="2345"/>
      <c r="F833" s="2345"/>
      <c r="G833" s="2345"/>
      <c r="H833" s="2345"/>
      <c r="I833" s="2346"/>
      <c r="J833" s="1192">
        <f>SUM(J830:J832)</f>
        <v>0</v>
      </c>
      <c r="K833" s="551"/>
      <c r="L833" s="865"/>
      <c r="M833" s="1126">
        <v>85</v>
      </c>
      <c r="N833" s="551"/>
      <c r="O833" s="586"/>
      <c r="P833" s="586"/>
      <c r="Q833" s="559"/>
      <c r="R833" s="514"/>
      <c r="S833" s="559"/>
      <c r="T833" s="559"/>
      <c r="U833" s="551"/>
      <c r="V833" s="551"/>
      <c r="W833" s="551"/>
      <c r="X833" s="551"/>
      <c r="Y833" s="551"/>
      <c r="Z833" s="551"/>
      <c r="AA833" s="551"/>
      <c r="AB833" s="551"/>
    </row>
    <row r="834" spans="1:28" ht="15" hidden="1" customHeight="1" x14ac:dyDescent="0.25">
      <c r="A834" s="507"/>
      <c r="B834" s="504"/>
      <c r="C834" s="504"/>
      <c r="D834" s="504"/>
      <c r="E834" s="509"/>
      <c r="K834" s="553"/>
      <c r="L834" s="865"/>
      <c r="M834" s="1126">
        <v>86</v>
      </c>
      <c r="N834" s="551"/>
      <c r="O834" s="551"/>
      <c r="P834" s="551"/>
      <c r="Q834" s="551"/>
      <c r="R834" s="551"/>
      <c r="S834" s="551"/>
      <c r="T834" s="551"/>
      <c r="U834" s="551"/>
      <c r="V834" s="551"/>
      <c r="W834" s="551"/>
      <c r="X834" s="551"/>
      <c r="Y834" s="551"/>
      <c r="Z834" s="551"/>
      <c r="AA834" s="551"/>
      <c r="AB834" s="551"/>
    </row>
    <row r="835" spans="1:28" ht="15" hidden="1" customHeight="1" x14ac:dyDescent="0.25">
      <c r="A835" s="1449" t="s">
        <v>1307</v>
      </c>
      <c r="K835" s="565"/>
      <c r="L835" s="865"/>
      <c r="M835" s="1126">
        <v>87</v>
      </c>
      <c r="N835" s="551"/>
      <c r="O835" s="551"/>
      <c r="P835" s="551"/>
      <c r="Q835" s="551"/>
      <c r="R835" s="551"/>
      <c r="S835" s="551"/>
      <c r="T835" s="551"/>
      <c r="U835" s="551"/>
      <c r="V835" s="551"/>
      <c r="W835" s="551"/>
      <c r="X835" s="551"/>
      <c r="Y835" s="551"/>
      <c r="Z835" s="551"/>
      <c r="AA835" s="551"/>
      <c r="AB835" s="551"/>
    </row>
    <row r="836" spans="1:28" ht="15" hidden="1" customHeight="1" x14ac:dyDescent="0.25">
      <c r="A836" s="2170" t="s">
        <v>8</v>
      </c>
      <c r="B836" s="2170" t="s">
        <v>35</v>
      </c>
      <c r="C836" s="2170"/>
      <c r="D836" s="2170"/>
      <c r="E836" s="2170"/>
      <c r="F836" s="2170"/>
      <c r="G836" s="2170" t="s">
        <v>61</v>
      </c>
      <c r="H836" s="2193" t="s">
        <v>735</v>
      </c>
      <c r="I836" s="2240"/>
      <c r="J836" s="2179"/>
      <c r="K836" s="551"/>
      <c r="L836" s="865"/>
      <c r="M836" s="1126">
        <v>88</v>
      </c>
      <c r="N836" s="551"/>
      <c r="O836" s="551"/>
      <c r="P836" s="551"/>
      <c r="Q836" s="551"/>
      <c r="R836" s="551"/>
      <c r="S836" s="551"/>
      <c r="T836" s="551"/>
      <c r="U836" s="551"/>
      <c r="V836" s="551"/>
      <c r="W836" s="551"/>
      <c r="X836" s="551"/>
      <c r="Y836" s="551"/>
      <c r="Z836" s="551"/>
      <c r="AA836" s="551"/>
      <c r="AB836" s="551"/>
    </row>
    <row r="837" spans="1:28" ht="30" hidden="1" customHeight="1" x14ac:dyDescent="0.25">
      <c r="A837" s="2170"/>
      <c r="B837" s="2170"/>
      <c r="C837" s="2170"/>
      <c r="D837" s="2170"/>
      <c r="E837" s="2170"/>
      <c r="F837" s="2170"/>
      <c r="G837" s="2170"/>
      <c r="H837" s="1410" t="s">
        <v>248</v>
      </c>
      <c r="I837" s="1420" t="s">
        <v>264</v>
      </c>
      <c r="J837" s="1420" t="s">
        <v>256</v>
      </c>
      <c r="K837" s="551"/>
      <c r="L837" s="865"/>
      <c r="M837" s="1126">
        <v>89</v>
      </c>
      <c r="N837" s="551"/>
      <c r="O837" s="551"/>
      <c r="P837" s="551"/>
      <c r="Q837" s="551"/>
      <c r="R837" s="551"/>
      <c r="S837" s="551"/>
      <c r="T837" s="551"/>
      <c r="U837" s="551"/>
      <c r="V837" s="551"/>
      <c r="W837" s="551"/>
      <c r="X837" s="551"/>
      <c r="Y837" s="551"/>
      <c r="Z837" s="551"/>
      <c r="AA837" s="551"/>
      <c r="AB837" s="551"/>
    </row>
    <row r="838" spans="1:28" ht="15" hidden="1" customHeight="1" x14ac:dyDescent="0.25">
      <c r="A838" s="1127">
        <v>1</v>
      </c>
      <c r="B838" s="2243" t="s">
        <v>1291</v>
      </c>
      <c r="C838" s="2350"/>
      <c r="D838" s="2350"/>
      <c r="E838" s="2350"/>
      <c r="F838" s="2351"/>
      <c r="G838" s="1410" t="s">
        <v>304</v>
      </c>
      <c r="H838" s="1410"/>
      <c r="I838" s="1420">
        <v>2334.9</v>
      </c>
      <c r="J838" s="1426">
        <f>H838*I838</f>
        <v>0</v>
      </c>
      <c r="K838" s="561"/>
      <c r="L838" s="865"/>
      <c r="M838" s="1126">
        <v>90</v>
      </c>
      <c r="N838" s="551"/>
      <c r="O838" s="551"/>
      <c r="P838" s="551"/>
      <c r="Q838" s="551"/>
      <c r="R838" s="551"/>
      <c r="S838" s="551"/>
      <c r="T838" s="551"/>
      <c r="U838" s="551"/>
      <c r="V838" s="551"/>
      <c r="W838" s="551"/>
      <c r="X838" s="551"/>
      <c r="Y838" s="551"/>
      <c r="Z838" s="551"/>
      <c r="AA838" s="551"/>
      <c r="AB838" s="551"/>
    </row>
    <row r="839" spans="1:28" ht="15" hidden="1" customHeight="1" x14ac:dyDescent="0.25">
      <c r="A839" s="1127">
        <v>2</v>
      </c>
      <c r="B839" s="2243" t="s">
        <v>1292</v>
      </c>
      <c r="C839" s="2350"/>
      <c r="D839" s="2350"/>
      <c r="E839" s="2350"/>
      <c r="F839" s="2351"/>
      <c r="G839" s="1410" t="s">
        <v>304</v>
      </c>
      <c r="H839" s="1410"/>
      <c r="I839" s="1420">
        <v>5340.6</v>
      </c>
      <c r="J839" s="1426">
        <f>H839*I839</f>
        <v>0</v>
      </c>
      <c r="K839" s="561"/>
      <c r="L839" s="865"/>
      <c r="M839" s="1126">
        <v>91</v>
      </c>
      <c r="N839" s="551"/>
      <c r="O839" s="551"/>
      <c r="P839" s="551"/>
      <c r="Q839" s="551"/>
      <c r="R839" s="551"/>
      <c r="S839" s="551"/>
      <c r="T839" s="551"/>
      <c r="U839" s="551"/>
      <c r="V839" s="551"/>
      <c r="W839" s="551"/>
      <c r="X839" s="551"/>
      <c r="Y839" s="551"/>
      <c r="Z839" s="551"/>
      <c r="AA839" s="551"/>
      <c r="AB839" s="551"/>
    </row>
    <row r="840" spans="1:28" ht="15" hidden="1" customHeight="1" x14ac:dyDescent="0.25">
      <c r="A840" s="2278" t="s">
        <v>39</v>
      </c>
      <c r="B840" s="2278"/>
      <c r="C840" s="2278"/>
      <c r="D840" s="2278"/>
      <c r="E840" s="2278"/>
      <c r="F840" s="2278"/>
      <c r="G840" s="2278"/>
      <c r="H840" s="1190" t="s">
        <v>5</v>
      </c>
      <c r="I840" s="1190" t="s">
        <v>5</v>
      </c>
      <c r="J840" s="1192">
        <f>SUM(J838:J839)</f>
        <v>0</v>
      </c>
      <c r="K840" s="561"/>
      <c r="L840" s="865"/>
      <c r="M840" s="1126">
        <v>92</v>
      </c>
      <c r="N840" s="551"/>
      <c r="O840" s="551"/>
      <c r="P840" s="551"/>
      <c r="Q840" s="551"/>
      <c r="R840" s="551"/>
      <c r="S840" s="551"/>
      <c r="T840" s="551"/>
      <c r="U840" s="551"/>
      <c r="V840" s="551"/>
      <c r="W840" s="551"/>
      <c r="X840" s="551"/>
      <c r="Y840" s="551"/>
      <c r="Z840" s="551"/>
      <c r="AA840" s="551"/>
      <c r="AB840" s="551"/>
    </row>
    <row r="841" spans="1:28" ht="15" hidden="1" customHeight="1" x14ac:dyDescent="0.25">
      <c r="A841" s="560"/>
      <c r="B841" s="560"/>
      <c r="C841" s="560"/>
      <c r="D841" s="560"/>
      <c r="E841" s="560"/>
      <c r="F841" s="560"/>
      <c r="G841" s="560"/>
      <c r="H841" s="554"/>
      <c r="I841" s="554"/>
      <c r="J841" s="554"/>
      <c r="K841" s="551"/>
      <c r="L841" s="865"/>
      <c r="M841" s="1126">
        <v>93</v>
      </c>
      <c r="N841" s="551"/>
      <c r="O841" s="551"/>
      <c r="P841" s="551"/>
      <c r="Q841" s="551"/>
      <c r="R841" s="551"/>
      <c r="S841" s="551"/>
      <c r="T841" s="551"/>
      <c r="U841" s="551"/>
      <c r="V841" s="551"/>
      <c r="W841" s="551"/>
      <c r="X841" s="551"/>
      <c r="Y841" s="551"/>
      <c r="Z841" s="551"/>
      <c r="AA841" s="551"/>
      <c r="AB841" s="551"/>
    </row>
    <row r="842" spans="1:28" x14ac:dyDescent="0.25">
      <c r="A842" s="1449" t="s">
        <v>723</v>
      </c>
      <c r="K842" s="551"/>
      <c r="L842" s="1125"/>
      <c r="M842" s="1126"/>
      <c r="N842" s="508"/>
      <c r="O842" s="508"/>
      <c r="P842" s="508"/>
      <c r="Q842" s="508"/>
      <c r="R842" s="508"/>
      <c r="S842" s="508"/>
      <c r="T842" s="508"/>
      <c r="U842" s="551"/>
      <c r="V842" s="551"/>
      <c r="W842" s="551"/>
      <c r="X842" s="551"/>
      <c r="Y842" s="551"/>
      <c r="Z842" s="551"/>
      <c r="AA842" s="551"/>
      <c r="AB842" s="551"/>
    </row>
    <row r="843" spans="1:28" ht="15" customHeight="1" x14ac:dyDescent="0.25">
      <c r="A843" s="2170" t="s">
        <v>8</v>
      </c>
      <c r="B843" s="2170" t="s">
        <v>35</v>
      </c>
      <c r="C843" s="2170"/>
      <c r="D843" s="2170"/>
      <c r="E843" s="2170"/>
      <c r="F843" s="2170"/>
      <c r="G843" s="2170" t="s">
        <v>61</v>
      </c>
      <c r="H843" s="2193" t="s">
        <v>2046</v>
      </c>
      <c r="I843" s="2240"/>
      <c r="J843" s="2179"/>
      <c r="K843" s="551"/>
      <c r="L843" s="1125"/>
      <c r="M843" s="1126"/>
      <c r="N843" s="508"/>
      <c r="O843" s="508"/>
      <c r="P843" s="508"/>
      <c r="Q843" s="508"/>
      <c r="R843" s="508"/>
      <c r="S843" s="508"/>
      <c r="T843" s="508"/>
      <c r="U843" s="551"/>
      <c r="V843" s="551"/>
      <c r="W843" s="551"/>
      <c r="X843" s="551"/>
      <c r="Y843" s="551"/>
      <c r="Z843" s="551"/>
      <c r="AA843" s="551"/>
      <c r="AB843" s="551"/>
    </row>
    <row r="844" spans="1:28" ht="32.25" customHeight="1" x14ac:dyDescent="0.25">
      <c r="A844" s="2170"/>
      <c r="B844" s="2170"/>
      <c r="C844" s="2170"/>
      <c r="D844" s="2170"/>
      <c r="E844" s="2170"/>
      <c r="F844" s="2170"/>
      <c r="G844" s="2170"/>
      <c r="H844" s="1410" t="s">
        <v>248</v>
      </c>
      <c r="I844" s="1420" t="s">
        <v>264</v>
      </c>
      <c r="J844" s="1420" t="s">
        <v>256</v>
      </c>
      <c r="K844" s="565"/>
      <c r="L844" s="1125"/>
      <c r="M844" s="1126"/>
      <c r="N844" s="508"/>
      <c r="O844" s="508"/>
      <c r="P844" s="508"/>
      <c r="Q844" s="508"/>
      <c r="R844" s="508"/>
      <c r="S844" s="508"/>
      <c r="T844" s="508"/>
      <c r="U844" s="551"/>
      <c r="V844" s="551"/>
      <c r="W844" s="551"/>
      <c r="X844" s="551"/>
      <c r="Y844" s="551"/>
      <c r="Z844" s="551"/>
      <c r="AA844" s="551"/>
      <c r="AB844" s="551"/>
    </row>
    <row r="845" spans="1:28" x14ac:dyDescent="0.25">
      <c r="A845" s="1127">
        <v>1</v>
      </c>
      <c r="B845" s="2243" t="s">
        <v>1564</v>
      </c>
      <c r="C845" s="2350"/>
      <c r="D845" s="2350"/>
      <c r="E845" s="2350"/>
      <c r="F845" s="2351"/>
      <c r="G845" s="1232" t="s">
        <v>716</v>
      </c>
      <c r="H845" s="1233">
        <v>40</v>
      </c>
      <c r="I845" s="1234">
        <v>120</v>
      </c>
      <c r="J845" s="1035">
        <f t="shared" ref="J845:J854" si="18">H845*I845</f>
        <v>4800</v>
      </c>
      <c r="L845" s="1125"/>
      <c r="M845" s="1126"/>
      <c r="N845" s="508"/>
      <c r="O845" s="508"/>
      <c r="P845" s="508"/>
      <c r="Q845" s="508"/>
      <c r="R845" s="508"/>
      <c r="S845" s="508"/>
      <c r="T845" s="508"/>
      <c r="U845" s="551"/>
      <c r="V845" s="551"/>
      <c r="W845" s="551"/>
      <c r="X845" s="551"/>
      <c r="Y845" s="551"/>
      <c r="Z845" s="551"/>
      <c r="AA845" s="551"/>
      <c r="AB845" s="551"/>
    </row>
    <row r="846" spans="1:28" ht="15" customHeight="1" x14ac:dyDescent="0.25">
      <c r="A846" s="1127">
        <v>2</v>
      </c>
      <c r="B846" s="2243" t="s">
        <v>1565</v>
      </c>
      <c r="C846" s="2350"/>
      <c r="D846" s="2350"/>
      <c r="E846" s="2350"/>
      <c r="F846" s="2351"/>
      <c r="G846" s="1232" t="s">
        <v>716</v>
      </c>
      <c r="H846" s="1233">
        <v>40</v>
      </c>
      <c r="I846" s="1234">
        <v>150</v>
      </c>
      <c r="J846" s="1035">
        <f t="shared" si="18"/>
        <v>6000</v>
      </c>
      <c r="L846" s="1125"/>
      <c r="M846" s="1126"/>
      <c r="N846" s="508"/>
      <c r="O846" s="508"/>
      <c r="P846" s="508"/>
      <c r="Q846" s="508"/>
      <c r="R846" s="508"/>
      <c r="S846" s="508"/>
      <c r="T846" s="508"/>
      <c r="U846" s="551"/>
      <c r="V846" s="551"/>
      <c r="W846" s="551"/>
      <c r="X846" s="551"/>
      <c r="Y846" s="551"/>
      <c r="Z846" s="551"/>
      <c r="AA846" s="551"/>
      <c r="AB846" s="551"/>
    </row>
    <row r="847" spans="1:28" ht="15" customHeight="1" x14ac:dyDescent="0.25">
      <c r="A847" s="1127">
        <v>3</v>
      </c>
      <c r="B847" s="2243" t="s">
        <v>1566</v>
      </c>
      <c r="C847" s="2350"/>
      <c r="D847" s="2350"/>
      <c r="E847" s="2350"/>
      <c r="F847" s="2351"/>
      <c r="G847" s="1232" t="s">
        <v>1567</v>
      </c>
      <c r="H847" s="1233">
        <v>10</v>
      </c>
      <c r="I847" s="1234">
        <v>100</v>
      </c>
      <c r="J847" s="1035">
        <f t="shared" si="18"/>
        <v>1000</v>
      </c>
      <c r="L847" s="1125"/>
      <c r="M847" s="1126"/>
      <c r="N847" s="508"/>
      <c r="O847" s="508"/>
      <c r="P847" s="508"/>
      <c r="Q847" s="508"/>
      <c r="R847" s="508"/>
      <c r="S847" s="508"/>
      <c r="T847" s="508"/>
      <c r="U847" s="551"/>
      <c r="V847" s="551"/>
      <c r="W847" s="551"/>
      <c r="X847" s="551"/>
      <c r="Y847" s="551"/>
      <c r="Z847" s="551"/>
      <c r="AA847" s="551"/>
      <c r="AB847" s="551"/>
    </row>
    <row r="848" spans="1:28" ht="15" customHeight="1" x14ac:dyDescent="0.25">
      <c r="A848" s="1127">
        <v>4</v>
      </c>
      <c r="B848" s="2243" t="s">
        <v>1568</v>
      </c>
      <c r="C848" s="2350"/>
      <c r="D848" s="2350"/>
      <c r="E848" s="2350"/>
      <c r="F848" s="2351"/>
      <c r="G848" s="1232" t="s">
        <v>304</v>
      </c>
      <c r="H848" s="1233">
        <v>60</v>
      </c>
      <c r="I848" s="1234">
        <v>230</v>
      </c>
      <c r="J848" s="1035">
        <f t="shared" si="18"/>
        <v>13800</v>
      </c>
      <c r="L848" s="1125"/>
      <c r="M848" s="1126"/>
      <c r="N848" s="508"/>
      <c r="O848" s="508"/>
      <c r="P848" s="508"/>
      <c r="Q848" s="508"/>
      <c r="R848" s="508"/>
      <c r="S848" s="508"/>
      <c r="T848" s="508"/>
      <c r="U848" s="551"/>
      <c r="V848" s="551"/>
      <c r="W848" s="551"/>
      <c r="X848" s="551"/>
      <c r="Y848" s="551"/>
      <c r="Z848" s="551"/>
      <c r="AA848" s="551"/>
      <c r="AB848" s="551"/>
    </row>
    <row r="849" spans="1:33" ht="15" customHeight="1" x14ac:dyDescent="0.25">
      <c r="A849" s="1127">
        <v>5</v>
      </c>
      <c r="B849" s="2243" t="s">
        <v>1569</v>
      </c>
      <c r="C849" s="2350"/>
      <c r="D849" s="2350"/>
      <c r="E849" s="2350"/>
      <c r="F849" s="2351"/>
      <c r="G849" s="1232" t="s">
        <v>304</v>
      </c>
      <c r="H849" s="1233">
        <v>60</v>
      </c>
      <c r="I849" s="1234">
        <v>230</v>
      </c>
      <c r="J849" s="1035">
        <f t="shared" si="18"/>
        <v>13800</v>
      </c>
      <c r="L849" s="1125"/>
      <c r="M849" s="1126"/>
      <c r="N849" s="508"/>
      <c r="O849" s="508"/>
      <c r="P849" s="508"/>
      <c r="Q849" s="508"/>
      <c r="R849" s="508"/>
      <c r="S849" s="508"/>
      <c r="T849" s="508"/>
      <c r="U849" s="551"/>
      <c r="V849" s="551"/>
      <c r="W849" s="551"/>
      <c r="X849" s="551"/>
      <c r="Y849" s="551"/>
      <c r="Z849" s="551"/>
      <c r="AA849" s="551"/>
      <c r="AB849" s="551"/>
    </row>
    <row r="850" spans="1:33" x14ac:dyDescent="0.25">
      <c r="A850" s="1127">
        <v>6</v>
      </c>
      <c r="B850" s="2243" t="s">
        <v>1570</v>
      </c>
      <c r="C850" s="2350"/>
      <c r="D850" s="2350"/>
      <c r="E850" s="2350"/>
      <c r="F850" s="2351"/>
      <c r="G850" s="1232" t="s">
        <v>716</v>
      </c>
      <c r="H850" s="1233">
        <v>30</v>
      </c>
      <c r="I850" s="1234">
        <v>195</v>
      </c>
      <c r="J850" s="1035">
        <f t="shared" si="18"/>
        <v>5850</v>
      </c>
      <c r="L850" s="1125"/>
      <c r="M850" s="1126"/>
      <c r="N850" s="508"/>
      <c r="O850" s="508"/>
      <c r="P850" s="508"/>
      <c r="Q850" s="508"/>
      <c r="R850" s="508"/>
      <c r="S850" s="508"/>
      <c r="T850" s="508"/>
      <c r="U850" s="551"/>
      <c r="V850" s="551"/>
      <c r="W850" s="551"/>
      <c r="X850" s="551"/>
      <c r="Y850" s="551"/>
      <c r="Z850" s="551"/>
      <c r="AA850" s="551"/>
      <c r="AB850" s="551"/>
    </row>
    <row r="851" spans="1:33" ht="15" customHeight="1" x14ac:dyDescent="0.25">
      <c r="A851" s="1127">
        <v>7</v>
      </c>
      <c r="B851" s="2243" t="s">
        <v>722</v>
      </c>
      <c r="C851" s="2350"/>
      <c r="D851" s="2350"/>
      <c r="E851" s="2350"/>
      <c r="F851" s="2351"/>
      <c r="G851" s="1232" t="s">
        <v>304</v>
      </c>
      <c r="H851" s="1233">
        <v>30</v>
      </c>
      <c r="I851" s="1234">
        <v>80</v>
      </c>
      <c r="J851" s="1035">
        <f t="shared" si="18"/>
        <v>2400</v>
      </c>
      <c r="L851" s="1125"/>
      <c r="M851" s="1126"/>
      <c r="N851" s="508"/>
      <c r="O851" s="508"/>
      <c r="P851" s="508"/>
      <c r="Q851" s="508"/>
      <c r="R851" s="508"/>
      <c r="S851" s="508"/>
      <c r="T851" s="508"/>
      <c r="U851" s="551"/>
      <c r="V851" s="551"/>
      <c r="W851" s="551"/>
      <c r="X851" s="551"/>
      <c r="Y851" s="551"/>
      <c r="Z851" s="551"/>
      <c r="AA851" s="551"/>
      <c r="AB851" s="551"/>
    </row>
    <row r="852" spans="1:33" ht="15" customHeight="1" x14ac:dyDescent="0.25">
      <c r="A852" s="1127">
        <v>8</v>
      </c>
      <c r="B852" s="2243" t="s">
        <v>1571</v>
      </c>
      <c r="C852" s="2350"/>
      <c r="D852" s="2350"/>
      <c r="E852" s="2350"/>
      <c r="F852" s="2351"/>
      <c r="G852" s="1232" t="s">
        <v>1567</v>
      </c>
      <c r="H852" s="1233">
        <v>50</v>
      </c>
      <c r="I852" s="1234">
        <v>220</v>
      </c>
      <c r="J852" s="1035">
        <f t="shared" si="18"/>
        <v>11000</v>
      </c>
      <c r="L852" s="865"/>
      <c r="M852" s="891"/>
      <c r="N852" s="508"/>
      <c r="O852" s="508"/>
      <c r="P852" s="508"/>
      <c r="Q852" s="508"/>
      <c r="R852" s="508"/>
      <c r="S852" s="508"/>
      <c r="T852" s="508"/>
      <c r="U852" s="551"/>
      <c r="V852" s="551"/>
      <c r="W852" s="551"/>
      <c r="X852" s="551"/>
      <c r="Y852" s="551"/>
      <c r="Z852" s="551"/>
      <c r="AA852" s="551"/>
      <c r="AB852" s="551"/>
    </row>
    <row r="853" spans="1:33" ht="15" customHeight="1" x14ac:dyDescent="0.25">
      <c r="A853" s="1127">
        <v>9</v>
      </c>
      <c r="B853" s="2243" t="s">
        <v>1572</v>
      </c>
      <c r="C853" s="2350"/>
      <c r="D853" s="2350"/>
      <c r="E853" s="2350"/>
      <c r="F853" s="2351"/>
      <c r="G853" s="1232" t="s">
        <v>1567</v>
      </c>
      <c r="H853" s="1233">
        <v>50</v>
      </c>
      <c r="I853" s="1234">
        <v>100</v>
      </c>
      <c r="J853" s="1035">
        <f t="shared" si="18"/>
        <v>5000</v>
      </c>
      <c r="L853" s="865"/>
      <c r="M853" s="891"/>
      <c r="N853" s="508"/>
      <c r="O853" s="508"/>
      <c r="P853" s="508"/>
      <c r="Q853" s="508"/>
      <c r="R853" s="508"/>
      <c r="S853" s="508"/>
      <c r="T853" s="508"/>
      <c r="U853" s="551"/>
      <c r="V853" s="551"/>
      <c r="W853" s="551"/>
      <c r="X853" s="551"/>
      <c r="Y853" s="551"/>
      <c r="Z853" s="551"/>
      <c r="AA853" s="551"/>
      <c r="AB853" s="551"/>
    </row>
    <row r="854" spans="1:33" ht="15" customHeight="1" x14ac:dyDescent="0.25">
      <c r="A854" s="1127">
        <v>10</v>
      </c>
      <c r="B854" s="1422" t="s">
        <v>719</v>
      </c>
      <c r="C854" s="1423"/>
      <c r="D854" s="1423"/>
      <c r="E854" s="1423"/>
      <c r="F854" s="1424"/>
      <c r="G854" s="1232" t="s">
        <v>304</v>
      </c>
      <c r="H854" s="1233">
        <v>1</v>
      </c>
      <c r="I854" s="1234">
        <v>374.3</v>
      </c>
      <c r="J854" s="1035">
        <f t="shared" si="18"/>
        <v>374.3</v>
      </c>
      <c r="L854" s="865"/>
      <c r="M854" s="891"/>
      <c r="N854" s="508"/>
      <c r="O854" s="508"/>
      <c r="P854" s="508"/>
      <c r="Q854" s="508"/>
      <c r="R854" s="508"/>
      <c r="S854" s="508"/>
      <c r="T854" s="508"/>
      <c r="U854" s="551"/>
      <c r="V854" s="551"/>
      <c r="W854" s="551"/>
      <c r="X854" s="551"/>
      <c r="Y854" s="551"/>
      <c r="Z854" s="551"/>
      <c r="AA854" s="551"/>
      <c r="AB854" s="551"/>
    </row>
    <row r="855" spans="1:33" x14ac:dyDescent="0.25">
      <c r="A855" s="2278" t="s">
        <v>39</v>
      </c>
      <c r="B855" s="2278"/>
      <c r="C855" s="2278"/>
      <c r="D855" s="2278"/>
      <c r="E855" s="2278"/>
      <c r="F855" s="2278"/>
      <c r="G855" s="2278"/>
      <c r="H855" s="1190" t="s">
        <v>5</v>
      </c>
      <c r="I855" s="1190" t="s">
        <v>5</v>
      </c>
      <c r="J855" s="1192">
        <f>SUM(J845:J854)</f>
        <v>64024.3</v>
      </c>
      <c r="K855" s="565"/>
      <c r="L855" s="1060"/>
      <c r="M855" s="891"/>
      <c r="N855" s="551"/>
      <c r="O855" s="551"/>
      <c r="P855" s="551"/>
      <c r="Q855" s="551"/>
      <c r="R855" s="551"/>
      <c r="S855" s="551"/>
      <c r="T855" s="551"/>
      <c r="U855" s="551"/>
      <c r="V855" s="551"/>
      <c r="W855" s="551"/>
      <c r="X855" s="551"/>
      <c r="Y855" s="551"/>
      <c r="Z855" s="551"/>
      <c r="AA855" s="551"/>
      <c r="AB855" s="551"/>
    </row>
    <row r="856" spans="1:33" x14ac:dyDescent="0.25">
      <c r="A856" s="560"/>
      <c r="B856" s="560"/>
      <c r="C856" s="560"/>
      <c r="D856" s="560"/>
      <c r="E856" s="560"/>
      <c r="F856" s="560"/>
      <c r="G856" s="560"/>
      <c r="H856" s="554"/>
      <c r="I856" s="554"/>
      <c r="J856" s="554"/>
      <c r="L856" s="582"/>
      <c r="M856" s="891"/>
      <c r="N856" s="551"/>
      <c r="O856" s="551"/>
      <c r="P856" s="551"/>
      <c r="Q856" s="551"/>
      <c r="R856" s="551"/>
      <c r="S856" s="551"/>
      <c r="T856" s="551"/>
      <c r="U856" s="551"/>
      <c r="V856" s="551"/>
      <c r="W856" s="551"/>
      <c r="X856" s="551"/>
      <c r="Y856" s="551"/>
      <c r="Z856" s="551"/>
      <c r="AA856" s="551"/>
      <c r="AB856" s="551"/>
    </row>
    <row r="857" spans="1:33" s="61" customFormat="1" ht="15.75" customHeight="1" x14ac:dyDescent="0.25">
      <c r="A857" s="1458" t="s">
        <v>63</v>
      </c>
      <c r="B857" s="72"/>
      <c r="C857" s="75"/>
      <c r="D857" s="75"/>
      <c r="E857" s="71" t="s">
        <v>98</v>
      </c>
      <c r="F857" s="1457"/>
      <c r="G857" s="1457"/>
      <c r="H857" s="60"/>
      <c r="I857" s="69"/>
      <c r="J857" s="85">
        <f>J858+J868</f>
        <v>1480</v>
      </c>
      <c r="L857" s="1465"/>
      <c r="P857" s="79"/>
      <c r="Q857" s="1101"/>
      <c r="R857" s="75"/>
      <c r="S857" s="2017"/>
      <c r="T857" s="2011"/>
      <c r="U857" s="2011"/>
      <c r="V857" s="2011"/>
      <c r="W857" s="2011"/>
      <c r="X857" s="2011"/>
      <c r="Y857" s="2011"/>
      <c r="Z857" s="1483"/>
      <c r="AA857" s="1466"/>
      <c r="AB857" s="1467"/>
      <c r="AC857" s="1468"/>
      <c r="AD857" s="1469"/>
      <c r="AE857" s="1189"/>
      <c r="AF857" s="75"/>
      <c r="AG857" s="75"/>
    </row>
    <row r="858" spans="1:33" s="61" customFormat="1" ht="15" customHeight="1" x14ac:dyDescent="0.25">
      <c r="A858" s="786" t="s">
        <v>26</v>
      </c>
      <c r="B858" s="794"/>
      <c r="C858" s="794"/>
      <c r="D858" s="936"/>
      <c r="E858" s="793" t="s">
        <v>624</v>
      </c>
      <c r="F858" s="787"/>
      <c r="G858" s="787"/>
      <c r="H858" s="788"/>
      <c r="I858" s="986"/>
      <c r="J858" s="789">
        <f>J859</f>
        <v>1480</v>
      </c>
      <c r="K858" s="341"/>
      <c r="L858" s="2"/>
      <c r="M858" s="81"/>
      <c r="N858" s="341"/>
      <c r="S858" s="2017"/>
      <c r="T858" s="2011"/>
      <c r="U858" s="2011"/>
      <c r="V858" s="2011"/>
      <c r="W858" s="2011"/>
      <c r="X858" s="2011"/>
      <c r="Y858" s="2011"/>
    </row>
    <row r="859" spans="1:33" x14ac:dyDescent="0.25">
      <c r="A859" s="1458" t="s">
        <v>27</v>
      </c>
      <c r="B859" s="72"/>
      <c r="C859" s="72"/>
      <c r="D859" s="61"/>
      <c r="E859" s="71" t="s">
        <v>2022</v>
      </c>
      <c r="F859" s="1457"/>
      <c r="G859" s="1457"/>
      <c r="H859" s="60"/>
      <c r="I859" s="69"/>
      <c r="J859" s="85">
        <f>J866</f>
        <v>1480</v>
      </c>
      <c r="K859" s="341"/>
      <c r="L859" s="828"/>
      <c r="M859" s="573"/>
      <c r="N859" s="829"/>
      <c r="P859" s="551"/>
      <c r="Q859" s="551"/>
      <c r="R859" s="551"/>
      <c r="S859" s="2017"/>
      <c r="T859" s="2011"/>
      <c r="U859" s="2011"/>
      <c r="V859" s="2011"/>
      <c r="W859" s="2011"/>
      <c r="X859" s="2011"/>
      <c r="Y859" s="2011"/>
      <c r="Z859" s="551"/>
      <c r="AA859" s="551"/>
      <c r="AB859" s="551"/>
    </row>
    <row r="860" spans="1:33" x14ac:dyDescent="0.25">
      <c r="A860" s="1449" t="s">
        <v>773</v>
      </c>
      <c r="E860" s="505"/>
      <c r="F860" s="505"/>
      <c r="G860" s="505"/>
      <c r="H860" s="551"/>
      <c r="I860" s="551"/>
      <c r="J860" s="551"/>
      <c r="K860" s="551"/>
      <c r="L860" s="551"/>
      <c r="M860" s="551"/>
      <c r="N860" s="551"/>
      <c r="O860" s="551"/>
      <c r="P860" s="551"/>
      <c r="Q860" s="551"/>
      <c r="R860" s="551"/>
      <c r="S860" s="2017"/>
      <c r="T860" s="2011"/>
      <c r="U860" s="2011"/>
      <c r="V860" s="2011"/>
      <c r="W860" s="2011"/>
      <c r="X860" s="2011"/>
      <c r="Y860" s="2011"/>
      <c r="Z860" s="551"/>
      <c r="AA860" s="551"/>
      <c r="AB860" s="551"/>
    </row>
    <row r="861" spans="1:33" x14ac:dyDescent="0.25">
      <c r="A861" s="2285" t="s">
        <v>8</v>
      </c>
      <c r="B861" s="2170" t="s">
        <v>35</v>
      </c>
      <c r="C861" s="2170"/>
      <c r="D861" s="2171"/>
      <c r="E861" s="2171"/>
      <c r="F861" s="2171"/>
      <c r="G861" s="2285" t="s">
        <v>61</v>
      </c>
      <c r="H861" s="2183" t="s">
        <v>2046</v>
      </c>
      <c r="I861" s="2183"/>
      <c r="J861" s="2183"/>
      <c r="K861" s="551"/>
      <c r="L861" s="551"/>
      <c r="M861" s="551"/>
      <c r="N861" s="551"/>
      <c r="O861" s="551"/>
      <c r="P861" s="551"/>
      <c r="Q861" s="551"/>
      <c r="R861" s="551"/>
      <c r="S861" s="2017"/>
      <c r="T861" s="2011"/>
      <c r="U861" s="2011"/>
      <c r="V861" s="2011"/>
      <c r="W861" s="2011"/>
      <c r="X861" s="2011"/>
      <c r="Y861" s="2011"/>
      <c r="Z861" s="551"/>
      <c r="AA861" s="551"/>
      <c r="AB861" s="551"/>
    </row>
    <row r="862" spans="1:33" ht="30" x14ac:dyDescent="0.25">
      <c r="A862" s="2200"/>
      <c r="B862" s="2170"/>
      <c r="C862" s="2170"/>
      <c r="D862" s="2171"/>
      <c r="E862" s="2171"/>
      <c r="F862" s="2171"/>
      <c r="G862" s="2200"/>
      <c r="H862" s="1408" t="s">
        <v>248</v>
      </c>
      <c r="I862" s="1408" t="s">
        <v>264</v>
      </c>
      <c r="J862" s="1408" t="s">
        <v>256</v>
      </c>
      <c r="K862" s="551"/>
      <c r="L862" s="551"/>
      <c r="M862" s="551"/>
      <c r="N862" s="551"/>
      <c r="O862" s="551"/>
      <c r="P862" s="551"/>
      <c r="Q862" s="551"/>
      <c r="R862" s="551"/>
      <c r="S862" s="2017"/>
      <c r="T862" s="2011"/>
      <c r="U862" s="2011"/>
      <c r="V862" s="2011"/>
      <c r="W862" s="2011"/>
      <c r="X862" s="2011"/>
      <c r="Y862" s="2011"/>
      <c r="Z862" s="551"/>
      <c r="AA862" s="551"/>
      <c r="AB862" s="551"/>
    </row>
    <row r="863" spans="1:33" x14ac:dyDescent="0.25">
      <c r="A863" s="2222" t="s">
        <v>2023</v>
      </c>
      <c r="B863" s="2223"/>
      <c r="C863" s="2223"/>
      <c r="D863" s="2223"/>
      <c r="E863" s="2223"/>
      <c r="F863" s="2223"/>
      <c r="G863" s="2223"/>
      <c r="H863" s="2164"/>
      <c r="I863" s="2164"/>
      <c r="J863" s="2164"/>
      <c r="K863" s="551"/>
      <c r="L863" s="551"/>
      <c r="M863" s="551"/>
      <c r="N863" s="551"/>
      <c r="O863" s="551"/>
      <c r="P863" s="551"/>
      <c r="Q863" s="551"/>
      <c r="R863" s="551"/>
      <c r="S863" s="2017"/>
      <c r="T863" s="2011"/>
      <c r="U863" s="2011"/>
      <c r="V863" s="2011"/>
      <c r="W863" s="2011"/>
      <c r="X863" s="2011"/>
      <c r="Y863" s="2011"/>
      <c r="Z863" s="551"/>
      <c r="AA863" s="551"/>
      <c r="AB863" s="551"/>
    </row>
    <row r="864" spans="1:33" x14ac:dyDescent="0.25">
      <c r="A864" s="1413">
        <v>1</v>
      </c>
      <c r="B864" s="2352" t="s">
        <v>2024</v>
      </c>
      <c r="C864" s="2352"/>
      <c r="D864" s="2293"/>
      <c r="E864" s="2293"/>
      <c r="F864" s="2293"/>
      <c r="G864" s="758" t="s">
        <v>245</v>
      </c>
      <c r="H864" s="759">
        <v>1</v>
      </c>
      <c r="I864" s="884">
        <v>1300</v>
      </c>
      <c r="J864" s="676">
        <f>H864*I864</f>
        <v>1300</v>
      </c>
      <c r="K864" s="551"/>
      <c r="L864" s="551"/>
      <c r="M864" s="551"/>
      <c r="N864" s="551"/>
      <c r="O864" s="551"/>
      <c r="P864" s="551"/>
      <c r="Q864" s="551"/>
      <c r="R864" s="551"/>
      <c r="S864" s="2017"/>
      <c r="T864" s="2011"/>
      <c r="U864" s="2011"/>
      <c r="V864" s="2011"/>
      <c r="W864" s="2011"/>
      <c r="X864" s="2011"/>
      <c r="Y864" s="2011"/>
      <c r="Z864" s="551"/>
      <c r="AA864" s="551"/>
      <c r="AB864" s="551"/>
    </row>
    <row r="865" spans="1:33" ht="15" customHeight="1" x14ac:dyDescent="0.25">
      <c r="A865" s="1419">
        <v>2</v>
      </c>
      <c r="B865" s="2352" t="s">
        <v>2025</v>
      </c>
      <c r="C865" s="2352"/>
      <c r="D865" s="2293"/>
      <c r="E865" s="2293"/>
      <c r="F865" s="2293"/>
      <c r="G865" s="1419" t="s">
        <v>245</v>
      </c>
      <c r="H865" s="1408">
        <v>3</v>
      </c>
      <c r="I865" s="676">
        <v>60</v>
      </c>
      <c r="J865" s="676">
        <f>H865*I865</f>
        <v>180</v>
      </c>
      <c r="K865" s="551"/>
      <c r="L865" s="551"/>
      <c r="M865" s="551"/>
      <c r="N865" s="551"/>
      <c r="O865" s="551"/>
      <c r="P865" s="551"/>
      <c r="Q865" s="551"/>
      <c r="R865" s="551"/>
      <c r="S865" s="2017"/>
      <c r="T865" s="2011"/>
      <c r="U865" s="2011"/>
      <c r="V865" s="2011"/>
      <c r="W865" s="2011"/>
      <c r="X865" s="2011"/>
      <c r="Y865" s="2011"/>
      <c r="Z865" s="551"/>
      <c r="AA865" s="551"/>
      <c r="AB865" s="551"/>
    </row>
    <row r="866" spans="1:33" x14ac:dyDescent="0.25">
      <c r="A866" s="2284" t="s">
        <v>39</v>
      </c>
      <c r="B866" s="2284"/>
      <c r="C866" s="2284"/>
      <c r="D866" s="2284"/>
      <c r="E866" s="2171"/>
      <c r="F866" s="2171"/>
      <c r="G866" s="2171"/>
      <c r="H866" s="677" t="s">
        <v>5</v>
      </c>
      <c r="I866" s="677" t="s">
        <v>5</v>
      </c>
      <c r="J866" s="101">
        <f>SUM(J864:J865)</f>
        <v>1480</v>
      </c>
      <c r="K866" s="551"/>
      <c r="L866" s="551"/>
      <c r="M866" s="551"/>
      <c r="N866" s="551"/>
      <c r="O866" s="551"/>
      <c r="P866" s="551"/>
      <c r="Q866" s="551"/>
      <c r="R866" s="551"/>
      <c r="S866" s="2017"/>
      <c r="T866" s="2011"/>
      <c r="U866" s="2011"/>
      <c r="V866" s="2011"/>
      <c r="W866" s="2011"/>
      <c r="X866" s="2011"/>
      <c r="Y866" s="2011"/>
      <c r="Z866" s="551"/>
      <c r="AA866" s="551"/>
      <c r="AB866" s="551"/>
    </row>
    <row r="867" spans="1:33" s="61" customFormat="1" ht="15.75" customHeight="1" x14ac:dyDescent="0.25">
      <c r="A867" s="1458"/>
      <c r="B867" s="72"/>
      <c r="C867" s="75"/>
      <c r="D867" s="75"/>
      <c r="E867" s="71"/>
      <c r="F867" s="1457"/>
      <c r="G867" s="1457"/>
      <c r="H867" s="60"/>
      <c r="I867" s="69"/>
      <c r="J867" s="85"/>
      <c r="L867" s="1465"/>
      <c r="P867" s="79"/>
      <c r="Q867" s="1101"/>
      <c r="R867" s="75"/>
      <c r="S867" s="2017"/>
      <c r="T867" s="2011"/>
      <c r="U867" s="2011"/>
      <c r="V867" s="2011"/>
      <c r="W867" s="2011"/>
      <c r="X867" s="2011"/>
      <c r="Y867" s="2011"/>
      <c r="Z867" s="1483"/>
      <c r="AA867" s="1466"/>
      <c r="AB867" s="1467"/>
      <c r="AC867" s="1468"/>
      <c r="AD867" s="1469"/>
      <c r="AE867" s="1189"/>
      <c r="AF867" s="75"/>
      <c r="AG867" s="75"/>
    </row>
    <row r="868" spans="1:33" s="1480" customFormat="1" ht="14.25" hidden="1" customHeight="1" x14ac:dyDescent="0.25">
      <c r="A868" s="1470" t="s">
        <v>26</v>
      </c>
      <c r="B868" s="1471"/>
      <c r="C868" s="1472"/>
      <c r="D868" s="1472"/>
      <c r="E868" s="1473" t="s">
        <v>625</v>
      </c>
      <c r="F868" s="1474"/>
      <c r="G868" s="1474"/>
      <c r="H868" s="1475"/>
      <c r="I868" s="1476"/>
      <c r="J868" s="1477">
        <f>J878</f>
        <v>0</v>
      </c>
      <c r="K868" s="1478"/>
      <c r="L868" s="1465"/>
      <c r="M868" s="1479"/>
      <c r="N868" s="61"/>
      <c r="P868" s="79"/>
      <c r="Q868" s="1101"/>
      <c r="R868" s="1472"/>
      <c r="S868" s="2017"/>
      <c r="T868" s="2011"/>
      <c r="U868" s="2011"/>
      <c r="V868" s="2011"/>
      <c r="W868" s="2011"/>
      <c r="X868" s="2011"/>
      <c r="Y868" s="2011"/>
      <c r="Z868" s="1481"/>
      <c r="AA868" s="1466"/>
      <c r="AB868" s="1482"/>
      <c r="AC868" s="97"/>
      <c r="AD868" s="1469"/>
      <c r="AE868" s="1189"/>
      <c r="AF868" s="1472"/>
      <c r="AG868" s="1472"/>
    </row>
    <row r="869" spans="1:33" s="61" customFormat="1" ht="15" hidden="1" customHeight="1" x14ac:dyDescent="0.25">
      <c r="A869" s="1458" t="s">
        <v>27</v>
      </c>
      <c r="B869" s="72"/>
      <c r="C869" s="75"/>
      <c r="D869" s="75"/>
      <c r="E869" s="71" t="s">
        <v>1837</v>
      </c>
      <c r="F869" s="1457"/>
      <c r="G869" s="1457"/>
      <c r="H869" s="60"/>
      <c r="I869" s="69"/>
      <c r="J869" s="69"/>
      <c r="K869" s="87"/>
      <c r="L869" s="1465"/>
      <c r="M869" s="99"/>
      <c r="N869" s="1479"/>
      <c r="P869" s="79"/>
      <c r="Q869" s="1101"/>
      <c r="R869" s="75"/>
      <c r="S869" s="2018"/>
      <c r="T869" s="2011"/>
      <c r="U869" s="2011"/>
      <c r="V869" s="2011"/>
      <c r="W869" s="2011"/>
      <c r="X869" s="2011"/>
      <c r="Y869" s="2011"/>
      <c r="Z869" s="1440"/>
      <c r="AA869" s="1466"/>
      <c r="AB869" s="1482"/>
      <c r="AC869" s="97"/>
      <c r="AD869" s="1469"/>
      <c r="AE869" s="1189"/>
      <c r="AF869" s="75"/>
      <c r="AG869" s="75"/>
    </row>
    <row r="870" spans="1:33" s="61" customFormat="1" hidden="1" x14ac:dyDescent="0.25">
      <c r="A870" s="1457" t="s">
        <v>951</v>
      </c>
      <c r="B870" s="1457"/>
      <c r="C870" s="1457"/>
      <c r="D870" s="1457"/>
      <c r="E870" s="1457"/>
      <c r="F870" s="1457"/>
      <c r="G870" s="1457"/>
      <c r="H870" s="60"/>
      <c r="I870" s="69"/>
      <c r="J870" s="69"/>
      <c r="K870" s="87"/>
      <c r="L870" s="1465"/>
      <c r="M870" s="99"/>
      <c r="N870" s="99"/>
      <c r="P870" s="79"/>
      <c r="Q870" s="1101"/>
      <c r="R870" s="75"/>
      <c r="S870" s="2015"/>
      <c r="T870" s="2015"/>
      <c r="U870" s="2015"/>
      <c r="V870" s="2015"/>
      <c r="W870" s="2015"/>
      <c r="X870" s="2015"/>
      <c r="Y870" s="2015"/>
      <c r="Z870" s="2015"/>
      <c r="AA870" s="2015"/>
      <c r="AB870" s="2015"/>
      <c r="AC870" s="1484"/>
      <c r="AD870" s="1469"/>
      <c r="AE870" s="1485"/>
      <c r="AF870" s="75"/>
      <c r="AG870" s="75"/>
    </row>
    <row r="871" spans="1:33" s="61" customFormat="1" hidden="1" x14ac:dyDescent="0.25">
      <c r="A871" s="2019" t="s">
        <v>8</v>
      </c>
      <c r="B871" s="1956" t="s">
        <v>35</v>
      </c>
      <c r="C871" s="2353"/>
      <c r="D871" s="2353"/>
      <c r="E871" s="2353"/>
      <c r="F871" s="2354"/>
      <c r="G871" s="2024" t="s">
        <v>61</v>
      </c>
      <c r="H871" s="1990" t="s">
        <v>1827</v>
      </c>
      <c r="I871" s="2168"/>
      <c r="J871" s="2169"/>
      <c r="K871" s="87"/>
      <c r="L871" s="1465"/>
      <c r="M871" s="99"/>
      <c r="N871" s="99"/>
      <c r="P871" s="79"/>
      <c r="Q871" s="1101"/>
      <c r="R871" s="75"/>
      <c r="S871" s="1486"/>
      <c r="T871" s="1486"/>
      <c r="U871" s="1486"/>
      <c r="V871" s="1486"/>
      <c r="W871" s="1486"/>
      <c r="X871" s="1486"/>
      <c r="Y871" s="1486"/>
      <c r="Z871" s="1486"/>
      <c r="AA871" s="1486"/>
      <c r="AB871" s="1486"/>
      <c r="AC871" s="1484"/>
      <c r="AD871" s="1469"/>
      <c r="AE871" s="1485"/>
      <c r="AF871" s="75"/>
      <c r="AG871" s="75"/>
    </row>
    <row r="872" spans="1:33" s="61" customFormat="1" ht="30" hidden="1" x14ac:dyDescent="0.25">
      <c r="A872" s="2161"/>
      <c r="B872" s="2355"/>
      <c r="C872" s="2356"/>
      <c r="D872" s="2356"/>
      <c r="E872" s="2356"/>
      <c r="F872" s="2357"/>
      <c r="G872" s="2358"/>
      <c r="H872" s="1418" t="s">
        <v>248</v>
      </c>
      <c r="I872" s="1426" t="s">
        <v>264</v>
      </c>
      <c r="J872" s="1432" t="s">
        <v>256</v>
      </c>
      <c r="K872" s="97"/>
      <c r="L872" s="1465"/>
      <c r="M872" s="97"/>
      <c r="N872" s="99"/>
      <c r="O872" s="97"/>
      <c r="P872" s="79"/>
      <c r="Q872" s="1101"/>
      <c r="R872" s="774"/>
      <c r="S872" s="2028"/>
      <c r="T872" s="2028"/>
      <c r="U872" s="2028"/>
      <c r="V872" s="2028"/>
      <c r="W872" s="2028"/>
      <c r="X872" s="2028"/>
      <c r="Y872" s="2028"/>
      <c r="Z872" s="2028"/>
      <c r="AA872" s="2028"/>
      <c r="AB872" s="2028"/>
      <c r="AC872" s="97"/>
      <c r="AD872" s="72"/>
      <c r="AE872" s="72"/>
      <c r="AF872" s="75"/>
      <c r="AG872" s="75"/>
    </row>
    <row r="873" spans="1:33" s="61" customFormat="1" hidden="1" x14ac:dyDescent="0.25">
      <c r="A873" s="1381">
        <v>1</v>
      </c>
      <c r="B873" s="2012" t="s">
        <v>1959</v>
      </c>
      <c r="C873" s="2013"/>
      <c r="D873" s="2013"/>
      <c r="E873" s="2013"/>
      <c r="F873" s="2014"/>
      <c r="G873" s="1426" t="s">
        <v>245</v>
      </c>
      <c r="H873" s="1487"/>
      <c r="I873" s="1488">
        <v>1000</v>
      </c>
      <c r="J873" s="1426">
        <f t="shared" ref="J873" si="19">H873*I873</f>
        <v>0</v>
      </c>
      <c r="K873" s="75"/>
      <c r="L873" s="1465"/>
      <c r="M873" s="75"/>
      <c r="N873" s="75"/>
      <c r="O873" s="75"/>
      <c r="P873" s="79"/>
      <c r="Q873" s="1101"/>
      <c r="R873" s="75"/>
      <c r="S873" s="2017"/>
      <c r="T873" s="2017"/>
      <c r="U873" s="2017"/>
      <c r="V873" s="2017"/>
      <c r="W873" s="2017"/>
      <c r="X873" s="2017"/>
      <c r="Y873" s="2017"/>
      <c r="Z873" s="2017"/>
      <c r="AA873" s="2017"/>
      <c r="AB873" s="2017"/>
      <c r="AC873" s="2017"/>
      <c r="AD873" s="1489"/>
      <c r="AE873" s="72"/>
      <c r="AF873" s="75"/>
      <c r="AG873" s="75"/>
    </row>
    <row r="874" spans="1:33" s="61" customFormat="1" ht="13.5" hidden="1" customHeight="1" x14ac:dyDescent="0.25">
      <c r="A874" s="1141">
        <v>2</v>
      </c>
      <c r="B874" s="2012" t="s">
        <v>1960</v>
      </c>
      <c r="C874" s="2013"/>
      <c r="D874" s="2013"/>
      <c r="E874" s="2013"/>
      <c r="F874" s="2014"/>
      <c r="G874" s="1426" t="s">
        <v>245</v>
      </c>
      <c r="H874" s="1487"/>
      <c r="I874" s="1488">
        <v>500</v>
      </c>
      <c r="J874" s="1426">
        <f>H874*I874</f>
        <v>0</v>
      </c>
      <c r="K874" s="75"/>
      <c r="L874" s="1465"/>
      <c r="M874" s="75"/>
      <c r="N874" s="75"/>
      <c r="O874" s="75"/>
      <c r="P874" s="79"/>
      <c r="Q874" s="1101"/>
      <c r="R874" s="75"/>
      <c r="S874" s="1438"/>
      <c r="T874" s="2011"/>
      <c r="U874" s="2011"/>
      <c r="V874" s="2011"/>
      <c r="W874" s="2011"/>
      <c r="X874" s="2011"/>
      <c r="Y874" s="2011"/>
      <c r="Z874" s="1483"/>
      <c r="AA874" s="1467"/>
      <c r="AB874" s="97"/>
      <c r="AC874" s="1468"/>
      <c r="AD874" s="1469"/>
      <c r="AE874" s="1189"/>
      <c r="AF874" s="75"/>
      <c r="AG874" s="75"/>
    </row>
    <row r="875" spans="1:33" s="61" customFormat="1" ht="28.5" hidden="1" customHeight="1" x14ac:dyDescent="0.25">
      <c r="A875" s="1381">
        <v>3</v>
      </c>
      <c r="B875" s="2012" t="s">
        <v>1963</v>
      </c>
      <c r="C875" s="2013"/>
      <c r="D875" s="2013"/>
      <c r="E875" s="2013"/>
      <c r="F875" s="2014"/>
      <c r="G875" s="1426" t="s">
        <v>245</v>
      </c>
      <c r="H875" s="1487"/>
      <c r="I875" s="1488">
        <v>1500</v>
      </c>
      <c r="J875" s="1426">
        <f t="shared" ref="J875:J877" si="20">H875*I875</f>
        <v>0</v>
      </c>
      <c r="K875" s="75"/>
      <c r="L875" s="1465"/>
      <c r="M875" s="75"/>
      <c r="N875" s="75"/>
      <c r="O875" s="75"/>
      <c r="P875" s="79"/>
      <c r="Q875" s="1101"/>
      <c r="R875" s="75"/>
      <c r="S875" s="1438"/>
      <c r="T875" s="2011"/>
      <c r="U875" s="2011"/>
      <c r="V875" s="2011"/>
      <c r="W875" s="2011"/>
      <c r="X875" s="2011"/>
      <c r="Y875" s="2011"/>
      <c r="Z875" s="1440"/>
      <c r="AA875" s="1490"/>
      <c r="AB875" s="1482"/>
      <c r="AC875" s="97"/>
      <c r="AD875" s="1469"/>
      <c r="AE875" s="1189"/>
      <c r="AF875" s="75"/>
      <c r="AG875" s="75"/>
    </row>
    <row r="876" spans="1:33" s="61" customFormat="1" hidden="1" x14ac:dyDescent="0.25">
      <c r="A876" s="1141">
        <v>4</v>
      </c>
      <c r="B876" s="2012" t="s">
        <v>1961</v>
      </c>
      <c r="C876" s="2013"/>
      <c r="D876" s="2013"/>
      <c r="E876" s="2013"/>
      <c r="F876" s="2014"/>
      <c r="G876" s="1426" t="s">
        <v>245</v>
      </c>
      <c r="H876" s="1487"/>
      <c r="I876" s="1488">
        <v>1000</v>
      </c>
      <c r="J876" s="1426">
        <f t="shared" si="20"/>
        <v>0</v>
      </c>
      <c r="K876" s="79"/>
      <c r="L876" s="1465"/>
      <c r="M876" s="1101"/>
      <c r="N876" s="75"/>
      <c r="O876" s="75"/>
      <c r="P876" s="79"/>
      <c r="Q876" s="1101"/>
      <c r="R876" s="75"/>
      <c r="S876" s="2015"/>
      <c r="T876" s="2015"/>
      <c r="U876" s="2015"/>
      <c r="V876" s="2015"/>
      <c r="W876" s="2015"/>
      <c r="X876" s="2015"/>
      <c r="Y876" s="2015"/>
      <c r="Z876" s="2015"/>
      <c r="AA876" s="2015"/>
      <c r="AB876" s="2015"/>
      <c r="AC876" s="1484"/>
      <c r="AD876" s="72"/>
      <c r="AE876" s="1489"/>
      <c r="AF876" s="75"/>
      <c r="AG876" s="75"/>
    </row>
    <row r="877" spans="1:33" s="61" customFormat="1" hidden="1" x14ac:dyDescent="0.25">
      <c r="A877" s="1141">
        <v>5</v>
      </c>
      <c r="B877" s="2012" t="s">
        <v>1962</v>
      </c>
      <c r="C877" s="2013"/>
      <c r="D877" s="2013"/>
      <c r="E877" s="2013"/>
      <c r="F877" s="2014"/>
      <c r="G877" s="1426" t="s">
        <v>245</v>
      </c>
      <c r="H877" s="1487"/>
      <c r="I877" s="1488">
        <v>600</v>
      </c>
      <c r="J877" s="1426">
        <f t="shared" si="20"/>
        <v>0</v>
      </c>
      <c r="K877" s="75"/>
      <c r="L877" s="1465"/>
      <c r="M877" s="75"/>
      <c r="N877" s="75"/>
      <c r="O877" s="75"/>
      <c r="P877" s="79"/>
      <c r="Q877" s="1101"/>
      <c r="R877" s="75"/>
      <c r="S877" s="2015"/>
      <c r="T877" s="2015"/>
      <c r="U877" s="2015"/>
      <c r="V877" s="2015"/>
      <c r="W877" s="2015"/>
      <c r="X877" s="2015"/>
      <c r="Y877" s="2015"/>
      <c r="Z877" s="2015"/>
      <c r="AA877" s="2015"/>
      <c r="AB877" s="2015"/>
      <c r="AC877" s="1484"/>
      <c r="AD877" s="72"/>
      <c r="AE877" s="1489"/>
      <c r="AF877" s="75"/>
      <c r="AG877" s="75"/>
    </row>
    <row r="878" spans="1:33" s="61" customFormat="1" hidden="1" x14ac:dyDescent="0.25">
      <c r="A878" s="1993" t="s">
        <v>39</v>
      </c>
      <c r="B878" s="1993"/>
      <c r="C878" s="1993"/>
      <c r="D878" s="1993"/>
      <c r="E878" s="1993"/>
      <c r="F878" s="1993"/>
      <c r="G878" s="1993"/>
      <c r="H878" s="1192" t="s">
        <v>5</v>
      </c>
      <c r="I878" s="1192" t="s">
        <v>5</v>
      </c>
      <c r="J878" s="1192">
        <f>SUM(J873:J877)</f>
        <v>0</v>
      </c>
      <c r="K878" s="351"/>
      <c r="L878" s="1465"/>
      <c r="M878" s="1402"/>
      <c r="N878" s="75"/>
      <c r="O878" s="75"/>
      <c r="P878" s="79"/>
      <c r="Q878" s="1101"/>
      <c r="R878" s="75"/>
      <c r="S878" s="2016"/>
      <c r="T878" s="2016"/>
      <c r="U878" s="2016"/>
      <c r="V878" s="2016"/>
      <c r="W878" s="2016"/>
      <c r="X878" s="2016"/>
      <c r="Y878" s="2016"/>
      <c r="Z878" s="2016"/>
      <c r="AA878" s="2016"/>
      <c r="AB878" s="2016"/>
      <c r="AC878" s="97"/>
      <c r="AD878" s="351"/>
      <c r="AE878" s="924"/>
      <c r="AF878" s="75"/>
      <c r="AG878" s="75"/>
    </row>
    <row r="879" spans="1:33" s="70" customFormat="1" hidden="1" x14ac:dyDescent="0.25">
      <c r="A879" s="1210"/>
      <c r="B879" s="1210"/>
      <c r="C879" s="1210"/>
      <c r="D879" s="1210"/>
      <c r="E879" s="1210"/>
      <c r="F879" s="1210"/>
      <c r="G879" s="1210"/>
      <c r="H879" s="1439"/>
      <c r="I879" s="1439"/>
      <c r="J879" s="64"/>
      <c r="K879" s="344"/>
      <c r="L879" s="1402"/>
      <c r="M879" s="1402"/>
      <c r="N879" s="1402"/>
      <c r="O879" s="1402"/>
      <c r="P879" s="79"/>
      <c r="Q879" s="1101"/>
      <c r="R879" s="79"/>
      <c r="S879" s="79"/>
      <c r="T879" s="79"/>
      <c r="U879" s="79"/>
      <c r="V879" s="79"/>
      <c r="W879" s="79"/>
      <c r="X879" s="79"/>
      <c r="Y879" s="79"/>
      <c r="Z879" s="79"/>
      <c r="AA879" s="79"/>
      <c r="AB879" s="79"/>
      <c r="AC879" s="79"/>
      <c r="AD879" s="79"/>
      <c r="AE879" s="79"/>
      <c r="AF879" s="79"/>
    </row>
    <row r="880" spans="1:33" s="61" customFormat="1" x14ac:dyDescent="0.25">
      <c r="A880" s="1458" t="s">
        <v>147</v>
      </c>
      <c r="B880" s="1458"/>
      <c r="C880" s="1458"/>
      <c r="D880" s="1458"/>
      <c r="E880" s="94" t="s">
        <v>1725</v>
      </c>
      <c r="F880" s="1457"/>
      <c r="G880" s="1457"/>
      <c r="H880" s="60"/>
      <c r="I880" s="69"/>
      <c r="J880" s="85">
        <f>J882</f>
        <v>12199547.66</v>
      </c>
      <c r="L880" s="865"/>
      <c r="M880" s="891"/>
    </row>
    <row r="881" spans="1:15" s="61" customFormat="1" x14ac:dyDescent="0.25">
      <c r="A881" s="63"/>
      <c r="B881" s="63"/>
      <c r="C881" s="63"/>
      <c r="D881" s="63"/>
      <c r="E881" s="63"/>
      <c r="F881" s="63"/>
      <c r="G881" s="64"/>
      <c r="H881" s="64"/>
      <c r="I881" s="64"/>
      <c r="J881" s="64"/>
      <c r="L881" s="865"/>
      <c r="M881" s="891"/>
    </row>
    <row r="882" spans="1:15" s="61" customFormat="1" x14ac:dyDescent="0.25">
      <c r="A882" s="1458" t="s">
        <v>63</v>
      </c>
      <c r="B882" s="72"/>
      <c r="E882" s="71" t="s">
        <v>77</v>
      </c>
      <c r="F882" s="1457"/>
      <c r="G882" s="1457"/>
      <c r="H882" s="60"/>
      <c r="I882" s="69"/>
      <c r="J882" s="85">
        <f>J883</f>
        <v>12199547.66</v>
      </c>
      <c r="K882" s="81"/>
      <c r="L882" s="865"/>
      <c r="M882" s="891"/>
      <c r="N882" s="70"/>
    </row>
    <row r="883" spans="1:15" s="61" customFormat="1" x14ac:dyDescent="0.25">
      <c r="A883" s="786" t="s">
        <v>26</v>
      </c>
      <c r="B883" s="794"/>
      <c r="C883" s="936"/>
      <c r="D883" s="936"/>
      <c r="E883" s="793" t="s">
        <v>624</v>
      </c>
      <c r="F883" s="787"/>
      <c r="G883" s="787"/>
      <c r="H883" s="788"/>
      <c r="I883" s="986"/>
      <c r="J883" s="789">
        <f>J891+J903++J927+J937</f>
        <v>12199547.66</v>
      </c>
      <c r="K883" s="70">
        <f>N3</f>
        <v>0</v>
      </c>
      <c r="L883" s="1550">
        <f>K883/I889</f>
        <v>0</v>
      </c>
      <c r="M883" s="891"/>
    </row>
    <row r="884" spans="1:15" s="61" customFormat="1" x14ac:dyDescent="0.25">
      <c r="A884" s="1458" t="s">
        <v>27</v>
      </c>
      <c r="B884" s="72"/>
      <c r="E884" s="71" t="s">
        <v>1477</v>
      </c>
      <c r="F884" s="1457"/>
      <c r="G884" s="1457"/>
      <c r="H884" s="60"/>
      <c r="I884" s="69"/>
      <c r="J884" s="69"/>
      <c r="K884" s="87"/>
      <c r="L884" s="865"/>
      <c r="M884" s="891"/>
      <c r="N884" s="355"/>
      <c r="O884" s="354"/>
    </row>
    <row r="885" spans="1:15" s="61" customFormat="1" x14ac:dyDescent="0.25">
      <c r="A885" s="1449" t="s">
        <v>306</v>
      </c>
      <c r="B885" s="1449"/>
      <c r="C885" s="1449"/>
      <c r="D885" s="1449"/>
      <c r="E885" s="1449"/>
      <c r="F885" s="1449"/>
      <c r="G885" s="1449"/>
      <c r="H885" s="505"/>
      <c r="I885" s="506"/>
      <c r="J885" s="506"/>
      <c r="K885" s="354" t="s">
        <v>1478</v>
      </c>
      <c r="L885" s="552"/>
      <c r="M885" s="891"/>
      <c r="N885" s="355"/>
      <c r="O885" s="354"/>
    </row>
    <row r="886" spans="1:15" s="61" customFormat="1" ht="15" customHeight="1" x14ac:dyDescent="0.25">
      <c r="A886" s="2183" t="s">
        <v>8</v>
      </c>
      <c r="B886" s="2183" t="s">
        <v>35</v>
      </c>
      <c r="C886" s="2183"/>
      <c r="D886" s="2183"/>
      <c r="E886" s="2183"/>
      <c r="F886" s="2183" t="s">
        <v>272</v>
      </c>
      <c r="G886" s="2184" t="s">
        <v>2046</v>
      </c>
      <c r="H886" s="2279"/>
      <c r="I886" s="2279"/>
      <c r="J886" s="2280"/>
      <c r="K886" s="87"/>
      <c r="L886" s="552"/>
      <c r="M886" s="1401"/>
      <c r="N886" s="354"/>
      <c r="O886" s="354"/>
    </row>
    <row r="887" spans="1:15" s="61" customFormat="1" ht="45" x14ac:dyDescent="0.25">
      <c r="A887" s="2183"/>
      <c r="B887" s="2183"/>
      <c r="C887" s="2183"/>
      <c r="D887" s="2183"/>
      <c r="E887" s="2183"/>
      <c r="F887" s="2183"/>
      <c r="G887" s="1408" t="s">
        <v>515</v>
      </c>
      <c r="H887" s="1408" t="s">
        <v>55</v>
      </c>
      <c r="I887" s="1434" t="s">
        <v>265</v>
      </c>
      <c r="J887" s="1434" t="s">
        <v>256</v>
      </c>
      <c r="K887" s="87"/>
      <c r="L887" s="582"/>
      <c r="M887" s="891"/>
      <c r="N887" s="354"/>
      <c r="O887" s="354"/>
    </row>
    <row r="888" spans="1:15" s="61" customFormat="1" ht="30" customHeight="1" x14ac:dyDescent="0.25">
      <c r="A888" s="2042">
        <v>1</v>
      </c>
      <c r="B888" s="1953" t="s">
        <v>56</v>
      </c>
      <c r="C888" s="2359"/>
      <c r="D888" s="2359"/>
      <c r="E888" s="2359"/>
      <c r="F888" s="1175" t="s">
        <v>1679</v>
      </c>
      <c r="G888" s="1552" t="s">
        <v>2054</v>
      </c>
      <c r="H888" s="1205">
        <v>700</v>
      </c>
      <c r="I888" s="1368">
        <v>2365.788</v>
      </c>
      <c r="J888" s="1367">
        <f>H888*I888</f>
        <v>1656051.6</v>
      </c>
      <c r="K888" s="87"/>
      <c r="L888" s="1044" t="s">
        <v>1486</v>
      </c>
      <c r="M888" s="174">
        <v>0</v>
      </c>
      <c r="N888" s="555"/>
      <c r="O888" s="987"/>
    </row>
    <row r="889" spans="1:15" s="61" customFormat="1" ht="30" x14ac:dyDescent="0.25">
      <c r="A889" s="2042"/>
      <c r="B889" s="2359"/>
      <c r="C889" s="2359"/>
      <c r="D889" s="2359"/>
      <c r="E889" s="2359"/>
      <c r="F889" s="1175" t="s">
        <v>1679</v>
      </c>
      <c r="G889" s="1552" t="s">
        <v>2055</v>
      </c>
      <c r="H889" s="1539">
        <f>3720-935.69633-0.62558437-560.33243</f>
        <v>2223.345656</v>
      </c>
      <c r="I889" s="1540">
        <v>2365.788</v>
      </c>
      <c r="J889" s="1541">
        <f>H889*I889</f>
        <v>5259964.47</v>
      </c>
      <c r="K889" s="354"/>
      <c r="L889" s="1538"/>
      <c r="M889" s="1048"/>
      <c r="N889" s="555"/>
      <c r="O889" s="987"/>
    </row>
    <row r="890" spans="1:15" s="61" customFormat="1" ht="30" hidden="1" x14ac:dyDescent="0.25">
      <c r="A890" s="2042"/>
      <c r="B890" s="2359"/>
      <c r="C890" s="2359"/>
      <c r="D890" s="2359"/>
      <c r="E890" s="2359"/>
      <c r="F890" s="1175" t="s">
        <v>1679</v>
      </c>
      <c r="G890" s="1392" t="s">
        <v>1844</v>
      </c>
      <c r="H890" s="1239"/>
      <c r="I890" s="1368">
        <v>2602.3670000000002</v>
      </c>
      <c r="J890" s="1367">
        <f>H890*I890</f>
        <v>0</v>
      </c>
      <c r="K890" s="354"/>
      <c r="L890" s="989"/>
      <c r="M890" s="1048"/>
      <c r="N890" s="555"/>
      <c r="O890" s="987"/>
    </row>
    <row r="891" spans="1:15" s="61" customFormat="1" ht="15" customHeight="1" x14ac:dyDescent="0.25">
      <c r="A891" s="2035" t="s">
        <v>39</v>
      </c>
      <c r="B891" s="2035"/>
      <c r="C891" s="2035"/>
      <c r="D891" s="2035"/>
      <c r="E891" s="2035"/>
      <c r="F891" s="2035"/>
      <c r="G891" s="2035"/>
      <c r="H891" s="2035"/>
      <c r="I891" s="2035"/>
      <c r="J891" s="1393">
        <f>SUM(J888:J890)</f>
        <v>6916016.0700000003</v>
      </c>
      <c r="K891" s="344">
        <v>0</v>
      </c>
      <c r="L891" s="849">
        <f>J891-K891</f>
        <v>6916016.0700000003</v>
      </c>
      <c r="M891" s="1302"/>
      <c r="N891" s="1048"/>
      <c r="O891" s="1048"/>
    </row>
    <row r="892" spans="1:15" s="61" customFormat="1" ht="15" hidden="1" customHeight="1" x14ac:dyDescent="0.25">
      <c r="A892" s="2361" t="s">
        <v>514</v>
      </c>
      <c r="B892" s="2362"/>
      <c r="C892" s="2362"/>
      <c r="D892" s="2362"/>
      <c r="E892" s="2362"/>
      <c r="F892" s="2362"/>
      <c r="G892" s="2362"/>
      <c r="H892" s="2362"/>
      <c r="I892" s="2362"/>
      <c r="J892" s="2362"/>
      <c r="K892" s="577"/>
      <c r="L892" s="87"/>
      <c r="M892" s="354"/>
      <c r="N892" s="354"/>
      <c r="O892" s="354"/>
    </row>
    <row r="893" spans="1:15" s="61" customFormat="1" hidden="1" x14ac:dyDescent="0.25">
      <c r="A893" s="2363" t="s">
        <v>1134</v>
      </c>
      <c r="B893" s="2363"/>
      <c r="C893" s="2363"/>
      <c r="D893" s="2363"/>
      <c r="E893" s="2363"/>
      <c r="F893" s="2363"/>
      <c r="G893" s="2363"/>
      <c r="H893" s="2363"/>
      <c r="I893" s="2363"/>
      <c r="J893" s="1403">
        <v>0</v>
      </c>
      <c r="K893" s="344"/>
      <c r="L893" s="849"/>
      <c r="M893" s="70"/>
      <c r="N893" s="354"/>
      <c r="O893" s="354"/>
    </row>
    <row r="894" spans="1:15" s="61" customFormat="1" ht="15" hidden="1" customHeight="1" x14ac:dyDescent="0.25">
      <c r="A894" s="2363" t="s">
        <v>153</v>
      </c>
      <c r="B894" s="2363"/>
      <c r="C894" s="2363"/>
      <c r="D894" s="2363"/>
      <c r="E894" s="2363"/>
      <c r="F894" s="2363"/>
      <c r="G894" s="2363"/>
      <c r="H894" s="2363"/>
      <c r="I894" s="2363"/>
      <c r="J894" s="1403">
        <f>1746810.36+5731050.48+1201092.5</f>
        <v>8678953.3399999999</v>
      </c>
      <c r="M894" s="70"/>
      <c r="N894" s="354"/>
      <c r="O894" s="354"/>
    </row>
    <row r="895" spans="1:15" s="61" customFormat="1" hidden="1" x14ac:dyDescent="0.25">
      <c r="A895" s="2311" t="s">
        <v>619</v>
      </c>
      <c r="B895" s="2311"/>
      <c r="C895" s="2311"/>
      <c r="D895" s="2311"/>
      <c r="E895" s="2311"/>
      <c r="F895" s="2311"/>
      <c r="G895" s="2311"/>
      <c r="H895" s="2311"/>
      <c r="I895" s="2311"/>
      <c r="J895" s="821"/>
      <c r="K895" s="344"/>
      <c r="L895" s="849"/>
      <c r="M895" s="70"/>
      <c r="N895" s="354"/>
      <c r="O895" s="354"/>
    </row>
    <row r="896" spans="1:15" s="61" customFormat="1" hidden="1" x14ac:dyDescent="0.25">
      <c r="A896" s="2311" t="s">
        <v>1147</v>
      </c>
      <c r="B896" s="2311"/>
      <c r="C896" s="2311"/>
      <c r="D896" s="2311"/>
      <c r="E896" s="2311"/>
      <c r="F896" s="2311"/>
      <c r="G896" s="2311"/>
      <c r="H896" s="2311"/>
      <c r="I896" s="2311"/>
      <c r="J896" s="360"/>
      <c r="K896" s="354"/>
      <c r="L896" s="87"/>
      <c r="M896" s="70"/>
      <c r="N896" s="354"/>
      <c r="O896" s="354"/>
    </row>
    <row r="897" spans="1:110" s="61" customFormat="1" x14ac:dyDescent="0.25">
      <c r="A897" s="1386"/>
      <c r="B897" s="1387"/>
      <c r="C897" s="1387"/>
      <c r="D897" s="1387"/>
      <c r="E897" s="1387"/>
      <c r="F897" s="1387"/>
      <c r="G897" s="1387"/>
      <c r="H897" s="1387"/>
      <c r="I897" s="1387"/>
      <c r="J897" s="782"/>
      <c r="K897" s="87"/>
      <c r="L897" s="354"/>
      <c r="M897" s="354"/>
      <c r="N897" s="354"/>
      <c r="O897" s="354"/>
    </row>
    <row r="898" spans="1:110" s="61" customFormat="1" x14ac:dyDescent="0.25">
      <c r="A898" s="2183" t="s">
        <v>8</v>
      </c>
      <c r="B898" s="2183" t="s">
        <v>35</v>
      </c>
      <c r="C898" s="2183"/>
      <c r="D898" s="2183"/>
      <c r="E898" s="2183"/>
      <c r="F898" s="2183" t="s">
        <v>272</v>
      </c>
      <c r="G898" s="2184" t="s">
        <v>2046</v>
      </c>
      <c r="H898" s="2279"/>
      <c r="I898" s="2279"/>
      <c r="J898" s="2280"/>
      <c r="K898" s="87"/>
      <c r="L898" s="354"/>
      <c r="M898" s="354"/>
      <c r="N898" s="354"/>
      <c r="O898" s="354"/>
    </row>
    <row r="899" spans="1:110" s="61" customFormat="1" ht="45" x14ac:dyDescent="0.25">
      <c r="A899" s="2183"/>
      <c r="B899" s="2183"/>
      <c r="C899" s="2183"/>
      <c r="D899" s="2183"/>
      <c r="E899" s="2183"/>
      <c r="F899" s="2183"/>
      <c r="G899" s="1408" t="s">
        <v>515</v>
      </c>
      <c r="H899" s="1408" t="s">
        <v>55</v>
      </c>
      <c r="I899" s="1434" t="s">
        <v>265</v>
      </c>
      <c r="J899" s="1434" t="s">
        <v>256</v>
      </c>
      <c r="K899" s="87"/>
      <c r="L899" s="354"/>
      <c r="M899" s="354"/>
      <c r="N899" s="354"/>
      <c r="O899" s="354"/>
    </row>
    <row r="900" spans="1:110" s="61" customFormat="1" ht="30" customHeight="1" x14ac:dyDescent="0.25">
      <c r="A900" s="2144">
        <v>2</v>
      </c>
      <c r="B900" s="2148" t="s">
        <v>1941</v>
      </c>
      <c r="C900" s="2360"/>
      <c r="D900" s="2360"/>
      <c r="E900" s="2360"/>
      <c r="F900" s="1394" t="s">
        <v>1673</v>
      </c>
      <c r="G900" s="1552" t="s">
        <v>2054</v>
      </c>
      <c r="H900" s="1395">
        <v>93000</v>
      </c>
      <c r="I900" s="1396">
        <v>8.8597999999999999</v>
      </c>
      <c r="J900" s="1397">
        <f>H900*I900</f>
        <v>823961.4</v>
      </c>
      <c r="K900" s="354"/>
      <c r="L900" s="1044" t="s">
        <v>1486</v>
      </c>
      <c r="M900" s="174">
        <v>0</v>
      </c>
      <c r="N900" s="354"/>
      <c r="O900" s="354"/>
    </row>
    <row r="901" spans="1:110" s="61" customFormat="1" ht="30" x14ac:dyDescent="0.25">
      <c r="A901" s="2042"/>
      <c r="B901" s="2359"/>
      <c r="C901" s="2359"/>
      <c r="D901" s="2359"/>
      <c r="E901" s="2359"/>
      <c r="F901" s="1175" t="s">
        <v>1673</v>
      </c>
      <c r="G901" s="1552" t="s">
        <v>2055</v>
      </c>
      <c r="H901" s="1398">
        <v>328854.51</v>
      </c>
      <c r="I901" s="1396">
        <v>8.8597999999999999</v>
      </c>
      <c r="J901" s="1363">
        <f>H901*I901</f>
        <v>2913585.19</v>
      </c>
      <c r="K901" s="814"/>
      <c r="L901" s="1284"/>
      <c r="M901" s="1047"/>
      <c r="N901" s="555"/>
      <c r="O901" s="987"/>
    </row>
    <row r="902" spans="1:110" s="61" customFormat="1" ht="30" hidden="1" x14ac:dyDescent="0.25">
      <c r="A902" s="2043"/>
      <c r="B902" s="2359"/>
      <c r="C902" s="2359"/>
      <c r="D902" s="2359"/>
      <c r="E902" s="2359"/>
      <c r="F902" s="1175" t="s">
        <v>1673</v>
      </c>
      <c r="G902" s="1392" t="s">
        <v>1844</v>
      </c>
      <c r="H902" s="1398"/>
      <c r="I902" s="1396">
        <v>9.7457999999999991</v>
      </c>
      <c r="J902" s="1363">
        <f>H902*I902</f>
        <v>0</v>
      </c>
      <c r="K902" s="87"/>
      <c r="L902" s="1047"/>
      <c r="M902" s="1047"/>
      <c r="N902" s="555"/>
      <c r="O902" s="987"/>
    </row>
    <row r="903" spans="1:110" s="61" customFormat="1" ht="15" customHeight="1" x14ac:dyDescent="0.25">
      <c r="A903" s="2035" t="s">
        <v>39</v>
      </c>
      <c r="B903" s="2035"/>
      <c r="C903" s="2035"/>
      <c r="D903" s="2035"/>
      <c r="E903" s="2035"/>
      <c r="F903" s="2035"/>
      <c r="G903" s="2035"/>
      <c r="H903" s="2035"/>
      <c r="I903" s="2035"/>
      <c r="J903" s="1369">
        <f>SUM(J900:J902)</f>
        <v>3737546.59</v>
      </c>
      <c r="K903" s="344">
        <v>0</v>
      </c>
      <c r="L903" s="849">
        <f>J903-K903</f>
        <v>3737546.59</v>
      </c>
      <c r="N903" s="555"/>
      <c r="O903" s="987"/>
    </row>
    <row r="904" spans="1:110" s="61" customFormat="1" ht="15" hidden="1" customHeight="1" x14ac:dyDescent="0.25">
      <c r="A904" s="2361" t="s">
        <v>514</v>
      </c>
      <c r="B904" s="2362"/>
      <c r="C904" s="2362"/>
      <c r="D904" s="2362"/>
      <c r="E904" s="2362"/>
      <c r="F904" s="2362"/>
      <c r="G904" s="2362"/>
      <c r="H904" s="2362"/>
      <c r="I904" s="2362"/>
      <c r="J904" s="2362"/>
      <c r="K904" s="174"/>
      <c r="M904" s="354"/>
      <c r="N904" s="354"/>
      <c r="O904" s="1047"/>
    </row>
    <row r="905" spans="1:110" s="61" customFormat="1" ht="30.75" hidden="1" customHeight="1" x14ac:dyDescent="0.25">
      <c r="A905" s="1953" t="s">
        <v>1789</v>
      </c>
      <c r="B905" s="1953"/>
      <c r="C905" s="1953"/>
      <c r="D905" s="1953"/>
      <c r="E905" s="1953"/>
      <c r="F905" s="1953"/>
      <c r="G905" s="1953"/>
      <c r="H905" s="1953"/>
      <c r="I905" s="1953"/>
      <c r="J905" s="1403"/>
      <c r="K905" s="344"/>
      <c r="L905" s="849">
        <f>J905-K905</f>
        <v>0</v>
      </c>
      <c r="M905" s="70"/>
      <c r="N905" s="354"/>
      <c r="O905" s="354"/>
    </row>
    <row r="906" spans="1:110" s="61" customFormat="1" ht="29.25" hidden="1" customHeight="1" x14ac:dyDescent="0.25">
      <c r="A906" s="1953" t="s">
        <v>1790</v>
      </c>
      <c r="B906" s="1953"/>
      <c r="C906" s="1953"/>
      <c r="D906" s="1953"/>
      <c r="E906" s="1953"/>
      <c r="F906" s="1953"/>
      <c r="G906" s="1953"/>
      <c r="H906" s="1953"/>
      <c r="I906" s="1953"/>
      <c r="J906" s="1403"/>
      <c r="K906" s="344"/>
      <c r="L906" s="849">
        <f>J906-K906</f>
        <v>0</v>
      </c>
      <c r="M906" s="1302"/>
      <c r="N906" s="354"/>
      <c r="O906" s="354"/>
    </row>
    <row r="907" spans="1:110" s="61" customFormat="1" hidden="1" x14ac:dyDescent="0.25">
      <c r="A907" s="2311" t="s">
        <v>619</v>
      </c>
      <c r="B907" s="2311"/>
      <c r="C907" s="2311"/>
      <c r="D907" s="2311"/>
      <c r="E907" s="2311"/>
      <c r="F907" s="2311"/>
      <c r="G907" s="2311"/>
      <c r="H907" s="2311"/>
      <c r="I907" s="2311"/>
      <c r="J907" s="821"/>
      <c r="K907" s="344">
        <v>0</v>
      </c>
      <c r="L907" s="849">
        <f>J907-K907</f>
        <v>0</v>
      </c>
      <c r="M907" s="70"/>
      <c r="N907" s="354"/>
      <c r="O907" s="354"/>
    </row>
    <row r="908" spans="1:110" s="61" customFormat="1" hidden="1" x14ac:dyDescent="0.25">
      <c r="A908" s="2311" t="s">
        <v>1147</v>
      </c>
      <c r="B908" s="2311"/>
      <c r="C908" s="2311"/>
      <c r="D908" s="2311"/>
      <c r="E908" s="2311"/>
      <c r="F908" s="2311"/>
      <c r="G908" s="2311"/>
      <c r="H908" s="2311"/>
      <c r="I908" s="2311"/>
      <c r="J908" s="360"/>
      <c r="K908" s="835"/>
      <c r="L908" s="855"/>
      <c r="M908" s="70"/>
      <c r="N908" s="354"/>
      <c r="O908" s="354"/>
    </row>
    <row r="909" spans="1:110" s="61" customFormat="1" x14ac:dyDescent="0.25">
      <c r="A909" s="1388"/>
      <c r="B909" s="1389"/>
      <c r="C909" s="1389"/>
      <c r="D909" s="1389"/>
      <c r="E909" s="1389"/>
      <c r="F909" s="1389"/>
      <c r="G909" s="1389"/>
      <c r="H909" s="1389"/>
      <c r="I909" s="1389"/>
      <c r="J909" s="782"/>
      <c r="K909" s="835"/>
      <c r="L909" s="855"/>
      <c r="M909" s="70"/>
      <c r="N909" s="354"/>
      <c r="O909" s="354"/>
    </row>
    <row r="910" spans="1:110" s="61" customFormat="1" x14ac:dyDescent="0.25">
      <c r="A910" s="1898" t="s">
        <v>8</v>
      </c>
      <c r="B910" s="1898" t="s">
        <v>35</v>
      </c>
      <c r="C910" s="1898"/>
      <c r="D910" s="1898"/>
      <c r="E910" s="1898"/>
      <c r="F910" s="1898" t="s">
        <v>272</v>
      </c>
      <c r="G910" s="1899" t="s">
        <v>2046</v>
      </c>
      <c r="H910" s="1911"/>
      <c r="I910" s="1911"/>
      <c r="J910" s="1912"/>
      <c r="K910" s="835"/>
      <c r="L910" s="855"/>
      <c r="M910" s="70"/>
      <c r="N910" s="354"/>
      <c r="O910" s="354"/>
    </row>
    <row r="911" spans="1:110" s="61" customFormat="1" ht="45" x14ac:dyDescent="0.25">
      <c r="A911" s="1898"/>
      <c r="B911" s="1898"/>
      <c r="C911" s="1898"/>
      <c r="D911" s="1898"/>
      <c r="E911" s="1898"/>
      <c r="F911" s="1898"/>
      <c r="G911" s="1405" t="s">
        <v>515</v>
      </c>
      <c r="H911" s="1405" t="s">
        <v>55</v>
      </c>
      <c r="I911" s="1404" t="s">
        <v>265</v>
      </c>
      <c r="J911" s="1404" t="s">
        <v>256</v>
      </c>
      <c r="K911" s="835"/>
      <c r="L911" s="855"/>
      <c r="M911" s="70"/>
      <c r="N911" s="354"/>
      <c r="O911" s="354"/>
    </row>
    <row r="912" spans="1:110" s="565" customFormat="1" x14ac:dyDescent="0.25">
      <c r="A912" s="1926">
        <v>3</v>
      </c>
      <c r="B912" s="1986" t="s">
        <v>57</v>
      </c>
      <c r="C912" s="2322"/>
      <c r="D912" s="2322"/>
      <c r="E912" s="2322"/>
      <c r="F912" s="1455" t="s">
        <v>1646</v>
      </c>
      <c r="G912" s="2145" t="s">
        <v>2054</v>
      </c>
      <c r="H912" s="1404">
        <v>810</v>
      </c>
      <c r="I912" s="65">
        <v>61.223999999999997</v>
      </c>
      <c r="J912" s="1404">
        <f t="shared" ref="J912:J926" si="21">H912*I912</f>
        <v>49591.44</v>
      </c>
      <c r="K912" s="555"/>
      <c r="L912" s="1044" t="s">
        <v>1486</v>
      </c>
      <c r="M912" s="174">
        <v>0</v>
      </c>
      <c r="AC912" s="551"/>
      <c r="AD912" s="551"/>
      <c r="AE912" s="551"/>
      <c r="AF912" s="551"/>
      <c r="AG912" s="551"/>
      <c r="AH912" s="551"/>
      <c r="AI912" s="551"/>
      <c r="AJ912" s="551"/>
      <c r="AK912" s="551"/>
      <c r="AL912" s="551"/>
      <c r="AM912" s="551"/>
      <c r="AN912" s="551"/>
      <c r="AO912" s="551"/>
      <c r="AP912" s="551"/>
      <c r="AQ912" s="551"/>
      <c r="AR912" s="551"/>
      <c r="AS912" s="551"/>
      <c r="AT912" s="551"/>
      <c r="AU912" s="551"/>
      <c r="AV912" s="551"/>
      <c r="AW912" s="551"/>
      <c r="AX912" s="551"/>
      <c r="AY912" s="551"/>
      <c r="AZ912" s="551"/>
      <c r="BA912" s="551"/>
      <c r="BB912" s="551"/>
      <c r="BC912" s="551"/>
      <c r="BD912" s="551"/>
      <c r="BE912" s="551"/>
      <c r="BF912" s="551"/>
      <c r="BG912" s="551"/>
      <c r="BH912" s="551"/>
      <c r="BI912" s="551"/>
      <c r="BJ912" s="551"/>
      <c r="BK912" s="551"/>
      <c r="BL912" s="551"/>
      <c r="BM912" s="551"/>
      <c r="BN912" s="551"/>
      <c r="BO912" s="551"/>
      <c r="BP912" s="551"/>
      <c r="BQ912" s="551"/>
      <c r="BR912" s="551"/>
      <c r="BS912" s="551"/>
      <c r="BT912" s="551"/>
      <c r="BU912" s="551"/>
      <c r="BV912" s="551"/>
      <c r="BW912" s="551"/>
      <c r="BX912" s="551"/>
      <c r="BY912" s="551"/>
      <c r="BZ912" s="551"/>
      <c r="CA912" s="551"/>
      <c r="CB912" s="551"/>
      <c r="CC912" s="551"/>
      <c r="CD912" s="551"/>
      <c r="CE912" s="551"/>
      <c r="CF912" s="551"/>
      <c r="CG912" s="551"/>
      <c r="CH912" s="551"/>
      <c r="CI912" s="551"/>
      <c r="CJ912" s="551"/>
      <c r="CK912" s="551"/>
      <c r="CL912" s="551"/>
      <c r="CM912" s="551"/>
      <c r="CN912" s="551"/>
      <c r="CO912" s="551"/>
      <c r="CP912" s="551"/>
      <c r="CQ912" s="551"/>
      <c r="CR912" s="551"/>
      <c r="CS912" s="551"/>
      <c r="CT912" s="551"/>
      <c r="CU912" s="551"/>
      <c r="CV912" s="551"/>
      <c r="CW912" s="551"/>
      <c r="CX912" s="551"/>
      <c r="CY912" s="551"/>
      <c r="CZ912" s="551"/>
      <c r="DA912" s="551"/>
      <c r="DB912" s="551"/>
      <c r="DC912" s="551"/>
      <c r="DD912" s="551"/>
      <c r="DE912" s="551"/>
      <c r="DF912" s="551"/>
    </row>
    <row r="913" spans="1:110" s="565" customFormat="1" x14ac:dyDescent="0.25">
      <c r="A913" s="2173"/>
      <c r="B913" s="1986" t="s">
        <v>58</v>
      </c>
      <c r="C913" s="2322"/>
      <c r="D913" s="2322"/>
      <c r="E913" s="2322"/>
      <c r="F913" s="1455" t="s">
        <v>1646</v>
      </c>
      <c r="G913" s="2364"/>
      <c r="H913" s="1404">
        <v>1100</v>
      </c>
      <c r="I913" s="65">
        <v>65.603999999999999</v>
      </c>
      <c r="J913" s="1404">
        <f>H913*I913</f>
        <v>72164.399999999994</v>
      </c>
      <c r="K913" s="555"/>
      <c r="L913" s="1044"/>
      <c r="M913" s="174"/>
      <c r="AC913" s="551"/>
      <c r="AD913" s="551"/>
      <c r="AE913" s="551"/>
      <c r="AF913" s="551"/>
      <c r="AG913" s="551"/>
      <c r="AH913" s="551"/>
      <c r="AI913" s="551"/>
      <c r="AJ913" s="551"/>
      <c r="AK913" s="551"/>
      <c r="AL913" s="551"/>
      <c r="AM913" s="551"/>
      <c r="AN913" s="551"/>
      <c r="AO913" s="551"/>
      <c r="AP913" s="551"/>
      <c r="AQ913" s="551"/>
      <c r="AR913" s="551"/>
      <c r="AS913" s="551"/>
      <c r="AT913" s="551"/>
      <c r="AU913" s="551"/>
      <c r="AV913" s="551"/>
      <c r="AW913" s="551"/>
      <c r="AX913" s="551"/>
      <c r="AY913" s="551"/>
      <c r="AZ913" s="551"/>
      <c r="BA913" s="551"/>
      <c r="BB913" s="551"/>
      <c r="BC913" s="551"/>
      <c r="BD913" s="551"/>
      <c r="BE913" s="551"/>
      <c r="BF913" s="551"/>
      <c r="BG913" s="551"/>
      <c r="BH913" s="551"/>
      <c r="BI913" s="551"/>
      <c r="BJ913" s="551"/>
      <c r="BK913" s="551"/>
      <c r="BL913" s="551"/>
      <c r="BM913" s="551"/>
      <c r="BN913" s="551"/>
      <c r="BO913" s="551"/>
      <c r="BP913" s="551"/>
      <c r="BQ913" s="551"/>
      <c r="BR913" s="551"/>
      <c r="BS913" s="551"/>
      <c r="BT913" s="551"/>
      <c r="BU913" s="551"/>
      <c r="BV913" s="551"/>
      <c r="BW913" s="551"/>
      <c r="BX913" s="551"/>
      <c r="BY913" s="551"/>
      <c r="BZ913" s="551"/>
      <c r="CA913" s="551"/>
      <c r="CB913" s="551"/>
      <c r="CC913" s="551"/>
      <c r="CD913" s="551"/>
      <c r="CE913" s="551"/>
      <c r="CF913" s="551"/>
      <c r="CG913" s="551"/>
      <c r="CH913" s="551"/>
      <c r="CI913" s="551"/>
      <c r="CJ913" s="551"/>
      <c r="CK913" s="551"/>
      <c r="CL913" s="551"/>
      <c r="CM913" s="551"/>
      <c r="CN913" s="551"/>
      <c r="CO913" s="551"/>
      <c r="CP913" s="551"/>
      <c r="CQ913" s="551"/>
      <c r="CR913" s="551"/>
      <c r="CS913" s="551"/>
      <c r="CT913" s="551"/>
      <c r="CU913" s="551"/>
      <c r="CV913" s="551"/>
      <c r="CW913" s="551"/>
      <c r="CX913" s="551"/>
      <c r="CY913" s="551"/>
      <c r="CZ913" s="551"/>
      <c r="DA913" s="551"/>
      <c r="DB913" s="551"/>
      <c r="DC913" s="551"/>
      <c r="DD913" s="551"/>
      <c r="DE913" s="551"/>
      <c r="DF913" s="551"/>
    </row>
    <row r="914" spans="1:110" s="565" customFormat="1" ht="30.75" customHeight="1" x14ac:dyDescent="0.25">
      <c r="A914" s="2173"/>
      <c r="B914" s="1986" t="s">
        <v>1481</v>
      </c>
      <c r="C914" s="2322"/>
      <c r="D914" s="2322"/>
      <c r="E914" s="2322"/>
      <c r="F914" s="1455" t="s">
        <v>1646</v>
      </c>
      <c r="G914" s="2364"/>
      <c r="H914" s="1390">
        <v>280</v>
      </c>
      <c r="I914" s="65">
        <v>14.868</v>
      </c>
      <c r="J914" s="1404">
        <f>H914*I914</f>
        <v>4163.04</v>
      </c>
      <c r="K914" s="555"/>
      <c r="L914" s="1044"/>
      <c r="M914" s="174"/>
      <c r="AC914" s="551"/>
      <c r="AD914" s="551"/>
      <c r="AE914" s="551"/>
      <c r="AF914" s="551"/>
      <c r="AG914" s="551"/>
      <c r="AH914" s="551"/>
      <c r="AI914" s="551"/>
      <c r="AJ914" s="551"/>
      <c r="AK914" s="551"/>
      <c r="AL914" s="551"/>
      <c r="AM914" s="551"/>
      <c r="AN914" s="551"/>
      <c r="AO914" s="551"/>
      <c r="AP914" s="551"/>
      <c r="AQ914" s="551"/>
      <c r="AR914" s="551"/>
      <c r="AS914" s="551"/>
      <c r="AT914" s="551"/>
      <c r="AU914" s="551"/>
      <c r="AV914" s="551"/>
      <c r="AW914" s="551"/>
      <c r="AX914" s="551"/>
      <c r="AY914" s="551"/>
      <c r="AZ914" s="551"/>
      <c r="BA914" s="551"/>
      <c r="BB914" s="551"/>
      <c r="BC914" s="551"/>
      <c r="BD914" s="551"/>
      <c r="BE914" s="551"/>
      <c r="BF914" s="551"/>
      <c r="BG914" s="551"/>
      <c r="BH914" s="551"/>
      <c r="BI914" s="551"/>
      <c r="BJ914" s="551"/>
      <c r="BK914" s="551"/>
      <c r="BL914" s="551"/>
      <c r="BM914" s="551"/>
      <c r="BN914" s="551"/>
      <c r="BO914" s="551"/>
      <c r="BP914" s="551"/>
      <c r="BQ914" s="551"/>
      <c r="BR914" s="551"/>
      <c r="BS914" s="551"/>
      <c r="BT914" s="551"/>
      <c r="BU914" s="551"/>
      <c r="BV914" s="551"/>
      <c r="BW914" s="551"/>
      <c r="BX914" s="551"/>
      <c r="BY914" s="551"/>
      <c r="BZ914" s="551"/>
      <c r="CA914" s="551"/>
      <c r="CB914" s="551"/>
      <c r="CC914" s="551"/>
      <c r="CD914" s="551"/>
      <c r="CE914" s="551"/>
      <c r="CF914" s="551"/>
      <c r="CG914" s="551"/>
      <c r="CH914" s="551"/>
      <c r="CI914" s="551"/>
      <c r="CJ914" s="551"/>
      <c r="CK914" s="551"/>
      <c r="CL914" s="551"/>
      <c r="CM914" s="551"/>
      <c r="CN914" s="551"/>
      <c r="CO914" s="551"/>
      <c r="CP914" s="551"/>
      <c r="CQ914" s="551"/>
      <c r="CR914" s="551"/>
      <c r="CS914" s="551"/>
      <c r="CT914" s="551"/>
      <c r="CU914" s="551"/>
      <c r="CV914" s="551"/>
      <c r="CW914" s="551"/>
      <c r="CX914" s="551"/>
      <c r="CY914" s="551"/>
      <c r="CZ914" s="551"/>
      <c r="DA914" s="551"/>
      <c r="DB914" s="551"/>
      <c r="DC914" s="551"/>
      <c r="DD914" s="551"/>
      <c r="DE914" s="551"/>
      <c r="DF914" s="551"/>
    </row>
    <row r="915" spans="1:110" s="565" customFormat="1" ht="31.5" customHeight="1" x14ac:dyDescent="0.25">
      <c r="A915" s="2173"/>
      <c r="B915" s="1986" t="s">
        <v>1482</v>
      </c>
      <c r="C915" s="2322"/>
      <c r="D915" s="2322"/>
      <c r="E915" s="2322"/>
      <c r="F915" s="1455" t="s">
        <v>1646</v>
      </c>
      <c r="G915" s="2364"/>
      <c r="H915" s="1399">
        <v>820</v>
      </c>
      <c r="I915" s="1301">
        <v>4.0919999999999996</v>
      </c>
      <c r="J915" s="1404">
        <f>H915*I915</f>
        <v>3355.44</v>
      </c>
      <c r="K915" s="555"/>
      <c r="L915" s="1044"/>
      <c r="M915" s="174"/>
      <c r="AC915" s="551"/>
      <c r="AD915" s="551"/>
      <c r="AE915" s="551"/>
      <c r="AF915" s="551"/>
      <c r="AG915" s="551"/>
      <c r="AH915" s="551"/>
      <c r="AI915" s="551"/>
      <c r="AJ915" s="551"/>
      <c r="AK915" s="551"/>
      <c r="AL915" s="551"/>
      <c r="AM915" s="551"/>
      <c r="AN915" s="551"/>
      <c r="AO915" s="551"/>
      <c r="AP915" s="551"/>
      <c r="AQ915" s="551"/>
      <c r="AR915" s="551"/>
      <c r="AS915" s="551"/>
      <c r="AT915" s="551"/>
      <c r="AU915" s="551"/>
      <c r="AV915" s="551"/>
      <c r="AW915" s="551"/>
      <c r="AX915" s="551"/>
      <c r="AY915" s="551"/>
      <c r="AZ915" s="551"/>
      <c r="BA915" s="551"/>
      <c r="BB915" s="551"/>
      <c r="BC915" s="551"/>
      <c r="BD915" s="551"/>
      <c r="BE915" s="551"/>
      <c r="BF915" s="551"/>
      <c r="BG915" s="551"/>
      <c r="BH915" s="551"/>
      <c r="BI915" s="551"/>
      <c r="BJ915" s="551"/>
      <c r="BK915" s="551"/>
      <c r="BL915" s="551"/>
      <c r="BM915" s="551"/>
      <c r="BN915" s="551"/>
      <c r="BO915" s="551"/>
      <c r="BP915" s="551"/>
      <c r="BQ915" s="551"/>
      <c r="BR915" s="551"/>
      <c r="BS915" s="551"/>
      <c r="BT915" s="551"/>
      <c r="BU915" s="551"/>
      <c r="BV915" s="551"/>
      <c r="BW915" s="551"/>
      <c r="BX915" s="551"/>
      <c r="BY915" s="551"/>
      <c r="BZ915" s="551"/>
      <c r="CA915" s="551"/>
      <c r="CB915" s="551"/>
      <c r="CC915" s="551"/>
      <c r="CD915" s="551"/>
      <c r="CE915" s="551"/>
      <c r="CF915" s="551"/>
      <c r="CG915" s="551"/>
      <c r="CH915" s="551"/>
      <c r="CI915" s="551"/>
      <c r="CJ915" s="551"/>
      <c r="CK915" s="551"/>
      <c r="CL915" s="551"/>
      <c r="CM915" s="551"/>
      <c r="CN915" s="551"/>
      <c r="CO915" s="551"/>
      <c r="CP915" s="551"/>
      <c r="CQ915" s="551"/>
      <c r="CR915" s="551"/>
      <c r="CS915" s="551"/>
      <c r="CT915" s="551"/>
      <c r="CU915" s="551"/>
      <c r="CV915" s="551"/>
      <c r="CW915" s="551"/>
      <c r="CX915" s="551"/>
      <c r="CY915" s="551"/>
      <c r="CZ915" s="551"/>
      <c r="DA915" s="551"/>
      <c r="DB915" s="551"/>
      <c r="DC915" s="551"/>
      <c r="DD915" s="551"/>
      <c r="DE915" s="551"/>
      <c r="DF915" s="551"/>
    </row>
    <row r="916" spans="1:110" s="565" customFormat="1" ht="28.5" customHeight="1" x14ac:dyDescent="0.25">
      <c r="A916" s="2173"/>
      <c r="B916" s="1986" t="s">
        <v>1485</v>
      </c>
      <c r="C916" s="2322"/>
      <c r="D916" s="2322"/>
      <c r="E916" s="2322"/>
      <c r="F916" s="1455" t="s">
        <v>1646</v>
      </c>
      <c r="G916" s="2358"/>
      <c r="H916" s="103">
        <v>750</v>
      </c>
      <c r="I916" s="65">
        <v>65.603999999999999</v>
      </c>
      <c r="J916" s="1404">
        <f>H916*I916</f>
        <v>49203</v>
      </c>
      <c r="K916" s="555"/>
      <c r="L916" s="1044"/>
      <c r="M916" s="174"/>
      <c r="AC916" s="551"/>
      <c r="AD916" s="551"/>
      <c r="AE916" s="551"/>
      <c r="AF916" s="551"/>
      <c r="AG916" s="551"/>
      <c r="AH916" s="551"/>
      <c r="AI916" s="551"/>
      <c r="AJ916" s="551"/>
      <c r="AK916" s="551"/>
      <c r="AL916" s="551"/>
      <c r="AM916" s="551"/>
      <c r="AN916" s="551"/>
      <c r="AO916" s="551"/>
      <c r="AP916" s="551"/>
      <c r="AQ916" s="551"/>
      <c r="AR916" s="551"/>
      <c r="AS916" s="551"/>
      <c r="AT916" s="551"/>
      <c r="AU916" s="551"/>
      <c r="AV916" s="551"/>
      <c r="AW916" s="551"/>
      <c r="AX916" s="551"/>
      <c r="AY916" s="551"/>
      <c r="AZ916" s="551"/>
      <c r="BA916" s="551"/>
      <c r="BB916" s="551"/>
      <c r="BC916" s="551"/>
      <c r="BD916" s="551"/>
      <c r="BE916" s="551"/>
      <c r="BF916" s="551"/>
      <c r="BG916" s="551"/>
      <c r="BH916" s="551"/>
      <c r="BI916" s="551"/>
      <c r="BJ916" s="551"/>
      <c r="BK916" s="551"/>
      <c r="BL916" s="551"/>
      <c r="BM916" s="551"/>
      <c r="BN916" s="551"/>
      <c r="BO916" s="551"/>
      <c r="BP916" s="551"/>
      <c r="BQ916" s="551"/>
      <c r="BR916" s="551"/>
      <c r="BS916" s="551"/>
      <c r="BT916" s="551"/>
      <c r="BU916" s="551"/>
      <c r="BV916" s="551"/>
      <c r="BW916" s="551"/>
      <c r="BX916" s="551"/>
      <c r="BY916" s="551"/>
      <c r="BZ916" s="551"/>
      <c r="CA916" s="551"/>
      <c r="CB916" s="551"/>
      <c r="CC916" s="551"/>
      <c r="CD916" s="551"/>
      <c r="CE916" s="551"/>
      <c r="CF916" s="551"/>
      <c r="CG916" s="551"/>
      <c r="CH916" s="551"/>
      <c r="CI916" s="551"/>
      <c r="CJ916" s="551"/>
      <c r="CK916" s="551"/>
      <c r="CL916" s="551"/>
      <c r="CM916" s="551"/>
      <c r="CN916" s="551"/>
      <c r="CO916" s="551"/>
      <c r="CP916" s="551"/>
      <c r="CQ916" s="551"/>
      <c r="CR916" s="551"/>
      <c r="CS916" s="551"/>
      <c r="CT916" s="551"/>
      <c r="CU916" s="551"/>
      <c r="CV916" s="551"/>
      <c r="CW916" s="551"/>
      <c r="CX916" s="551"/>
      <c r="CY916" s="551"/>
      <c r="CZ916" s="551"/>
      <c r="DA916" s="551"/>
      <c r="DB916" s="551"/>
      <c r="DC916" s="551"/>
      <c r="DD916" s="551"/>
      <c r="DE916" s="551"/>
      <c r="DF916" s="551"/>
    </row>
    <row r="917" spans="1:110" s="565" customFormat="1" ht="30" customHeight="1" x14ac:dyDescent="0.25">
      <c r="A917" s="2024">
        <v>4</v>
      </c>
      <c r="B917" s="2071" t="s">
        <v>57</v>
      </c>
      <c r="C917" s="2365"/>
      <c r="D917" s="2365"/>
      <c r="E917" s="2366"/>
      <c r="F917" s="1455" t="s">
        <v>1646</v>
      </c>
      <c r="G917" s="1391" t="s">
        <v>2055</v>
      </c>
      <c r="H917" s="103">
        <v>4115</v>
      </c>
      <c r="I917" s="1400">
        <v>61.223999999999997</v>
      </c>
      <c r="J917" s="1404">
        <f t="shared" si="21"/>
        <v>251936.76</v>
      </c>
      <c r="K917" s="555"/>
      <c r="L917" s="987"/>
      <c r="M917" s="987"/>
      <c r="AC917" s="551"/>
      <c r="AD917" s="551"/>
      <c r="AE917" s="551"/>
      <c r="AF917" s="551"/>
      <c r="AG917" s="551"/>
      <c r="AH917" s="551"/>
      <c r="AI917" s="551"/>
      <c r="AJ917" s="551"/>
      <c r="AK917" s="551"/>
      <c r="AL917" s="551"/>
      <c r="AM917" s="551"/>
      <c r="AN917" s="551"/>
      <c r="AO917" s="551"/>
      <c r="AP917" s="551"/>
      <c r="AQ917" s="551"/>
      <c r="AR917" s="551"/>
      <c r="AS917" s="551"/>
      <c r="AT917" s="551"/>
      <c r="AU917" s="551"/>
      <c r="AV917" s="551"/>
      <c r="AW917" s="551"/>
      <c r="AX917" s="551"/>
      <c r="AY917" s="551"/>
      <c r="AZ917" s="551"/>
      <c r="BA917" s="551"/>
      <c r="BB917" s="551"/>
      <c r="BC917" s="551"/>
      <c r="BD917" s="551"/>
      <c r="BE917" s="551"/>
      <c r="BF917" s="551"/>
      <c r="BG917" s="551"/>
      <c r="BH917" s="551"/>
      <c r="BI917" s="551"/>
      <c r="BJ917" s="551"/>
      <c r="BK917" s="551"/>
      <c r="BL917" s="551"/>
      <c r="BM917" s="551"/>
      <c r="BN917" s="551"/>
      <c r="BO917" s="551"/>
      <c r="BP917" s="551"/>
      <c r="BQ917" s="551"/>
      <c r="BR917" s="551"/>
      <c r="BS917" s="551"/>
      <c r="BT917" s="551"/>
      <c r="BU917" s="551"/>
      <c r="BV917" s="551"/>
      <c r="BW917" s="551"/>
      <c r="BX917" s="551"/>
      <c r="BY917" s="551"/>
      <c r="BZ917" s="551"/>
      <c r="CA917" s="551"/>
      <c r="CB917" s="551"/>
      <c r="CC917" s="551"/>
      <c r="CD917" s="551"/>
      <c r="CE917" s="551"/>
      <c r="CF917" s="551"/>
      <c r="CG917" s="551"/>
      <c r="CH917" s="551"/>
      <c r="CI917" s="551"/>
      <c r="CJ917" s="551"/>
      <c r="CK917" s="551"/>
      <c r="CL917" s="551"/>
      <c r="CM917" s="551"/>
      <c r="CN917" s="551"/>
      <c r="CO917" s="551"/>
      <c r="CP917" s="551"/>
      <c r="CQ917" s="551"/>
      <c r="CR917" s="551"/>
      <c r="CS917" s="551"/>
      <c r="CT917" s="551"/>
      <c r="CU917" s="551"/>
      <c r="CV917" s="551"/>
      <c r="CW917" s="551"/>
      <c r="CX917" s="551"/>
      <c r="CY917" s="551"/>
      <c r="CZ917" s="551"/>
      <c r="DA917" s="551"/>
      <c r="DB917" s="551"/>
      <c r="DC917" s="551"/>
      <c r="DD917" s="551"/>
      <c r="DE917" s="551"/>
      <c r="DF917" s="551"/>
    </row>
    <row r="918" spans="1:110" s="565" customFormat="1" ht="30" hidden="1" customHeight="1" x14ac:dyDescent="0.25">
      <c r="A918" s="2162"/>
      <c r="B918" s="2287"/>
      <c r="C918" s="2288"/>
      <c r="D918" s="2288"/>
      <c r="E918" s="2289"/>
      <c r="F918" s="1455" t="s">
        <v>1646</v>
      </c>
      <c r="G918" s="1392" t="s">
        <v>1844</v>
      </c>
      <c r="H918" s="103"/>
      <c r="I918" s="1400">
        <v>67.346000000000004</v>
      </c>
      <c r="J918" s="1404">
        <f t="shared" si="21"/>
        <v>0</v>
      </c>
      <c r="K918" s="555"/>
      <c r="L918" s="987"/>
      <c r="M918" s="987"/>
      <c r="AC918" s="551"/>
      <c r="AD918" s="551"/>
      <c r="AE918" s="551"/>
      <c r="AF918" s="551"/>
      <c r="AG918" s="551"/>
      <c r="AH918" s="551"/>
      <c r="AI918" s="551"/>
      <c r="AJ918" s="551"/>
      <c r="AK918" s="551"/>
      <c r="AL918" s="551"/>
      <c r="AM918" s="551"/>
      <c r="AN918" s="551"/>
      <c r="AO918" s="551"/>
      <c r="AP918" s="551"/>
      <c r="AQ918" s="551"/>
      <c r="AR918" s="551"/>
      <c r="AS918" s="551"/>
      <c r="AT918" s="551"/>
      <c r="AU918" s="551"/>
      <c r="AV918" s="551"/>
      <c r="AW918" s="551"/>
      <c r="AX918" s="551"/>
      <c r="AY918" s="551"/>
      <c r="AZ918" s="551"/>
      <c r="BA918" s="551"/>
      <c r="BB918" s="551"/>
      <c r="BC918" s="551"/>
      <c r="BD918" s="551"/>
      <c r="BE918" s="551"/>
      <c r="BF918" s="551"/>
      <c r="BG918" s="551"/>
      <c r="BH918" s="551"/>
      <c r="BI918" s="551"/>
      <c r="BJ918" s="551"/>
      <c r="BK918" s="551"/>
      <c r="BL918" s="551"/>
      <c r="BM918" s="551"/>
      <c r="BN918" s="551"/>
      <c r="BO918" s="551"/>
      <c r="BP918" s="551"/>
      <c r="BQ918" s="551"/>
      <c r="BR918" s="551"/>
      <c r="BS918" s="551"/>
      <c r="BT918" s="551"/>
      <c r="BU918" s="551"/>
      <c r="BV918" s="551"/>
      <c r="BW918" s="551"/>
      <c r="BX918" s="551"/>
      <c r="BY918" s="551"/>
      <c r="BZ918" s="551"/>
      <c r="CA918" s="551"/>
      <c r="CB918" s="551"/>
      <c r="CC918" s="551"/>
      <c r="CD918" s="551"/>
      <c r="CE918" s="551"/>
      <c r="CF918" s="551"/>
      <c r="CG918" s="551"/>
      <c r="CH918" s="551"/>
      <c r="CI918" s="551"/>
      <c r="CJ918" s="551"/>
      <c r="CK918" s="551"/>
      <c r="CL918" s="551"/>
      <c r="CM918" s="551"/>
      <c r="CN918" s="551"/>
      <c r="CO918" s="551"/>
      <c r="CP918" s="551"/>
      <c r="CQ918" s="551"/>
      <c r="CR918" s="551"/>
      <c r="CS918" s="551"/>
      <c r="CT918" s="551"/>
      <c r="CU918" s="551"/>
      <c r="CV918" s="551"/>
      <c r="CW918" s="551"/>
      <c r="CX918" s="551"/>
      <c r="CY918" s="551"/>
      <c r="CZ918" s="551"/>
      <c r="DA918" s="551"/>
      <c r="DB918" s="551"/>
      <c r="DC918" s="551"/>
      <c r="DD918" s="551"/>
      <c r="DE918" s="551"/>
      <c r="DF918" s="551"/>
    </row>
    <row r="919" spans="1:110" s="565" customFormat="1" ht="30" customHeight="1" x14ac:dyDescent="0.25">
      <c r="A919" s="2024">
        <v>5</v>
      </c>
      <c r="B919" s="2071" t="s">
        <v>58</v>
      </c>
      <c r="C919" s="2365"/>
      <c r="D919" s="2365"/>
      <c r="E919" s="2366"/>
      <c r="F919" s="1455" t="s">
        <v>1646</v>
      </c>
      <c r="G919" s="1391" t="s">
        <v>2055</v>
      </c>
      <c r="H919" s="103">
        <v>5560</v>
      </c>
      <c r="I919" s="1197">
        <v>65.603999999999999</v>
      </c>
      <c r="J919" s="1404">
        <f t="shared" si="21"/>
        <v>364758.24</v>
      </c>
      <c r="K919" s="555"/>
      <c r="L919" s="987"/>
      <c r="M919" s="987"/>
      <c r="N919" s="567"/>
      <c r="AC919" s="551"/>
      <c r="AD919" s="551"/>
      <c r="AE919" s="551"/>
      <c r="AF919" s="551"/>
      <c r="AG919" s="551"/>
      <c r="AH919" s="551"/>
      <c r="AI919" s="551"/>
      <c r="AJ919" s="551"/>
      <c r="AK919" s="551"/>
      <c r="AL919" s="551"/>
      <c r="AM919" s="551"/>
      <c r="AN919" s="551"/>
      <c r="AO919" s="551"/>
      <c r="AP919" s="551"/>
      <c r="AQ919" s="551"/>
      <c r="AR919" s="551"/>
      <c r="AS919" s="551"/>
      <c r="AT919" s="551"/>
      <c r="AU919" s="551"/>
      <c r="AV919" s="551"/>
      <c r="AW919" s="551"/>
      <c r="AX919" s="551"/>
      <c r="AY919" s="551"/>
      <c r="AZ919" s="551"/>
      <c r="BA919" s="551"/>
      <c r="BB919" s="551"/>
      <c r="BC919" s="551"/>
      <c r="BD919" s="551"/>
      <c r="BE919" s="551"/>
      <c r="BF919" s="551"/>
      <c r="BG919" s="551"/>
      <c r="BH919" s="551"/>
      <c r="BI919" s="551"/>
      <c r="BJ919" s="551"/>
      <c r="BK919" s="551"/>
      <c r="BL919" s="551"/>
      <c r="BM919" s="551"/>
      <c r="BN919" s="551"/>
      <c r="BO919" s="551"/>
      <c r="BP919" s="551"/>
      <c r="BQ919" s="551"/>
      <c r="BR919" s="551"/>
      <c r="BS919" s="551"/>
      <c r="BT919" s="551"/>
      <c r="BU919" s="551"/>
      <c r="BV919" s="551"/>
      <c r="BW919" s="551"/>
      <c r="BX919" s="551"/>
      <c r="BY919" s="551"/>
      <c r="BZ919" s="551"/>
      <c r="CA919" s="551"/>
      <c r="CB919" s="551"/>
      <c r="CC919" s="551"/>
      <c r="CD919" s="551"/>
      <c r="CE919" s="551"/>
      <c r="CF919" s="551"/>
      <c r="CG919" s="551"/>
      <c r="CH919" s="551"/>
      <c r="CI919" s="551"/>
      <c r="CJ919" s="551"/>
      <c r="CK919" s="551"/>
      <c r="CL919" s="551"/>
      <c r="CM919" s="551"/>
      <c r="CN919" s="551"/>
      <c r="CO919" s="551"/>
      <c r="CP919" s="551"/>
      <c r="CQ919" s="551"/>
      <c r="CR919" s="551"/>
      <c r="CS919" s="551"/>
      <c r="CT919" s="551"/>
      <c r="CU919" s="551"/>
      <c r="CV919" s="551"/>
      <c r="CW919" s="551"/>
      <c r="CX919" s="551"/>
      <c r="CY919" s="551"/>
      <c r="CZ919" s="551"/>
      <c r="DA919" s="551"/>
      <c r="DB919" s="551"/>
      <c r="DC919" s="551"/>
      <c r="DD919" s="551"/>
      <c r="DE919" s="551"/>
      <c r="DF919" s="551"/>
    </row>
    <row r="920" spans="1:110" s="565" customFormat="1" ht="30" hidden="1" customHeight="1" x14ac:dyDescent="0.25">
      <c r="A920" s="2162"/>
      <c r="B920" s="2287"/>
      <c r="C920" s="2288"/>
      <c r="D920" s="2288"/>
      <c r="E920" s="2289"/>
      <c r="F920" s="1455" t="s">
        <v>1646</v>
      </c>
      <c r="G920" s="1391" t="s">
        <v>2055</v>
      </c>
      <c r="H920" s="103"/>
      <c r="I920" s="1368">
        <v>72.164000000000001</v>
      </c>
      <c r="J920" s="1404">
        <f t="shared" si="21"/>
        <v>0</v>
      </c>
      <c r="K920" s="555"/>
      <c r="L920" s="987"/>
      <c r="M920" s="987"/>
      <c r="N920" s="567"/>
      <c r="AC920" s="551"/>
      <c r="AD920" s="551"/>
      <c r="AE920" s="551"/>
      <c r="AF920" s="551"/>
      <c r="AG920" s="551"/>
      <c r="AH920" s="551"/>
      <c r="AI920" s="551"/>
      <c r="AJ920" s="551"/>
      <c r="AK920" s="551"/>
      <c r="AL920" s="551"/>
      <c r="AM920" s="551"/>
      <c r="AN920" s="551"/>
      <c r="AO920" s="551"/>
      <c r="AP920" s="551"/>
      <c r="AQ920" s="551"/>
      <c r="AR920" s="551"/>
      <c r="AS920" s="551"/>
      <c r="AT920" s="551"/>
      <c r="AU920" s="551"/>
      <c r="AV920" s="551"/>
      <c r="AW920" s="551"/>
      <c r="AX920" s="551"/>
      <c r="AY920" s="551"/>
      <c r="AZ920" s="551"/>
      <c r="BA920" s="551"/>
      <c r="BB920" s="551"/>
      <c r="BC920" s="551"/>
      <c r="BD920" s="551"/>
      <c r="BE920" s="551"/>
      <c r="BF920" s="551"/>
      <c r="BG920" s="551"/>
      <c r="BH920" s="551"/>
      <c r="BI920" s="551"/>
      <c r="BJ920" s="551"/>
      <c r="BK920" s="551"/>
      <c r="BL920" s="551"/>
      <c r="BM920" s="551"/>
      <c r="BN920" s="551"/>
      <c r="BO920" s="551"/>
      <c r="BP920" s="551"/>
      <c r="BQ920" s="551"/>
      <c r="BR920" s="551"/>
      <c r="BS920" s="551"/>
      <c r="BT920" s="551"/>
      <c r="BU920" s="551"/>
      <c r="BV920" s="551"/>
      <c r="BW920" s="551"/>
      <c r="BX920" s="551"/>
      <c r="BY920" s="551"/>
      <c r="BZ920" s="551"/>
      <c r="CA920" s="551"/>
      <c r="CB920" s="551"/>
      <c r="CC920" s="551"/>
      <c r="CD920" s="551"/>
      <c r="CE920" s="551"/>
      <c r="CF920" s="551"/>
      <c r="CG920" s="551"/>
      <c r="CH920" s="551"/>
      <c r="CI920" s="551"/>
      <c r="CJ920" s="551"/>
      <c r="CK920" s="551"/>
      <c r="CL920" s="551"/>
      <c r="CM920" s="551"/>
      <c r="CN920" s="551"/>
      <c r="CO920" s="551"/>
      <c r="CP920" s="551"/>
      <c r="CQ920" s="551"/>
      <c r="CR920" s="551"/>
      <c r="CS920" s="551"/>
      <c r="CT920" s="551"/>
      <c r="CU920" s="551"/>
      <c r="CV920" s="551"/>
      <c r="CW920" s="551"/>
      <c r="CX920" s="551"/>
      <c r="CY920" s="551"/>
      <c r="CZ920" s="551"/>
      <c r="DA920" s="551"/>
      <c r="DB920" s="551"/>
      <c r="DC920" s="551"/>
      <c r="DD920" s="551"/>
      <c r="DE920" s="551"/>
      <c r="DF920" s="551"/>
    </row>
    <row r="921" spans="1:110" s="565" customFormat="1" ht="30" customHeight="1" x14ac:dyDescent="0.25">
      <c r="A921" s="2024">
        <v>6</v>
      </c>
      <c r="B921" s="2071" t="s">
        <v>1481</v>
      </c>
      <c r="C921" s="2365"/>
      <c r="D921" s="2365"/>
      <c r="E921" s="2366"/>
      <c r="F921" s="1455" t="s">
        <v>1646</v>
      </c>
      <c r="G921" s="1391" t="s">
        <v>2055</v>
      </c>
      <c r="H921" s="103">
        <v>1515</v>
      </c>
      <c r="I921" s="65">
        <v>14.868</v>
      </c>
      <c r="J921" s="1404">
        <f t="shared" si="21"/>
        <v>22525.02</v>
      </c>
      <c r="K921" s="555"/>
      <c r="L921" s="987"/>
      <c r="M921" s="987"/>
      <c r="N921" s="1283"/>
      <c r="O921" s="604"/>
      <c r="AC921" s="551"/>
      <c r="AD921" s="551"/>
      <c r="AE921" s="551"/>
      <c r="AF921" s="551"/>
      <c r="AG921" s="551"/>
      <c r="AH921" s="551"/>
      <c r="AI921" s="551"/>
      <c r="AJ921" s="551"/>
      <c r="AK921" s="551"/>
      <c r="AL921" s="551"/>
      <c r="AM921" s="551"/>
      <c r="AN921" s="551"/>
      <c r="AO921" s="551"/>
      <c r="AP921" s="551"/>
      <c r="AQ921" s="551"/>
      <c r="AR921" s="551"/>
      <c r="AS921" s="551"/>
      <c r="AT921" s="551"/>
      <c r="AU921" s="551"/>
      <c r="AV921" s="551"/>
      <c r="AW921" s="551"/>
      <c r="AX921" s="551"/>
      <c r="AY921" s="551"/>
      <c r="AZ921" s="551"/>
      <c r="BA921" s="551"/>
      <c r="BB921" s="551"/>
      <c r="BC921" s="551"/>
      <c r="BD921" s="551"/>
      <c r="BE921" s="551"/>
      <c r="BF921" s="551"/>
      <c r="BG921" s="551"/>
      <c r="BH921" s="551"/>
      <c r="BI921" s="551"/>
      <c r="BJ921" s="551"/>
      <c r="BK921" s="551"/>
      <c r="BL921" s="551"/>
      <c r="BM921" s="551"/>
      <c r="BN921" s="551"/>
      <c r="BO921" s="551"/>
      <c r="BP921" s="551"/>
      <c r="BQ921" s="551"/>
      <c r="BR921" s="551"/>
      <c r="BS921" s="551"/>
      <c r="BT921" s="551"/>
      <c r="BU921" s="551"/>
      <c r="BV921" s="551"/>
      <c r="BW921" s="551"/>
      <c r="BX921" s="551"/>
      <c r="BY921" s="551"/>
      <c r="BZ921" s="551"/>
      <c r="CA921" s="551"/>
      <c r="CB921" s="551"/>
      <c r="CC921" s="551"/>
      <c r="CD921" s="551"/>
      <c r="CE921" s="551"/>
      <c r="CF921" s="551"/>
      <c r="CG921" s="551"/>
      <c r="CH921" s="551"/>
      <c r="CI921" s="551"/>
      <c r="CJ921" s="551"/>
      <c r="CK921" s="551"/>
      <c r="CL921" s="551"/>
      <c r="CM921" s="551"/>
      <c r="CN921" s="551"/>
      <c r="CO921" s="551"/>
      <c r="CP921" s="551"/>
      <c r="CQ921" s="551"/>
      <c r="CR921" s="551"/>
      <c r="CS921" s="551"/>
      <c r="CT921" s="551"/>
      <c r="CU921" s="551"/>
      <c r="CV921" s="551"/>
      <c r="CW921" s="551"/>
      <c r="CX921" s="551"/>
      <c r="CY921" s="551"/>
      <c r="CZ921" s="551"/>
      <c r="DA921" s="551"/>
      <c r="DB921" s="551"/>
      <c r="DC921" s="551"/>
      <c r="DD921" s="551"/>
      <c r="DE921" s="551"/>
      <c r="DF921" s="551"/>
    </row>
    <row r="922" spans="1:110" s="565" customFormat="1" ht="30" hidden="1" customHeight="1" x14ac:dyDescent="0.25">
      <c r="A922" s="2162">
        <v>9</v>
      </c>
      <c r="B922" s="2287"/>
      <c r="C922" s="2288"/>
      <c r="D922" s="2288"/>
      <c r="E922" s="2289"/>
      <c r="F922" s="1455" t="s">
        <v>1646</v>
      </c>
      <c r="G922" s="1391" t="s">
        <v>2055</v>
      </c>
      <c r="H922" s="1300"/>
      <c r="I922" s="1301">
        <v>15.611000000000001</v>
      </c>
      <c r="J922" s="1426">
        <f t="shared" si="21"/>
        <v>0</v>
      </c>
      <c r="K922" s="555"/>
      <c r="L922" s="987"/>
      <c r="M922" s="987"/>
      <c r="N922" s="568"/>
      <c r="O922" s="604"/>
      <c r="AC922" s="551"/>
      <c r="AD922" s="551"/>
      <c r="AE922" s="551"/>
      <c r="AF922" s="551"/>
      <c r="AG922" s="551"/>
      <c r="AH922" s="551"/>
      <c r="AI922" s="551"/>
      <c r="AJ922" s="551"/>
      <c r="AK922" s="551"/>
      <c r="AL922" s="551"/>
      <c r="AM922" s="551"/>
      <c r="AN922" s="551"/>
      <c r="AO922" s="551"/>
      <c r="AP922" s="551"/>
      <c r="AQ922" s="551"/>
      <c r="AR922" s="551"/>
      <c r="AS922" s="551"/>
      <c r="AT922" s="551"/>
      <c r="AU922" s="551"/>
      <c r="AV922" s="551"/>
      <c r="AW922" s="551"/>
      <c r="AX922" s="551"/>
      <c r="AY922" s="551"/>
      <c r="AZ922" s="551"/>
      <c r="BA922" s="551"/>
      <c r="BB922" s="551"/>
      <c r="BC922" s="551"/>
      <c r="BD922" s="551"/>
      <c r="BE922" s="551"/>
      <c r="BF922" s="551"/>
      <c r="BG922" s="551"/>
      <c r="BH922" s="551"/>
      <c r="BI922" s="551"/>
      <c r="BJ922" s="551"/>
      <c r="BK922" s="551"/>
      <c r="BL922" s="551"/>
      <c r="BM922" s="551"/>
      <c r="BN922" s="551"/>
      <c r="BO922" s="551"/>
      <c r="BP922" s="551"/>
      <c r="BQ922" s="551"/>
      <c r="BR922" s="551"/>
      <c r="BS922" s="551"/>
      <c r="BT922" s="551"/>
      <c r="BU922" s="551"/>
      <c r="BV922" s="551"/>
      <c r="BW922" s="551"/>
      <c r="BX922" s="551"/>
      <c r="BY922" s="551"/>
      <c r="BZ922" s="551"/>
      <c r="CA922" s="551"/>
      <c r="CB922" s="551"/>
      <c r="CC922" s="551"/>
      <c r="CD922" s="551"/>
      <c r="CE922" s="551"/>
      <c r="CF922" s="551"/>
      <c r="CG922" s="551"/>
      <c r="CH922" s="551"/>
      <c r="CI922" s="551"/>
      <c r="CJ922" s="551"/>
      <c r="CK922" s="551"/>
      <c r="CL922" s="551"/>
      <c r="CM922" s="551"/>
      <c r="CN922" s="551"/>
      <c r="CO922" s="551"/>
      <c r="CP922" s="551"/>
      <c r="CQ922" s="551"/>
      <c r="CR922" s="551"/>
      <c r="CS922" s="551"/>
      <c r="CT922" s="551"/>
      <c r="CU922" s="551"/>
      <c r="CV922" s="551"/>
      <c r="CW922" s="551"/>
      <c r="CX922" s="551"/>
      <c r="CY922" s="551"/>
      <c r="CZ922" s="551"/>
      <c r="DA922" s="551"/>
      <c r="DB922" s="551"/>
      <c r="DC922" s="551"/>
      <c r="DD922" s="551"/>
      <c r="DE922" s="551"/>
      <c r="DF922" s="551"/>
    </row>
    <row r="923" spans="1:110" s="565" customFormat="1" ht="30" customHeight="1" x14ac:dyDescent="0.25">
      <c r="A923" s="2024">
        <v>5</v>
      </c>
      <c r="B923" s="2071" t="s">
        <v>1482</v>
      </c>
      <c r="C923" s="2365"/>
      <c r="D923" s="2365"/>
      <c r="E923" s="2366"/>
      <c r="F923" s="1455" t="s">
        <v>1646</v>
      </c>
      <c r="G923" s="1391" t="s">
        <v>2055</v>
      </c>
      <c r="H923" s="103">
        <v>1635</v>
      </c>
      <c r="I923" s="65">
        <v>4.0919999999999996</v>
      </c>
      <c r="J923" s="1404">
        <f t="shared" si="21"/>
        <v>6690.42</v>
      </c>
      <c r="K923" s="555"/>
      <c r="L923" s="987"/>
      <c r="M923" s="1299"/>
      <c r="N923" s="568"/>
      <c r="O923" s="604"/>
      <c r="AC923" s="551"/>
      <c r="AD923" s="551"/>
      <c r="AE923" s="551"/>
      <c r="AF923" s="551"/>
      <c r="AG923" s="551"/>
      <c r="AH923" s="551"/>
      <c r="AI923" s="551"/>
      <c r="AJ923" s="551"/>
      <c r="AK923" s="551"/>
      <c r="AL923" s="551"/>
      <c r="AM923" s="551"/>
      <c r="AN923" s="551"/>
      <c r="AO923" s="551"/>
      <c r="AP923" s="551"/>
      <c r="AQ923" s="551"/>
      <c r="AR923" s="551"/>
      <c r="AS923" s="551"/>
      <c r="AT923" s="551"/>
      <c r="AU923" s="551"/>
      <c r="AV923" s="551"/>
      <c r="AW923" s="551"/>
      <c r="AX923" s="551"/>
      <c r="AY923" s="551"/>
      <c r="AZ923" s="551"/>
      <c r="BA923" s="551"/>
      <c r="BB923" s="551"/>
      <c r="BC923" s="551"/>
      <c r="BD923" s="551"/>
      <c r="BE923" s="551"/>
      <c r="BF923" s="551"/>
      <c r="BG923" s="551"/>
      <c r="BH923" s="551"/>
      <c r="BI923" s="551"/>
      <c r="BJ923" s="551"/>
      <c r="BK923" s="551"/>
      <c r="BL923" s="551"/>
      <c r="BM923" s="551"/>
      <c r="BN923" s="551"/>
      <c r="BO923" s="551"/>
      <c r="BP923" s="551"/>
      <c r="BQ923" s="551"/>
      <c r="BR923" s="551"/>
      <c r="BS923" s="551"/>
      <c r="BT923" s="551"/>
      <c r="BU923" s="551"/>
      <c r="BV923" s="551"/>
      <c r="BW923" s="551"/>
      <c r="BX923" s="551"/>
      <c r="BY923" s="551"/>
      <c r="BZ923" s="551"/>
      <c r="CA923" s="551"/>
      <c r="CB923" s="551"/>
      <c r="CC923" s="551"/>
      <c r="CD923" s="551"/>
      <c r="CE923" s="551"/>
      <c r="CF923" s="551"/>
      <c r="CG923" s="551"/>
      <c r="CH923" s="551"/>
      <c r="CI923" s="551"/>
      <c r="CJ923" s="551"/>
      <c r="CK923" s="551"/>
      <c r="CL923" s="551"/>
      <c r="CM923" s="551"/>
      <c r="CN923" s="551"/>
      <c r="CO923" s="551"/>
      <c r="CP923" s="551"/>
      <c r="CQ923" s="551"/>
      <c r="CR923" s="551"/>
      <c r="CS923" s="551"/>
      <c r="CT923" s="551"/>
      <c r="CU923" s="551"/>
      <c r="CV923" s="551"/>
      <c r="CW923" s="551"/>
      <c r="CX923" s="551"/>
      <c r="CY923" s="551"/>
      <c r="CZ923" s="551"/>
      <c r="DA923" s="551"/>
      <c r="DB923" s="551"/>
      <c r="DC923" s="551"/>
      <c r="DD923" s="551"/>
      <c r="DE923" s="551"/>
      <c r="DF923" s="551"/>
    </row>
    <row r="924" spans="1:110" s="565" customFormat="1" ht="30" hidden="1" customHeight="1" x14ac:dyDescent="0.25">
      <c r="A924" s="2162">
        <v>11</v>
      </c>
      <c r="B924" s="2287"/>
      <c r="C924" s="2288"/>
      <c r="D924" s="2288"/>
      <c r="E924" s="2289"/>
      <c r="F924" s="1455" t="s">
        <v>1646</v>
      </c>
      <c r="G924" s="1391" t="s">
        <v>2055</v>
      </c>
      <c r="H924" s="103"/>
      <c r="I924" s="65">
        <v>4.3</v>
      </c>
      <c r="J924" s="1404">
        <f t="shared" si="21"/>
        <v>0</v>
      </c>
      <c r="K924" s="555"/>
      <c r="L924" s="987"/>
      <c r="M924" s="987"/>
      <c r="N924" s="568"/>
      <c r="O924" s="604"/>
      <c r="AC924" s="551"/>
      <c r="AD924" s="551"/>
      <c r="AE924" s="551"/>
      <c r="AF924" s="551"/>
      <c r="AG924" s="551"/>
      <c r="AH924" s="551"/>
      <c r="AI924" s="551"/>
      <c r="AJ924" s="551"/>
      <c r="AK924" s="551"/>
      <c r="AL924" s="551"/>
      <c r="AM924" s="551"/>
      <c r="AN924" s="551"/>
      <c r="AO924" s="551"/>
      <c r="AP924" s="551"/>
      <c r="AQ924" s="551"/>
      <c r="AR924" s="551"/>
      <c r="AS924" s="551"/>
      <c r="AT924" s="551"/>
      <c r="AU924" s="551"/>
      <c r="AV924" s="551"/>
      <c r="AW924" s="551"/>
      <c r="AX924" s="551"/>
      <c r="AY924" s="551"/>
      <c r="AZ924" s="551"/>
      <c r="BA924" s="551"/>
      <c r="BB924" s="551"/>
      <c r="BC924" s="551"/>
      <c r="BD924" s="551"/>
      <c r="BE924" s="551"/>
      <c r="BF924" s="551"/>
      <c r="BG924" s="551"/>
      <c r="BH924" s="551"/>
      <c r="BI924" s="551"/>
      <c r="BJ924" s="551"/>
      <c r="BK924" s="551"/>
      <c r="BL924" s="551"/>
      <c r="BM924" s="551"/>
      <c r="BN924" s="551"/>
      <c r="BO924" s="551"/>
      <c r="BP924" s="551"/>
      <c r="BQ924" s="551"/>
      <c r="BR924" s="551"/>
      <c r="BS924" s="551"/>
      <c r="BT924" s="551"/>
      <c r="BU924" s="551"/>
      <c r="BV924" s="551"/>
      <c r="BW924" s="551"/>
      <c r="BX924" s="551"/>
      <c r="BY924" s="551"/>
      <c r="BZ924" s="551"/>
      <c r="CA924" s="551"/>
      <c r="CB924" s="551"/>
      <c r="CC924" s="551"/>
      <c r="CD924" s="551"/>
      <c r="CE924" s="551"/>
      <c r="CF924" s="551"/>
      <c r="CG924" s="551"/>
      <c r="CH924" s="551"/>
      <c r="CI924" s="551"/>
      <c r="CJ924" s="551"/>
      <c r="CK924" s="551"/>
      <c r="CL924" s="551"/>
      <c r="CM924" s="551"/>
      <c r="CN924" s="551"/>
      <c r="CO924" s="551"/>
      <c r="CP924" s="551"/>
      <c r="CQ924" s="551"/>
      <c r="CR924" s="551"/>
      <c r="CS924" s="551"/>
      <c r="CT924" s="551"/>
      <c r="CU924" s="551"/>
      <c r="CV924" s="551"/>
      <c r="CW924" s="551"/>
      <c r="CX924" s="551"/>
      <c r="CY924" s="551"/>
      <c r="CZ924" s="551"/>
      <c r="DA924" s="551"/>
      <c r="DB924" s="551"/>
      <c r="DC924" s="551"/>
      <c r="DD924" s="551"/>
      <c r="DE924" s="551"/>
      <c r="DF924" s="551"/>
    </row>
    <row r="925" spans="1:110" s="565" customFormat="1" ht="30" customHeight="1" x14ac:dyDescent="0.25">
      <c r="A925" s="2024">
        <v>7</v>
      </c>
      <c r="B925" s="2071" t="s">
        <v>1485</v>
      </c>
      <c r="C925" s="2365"/>
      <c r="D925" s="2365"/>
      <c r="E925" s="2366"/>
      <c r="F925" s="1455" t="s">
        <v>1646</v>
      </c>
      <c r="G925" s="1391" t="s">
        <v>2055</v>
      </c>
      <c r="H925" s="103">
        <v>2080</v>
      </c>
      <c r="I925" s="65">
        <f>I919</f>
        <v>65.603999999999999</v>
      </c>
      <c r="J925" s="1404">
        <f t="shared" si="21"/>
        <v>136456.32000000001</v>
      </c>
      <c r="K925" s="555"/>
      <c r="L925" s="987"/>
      <c r="M925" s="987"/>
      <c r="N925" s="568"/>
      <c r="O925" s="604"/>
      <c r="AC925" s="551"/>
      <c r="AD925" s="551"/>
      <c r="AE925" s="551"/>
      <c r="AF925" s="551"/>
      <c r="AG925" s="551"/>
      <c r="AH925" s="551"/>
      <c r="AI925" s="551"/>
      <c r="AJ925" s="551"/>
      <c r="AK925" s="551"/>
      <c r="AL925" s="551"/>
      <c r="AM925" s="551"/>
      <c r="AN925" s="551"/>
      <c r="AO925" s="551"/>
      <c r="AP925" s="551"/>
      <c r="AQ925" s="551"/>
      <c r="AR925" s="551"/>
      <c r="AS925" s="551"/>
      <c r="AT925" s="551"/>
      <c r="AU925" s="551"/>
      <c r="AV925" s="551"/>
      <c r="AW925" s="551"/>
      <c r="AX925" s="551"/>
      <c r="AY925" s="551"/>
      <c r="AZ925" s="551"/>
      <c r="BA925" s="551"/>
      <c r="BB925" s="551"/>
      <c r="BC925" s="551"/>
      <c r="BD925" s="551"/>
      <c r="BE925" s="551"/>
      <c r="BF925" s="551"/>
      <c r="BG925" s="551"/>
      <c r="BH925" s="551"/>
      <c r="BI925" s="551"/>
      <c r="BJ925" s="551"/>
      <c r="BK925" s="551"/>
      <c r="BL925" s="551"/>
      <c r="BM925" s="551"/>
      <c r="BN925" s="551"/>
      <c r="BO925" s="551"/>
      <c r="BP925" s="551"/>
      <c r="BQ925" s="551"/>
      <c r="BR925" s="551"/>
      <c r="BS925" s="551"/>
      <c r="BT925" s="551"/>
      <c r="BU925" s="551"/>
      <c r="BV925" s="551"/>
      <c r="BW925" s="551"/>
      <c r="BX925" s="551"/>
      <c r="BY925" s="551"/>
      <c r="BZ925" s="551"/>
      <c r="CA925" s="551"/>
      <c r="CB925" s="551"/>
      <c r="CC925" s="551"/>
      <c r="CD925" s="551"/>
      <c r="CE925" s="551"/>
      <c r="CF925" s="551"/>
      <c r="CG925" s="551"/>
      <c r="CH925" s="551"/>
      <c r="CI925" s="551"/>
      <c r="CJ925" s="551"/>
      <c r="CK925" s="551"/>
      <c r="CL925" s="551"/>
      <c r="CM925" s="551"/>
      <c r="CN925" s="551"/>
      <c r="CO925" s="551"/>
      <c r="CP925" s="551"/>
      <c r="CQ925" s="551"/>
      <c r="CR925" s="551"/>
      <c r="CS925" s="551"/>
      <c r="CT925" s="551"/>
      <c r="CU925" s="551"/>
      <c r="CV925" s="551"/>
      <c r="CW925" s="551"/>
      <c r="CX925" s="551"/>
      <c r="CY925" s="551"/>
      <c r="CZ925" s="551"/>
      <c r="DA925" s="551"/>
      <c r="DB925" s="551"/>
      <c r="DC925" s="551"/>
      <c r="DD925" s="551"/>
      <c r="DE925" s="551"/>
      <c r="DF925" s="551"/>
    </row>
    <row r="926" spans="1:110" s="565" customFormat="1" ht="30" hidden="1" customHeight="1" x14ac:dyDescent="0.25">
      <c r="A926" s="2162">
        <v>14</v>
      </c>
      <c r="B926" s="2287"/>
      <c r="C926" s="2288"/>
      <c r="D926" s="2288"/>
      <c r="E926" s="2289"/>
      <c r="F926" s="1455" t="s">
        <v>1646</v>
      </c>
      <c r="G926" s="1427" t="s">
        <v>1844</v>
      </c>
      <c r="H926" s="1300"/>
      <c r="I926" s="65">
        <f>I920</f>
        <v>72.164000000000001</v>
      </c>
      <c r="J926" s="1426">
        <f t="shared" si="21"/>
        <v>0</v>
      </c>
      <c r="K926" s="555"/>
      <c r="L926" s="987"/>
      <c r="M926" s="987"/>
      <c r="N926" s="568"/>
      <c r="O926" s="604"/>
      <c r="AC926" s="551"/>
      <c r="AD926" s="551"/>
      <c r="AE926" s="551"/>
      <c r="AF926" s="551"/>
      <c r="AG926" s="551"/>
      <c r="AH926" s="551"/>
      <c r="AI926" s="551"/>
      <c r="AJ926" s="551"/>
      <c r="AK926" s="551"/>
      <c r="AL926" s="551"/>
      <c r="AM926" s="551"/>
      <c r="AN926" s="551"/>
      <c r="AO926" s="551"/>
      <c r="AP926" s="551"/>
      <c r="AQ926" s="551"/>
      <c r="AR926" s="551"/>
      <c r="AS926" s="551"/>
      <c r="AT926" s="551"/>
      <c r="AU926" s="551"/>
      <c r="AV926" s="551"/>
      <c r="AW926" s="551"/>
      <c r="AX926" s="551"/>
      <c r="AY926" s="551"/>
      <c r="AZ926" s="551"/>
      <c r="BA926" s="551"/>
      <c r="BB926" s="551"/>
      <c r="BC926" s="551"/>
      <c r="BD926" s="551"/>
      <c r="BE926" s="551"/>
      <c r="BF926" s="551"/>
      <c r="BG926" s="551"/>
      <c r="BH926" s="551"/>
      <c r="BI926" s="551"/>
      <c r="BJ926" s="551"/>
      <c r="BK926" s="551"/>
      <c r="BL926" s="551"/>
      <c r="BM926" s="551"/>
      <c r="BN926" s="551"/>
      <c r="BO926" s="551"/>
      <c r="BP926" s="551"/>
      <c r="BQ926" s="551"/>
      <c r="BR926" s="551"/>
      <c r="BS926" s="551"/>
      <c r="BT926" s="551"/>
      <c r="BU926" s="551"/>
      <c r="BV926" s="551"/>
      <c r="BW926" s="551"/>
      <c r="BX926" s="551"/>
      <c r="BY926" s="551"/>
      <c r="BZ926" s="551"/>
      <c r="CA926" s="551"/>
      <c r="CB926" s="551"/>
      <c r="CC926" s="551"/>
      <c r="CD926" s="551"/>
      <c r="CE926" s="551"/>
      <c r="CF926" s="551"/>
      <c r="CG926" s="551"/>
      <c r="CH926" s="551"/>
      <c r="CI926" s="551"/>
      <c r="CJ926" s="551"/>
      <c r="CK926" s="551"/>
      <c r="CL926" s="551"/>
      <c r="CM926" s="551"/>
      <c r="CN926" s="551"/>
      <c r="CO926" s="551"/>
      <c r="CP926" s="551"/>
      <c r="CQ926" s="551"/>
      <c r="CR926" s="551"/>
      <c r="CS926" s="551"/>
      <c r="CT926" s="551"/>
      <c r="CU926" s="551"/>
      <c r="CV926" s="551"/>
      <c r="CW926" s="551"/>
      <c r="CX926" s="551"/>
      <c r="CY926" s="551"/>
      <c r="CZ926" s="551"/>
      <c r="DA926" s="551"/>
      <c r="DB926" s="551"/>
      <c r="DC926" s="551"/>
      <c r="DD926" s="551"/>
      <c r="DE926" s="551"/>
      <c r="DF926" s="551"/>
    </row>
    <row r="927" spans="1:110" s="565" customFormat="1" ht="15" customHeight="1" x14ac:dyDescent="0.25">
      <c r="A927" s="2069" t="s">
        <v>39</v>
      </c>
      <c r="B927" s="2069"/>
      <c r="C927" s="2069"/>
      <c r="D927" s="2069"/>
      <c r="E927" s="2069"/>
      <c r="F927" s="2069"/>
      <c r="G927" s="2367"/>
      <c r="H927" s="1192" t="s">
        <v>82</v>
      </c>
      <c r="I927" s="1192" t="s">
        <v>82</v>
      </c>
      <c r="J927" s="1192">
        <f>SUM(J912:J926)</f>
        <v>960844.08</v>
      </c>
      <c r="K927" s="564">
        <v>0</v>
      </c>
      <c r="L927" s="739">
        <f>J927-K927</f>
        <v>960844.08</v>
      </c>
      <c r="M927" s="1298"/>
      <c r="N927" s="1236"/>
      <c r="O927" s="1046"/>
      <c r="AC927" s="551"/>
      <c r="AD927" s="551"/>
      <c r="AE927" s="551"/>
      <c r="AF927" s="551"/>
      <c r="AG927" s="551"/>
      <c r="AH927" s="551"/>
      <c r="AI927" s="551"/>
      <c r="AJ927" s="551"/>
      <c r="AK927" s="551"/>
      <c r="AL927" s="551"/>
      <c r="AM927" s="551"/>
      <c r="AN927" s="551"/>
      <c r="AO927" s="551"/>
      <c r="AP927" s="551"/>
      <c r="AQ927" s="551"/>
      <c r="AR927" s="551"/>
      <c r="AS927" s="551"/>
      <c r="AT927" s="551"/>
      <c r="AU927" s="551"/>
      <c r="AV927" s="551"/>
      <c r="AW927" s="551"/>
      <c r="AX927" s="551"/>
      <c r="AY927" s="551"/>
      <c r="AZ927" s="551"/>
      <c r="BA927" s="551"/>
      <c r="BB927" s="551"/>
      <c r="BC927" s="551"/>
      <c r="BD927" s="551"/>
      <c r="BE927" s="551"/>
      <c r="BF927" s="551"/>
      <c r="BG927" s="551"/>
      <c r="BH927" s="551"/>
      <c r="BI927" s="551"/>
      <c r="BJ927" s="551"/>
      <c r="BK927" s="551"/>
      <c r="BL927" s="551"/>
      <c r="BM927" s="551"/>
      <c r="BN927" s="551"/>
      <c r="BO927" s="551"/>
      <c r="BP927" s="551"/>
      <c r="BQ927" s="551"/>
      <c r="BR927" s="551"/>
      <c r="BS927" s="551"/>
      <c r="BT927" s="551"/>
      <c r="BU927" s="551"/>
      <c r="BV927" s="551"/>
      <c r="BW927" s="551"/>
      <c r="BX927" s="551"/>
      <c r="BY927" s="551"/>
      <c r="BZ927" s="551"/>
      <c r="CA927" s="551"/>
      <c r="CB927" s="551"/>
      <c r="CC927" s="551"/>
      <c r="CD927" s="551"/>
      <c r="CE927" s="551"/>
      <c r="CF927" s="551"/>
      <c r="CG927" s="551"/>
      <c r="CH927" s="551"/>
      <c r="CI927" s="551"/>
      <c r="CJ927" s="551"/>
      <c r="CK927" s="551"/>
      <c r="CL927" s="551"/>
      <c r="CM927" s="551"/>
      <c r="CN927" s="551"/>
      <c r="CO927" s="551"/>
      <c r="CP927" s="551"/>
      <c r="CQ927" s="551"/>
      <c r="CR927" s="551"/>
      <c r="CS927" s="551"/>
      <c r="CT927" s="551"/>
      <c r="CU927" s="551"/>
      <c r="CV927" s="551"/>
      <c r="CW927" s="551"/>
      <c r="CX927" s="551"/>
      <c r="CY927" s="551"/>
      <c r="CZ927" s="551"/>
      <c r="DA927" s="551"/>
      <c r="DB927" s="551"/>
      <c r="DC927" s="551"/>
      <c r="DD927" s="551"/>
      <c r="DE927" s="551"/>
      <c r="DF927" s="551"/>
    </row>
    <row r="928" spans="1:110" s="61" customFormat="1" x14ac:dyDescent="0.25">
      <c r="A928" s="1198"/>
      <c r="B928" s="779"/>
      <c r="C928" s="779"/>
      <c r="D928" s="779"/>
      <c r="E928" s="779"/>
      <c r="F928" s="779"/>
      <c r="G928" s="779"/>
      <c r="H928" s="779"/>
      <c r="I928" s="779"/>
      <c r="J928" s="782"/>
      <c r="K928" s="835"/>
      <c r="L928" s="855"/>
      <c r="M928" s="70"/>
      <c r="N928" s="354"/>
      <c r="O928" s="354"/>
    </row>
    <row r="929" spans="1:15" s="61" customFormat="1" x14ac:dyDescent="0.25">
      <c r="A929" s="1898" t="s">
        <v>8</v>
      </c>
      <c r="B929" s="1898" t="s">
        <v>35</v>
      </c>
      <c r="C929" s="1898"/>
      <c r="D929" s="1898"/>
      <c r="E929" s="1898"/>
      <c r="F929" s="1898" t="s">
        <v>272</v>
      </c>
      <c r="G929" s="1899" t="s">
        <v>2046</v>
      </c>
      <c r="H929" s="1911"/>
      <c r="I929" s="1911"/>
      <c r="J929" s="1912"/>
      <c r="K929" s="835"/>
      <c r="L929" s="855"/>
      <c r="M929" s="70"/>
      <c r="N929" s="354"/>
      <c r="O929" s="354"/>
    </row>
    <row r="930" spans="1:15" s="61" customFormat="1" ht="45" x14ac:dyDescent="0.25">
      <c r="A930" s="1898"/>
      <c r="B930" s="1898"/>
      <c r="C930" s="1898"/>
      <c r="D930" s="1898"/>
      <c r="E930" s="1898"/>
      <c r="F930" s="1898"/>
      <c r="G930" s="1405" t="s">
        <v>515</v>
      </c>
      <c r="H930" s="1405" t="s">
        <v>55</v>
      </c>
      <c r="I930" s="1404" t="s">
        <v>265</v>
      </c>
      <c r="J930" s="1404" t="s">
        <v>256</v>
      </c>
      <c r="K930" s="354"/>
      <c r="L930" s="87"/>
      <c r="M930" s="354"/>
      <c r="N930" s="354"/>
      <c r="O930" s="354"/>
    </row>
    <row r="931" spans="1:15" s="61" customFormat="1" ht="30" x14ac:dyDescent="0.25">
      <c r="A931" s="2042">
        <v>5</v>
      </c>
      <c r="B931" s="1953" t="s">
        <v>59</v>
      </c>
      <c r="C931" s="2359"/>
      <c r="D931" s="2359"/>
      <c r="E931" s="2359"/>
      <c r="F931" s="1175" t="s">
        <v>1646</v>
      </c>
      <c r="G931" s="1552" t="s">
        <v>2054</v>
      </c>
      <c r="H931" s="1363">
        <v>355</v>
      </c>
      <c r="I931" s="1400">
        <v>61.223999999999997</v>
      </c>
      <c r="J931" s="1363">
        <f>H931*I931</f>
        <v>21734.52</v>
      </c>
      <c r="K931" s="87"/>
      <c r="L931" s="1044" t="s">
        <v>1486</v>
      </c>
      <c r="M931" s="174">
        <v>0</v>
      </c>
      <c r="N931" s="354"/>
      <c r="O931" s="354"/>
    </row>
    <row r="932" spans="1:15" s="61" customFormat="1" ht="30" customHeight="1" x14ac:dyDescent="0.25">
      <c r="A932" s="2042"/>
      <c r="B932" s="2359"/>
      <c r="C932" s="2359"/>
      <c r="D932" s="2359"/>
      <c r="E932" s="2359"/>
      <c r="F932" s="1175" t="s">
        <v>1646</v>
      </c>
      <c r="G932" s="1552" t="s">
        <v>2055</v>
      </c>
      <c r="H932" s="1363">
        <v>1590</v>
      </c>
      <c r="I932" s="1400">
        <v>61.223999999999997</v>
      </c>
      <c r="J932" s="1363">
        <f t="shared" ref="J932:J933" si="22">H932*I932</f>
        <v>97346.16</v>
      </c>
      <c r="K932" s="87"/>
      <c r="L932" s="990"/>
      <c r="M932" s="354"/>
      <c r="N932" s="354"/>
      <c r="O932" s="354"/>
    </row>
    <row r="933" spans="1:15" s="61" customFormat="1" ht="30" hidden="1" customHeight="1" x14ac:dyDescent="0.25">
      <c r="A933" s="2043"/>
      <c r="B933" s="2359"/>
      <c r="C933" s="2359"/>
      <c r="D933" s="2359"/>
      <c r="E933" s="2359"/>
      <c r="F933" s="1175" t="s">
        <v>1646</v>
      </c>
      <c r="G933" s="1392" t="s">
        <v>1844</v>
      </c>
      <c r="H933" s="1363"/>
      <c r="I933" s="1368">
        <v>67.346000000000004</v>
      </c>
      <c r="J933" s="1363">
        <f t="shared" si="22"/>
        <v>0</v>
      </c>
      <c r="K933" s="87"/>
      <c r="L933" s="990"/>
      <c r="M933" s="722"/>
      <c r="N933" s="354"/>
      <c r="O933" s="354"/>
    </row>
    <row r="934" spans="1:15" s="61" customFormat="1" ht="30" customHeight="1" x14ac:dyDescent="0.25">
      <c r="A934" s="2042">
        <v>6</v>
      </c>
      <c r="B934" s="1953" t="s">
        <v>84</v>
      </c>
      <c r="C934" s="2359"/>
      <c r="D934" s="2359"/>
      <c r="E934" s="2359"/>
      <c r="F934" s="1175" t="s">
        <v>1679</v>
      </c>
      <c r="G934" s="1552" t="s">
        <v>2054</v>
      </c>
      <c r="H934" s="1363">
        <v>32</v>
      </c>
      <c r="I934" s="1368">
        <v>2365.788</v>
      </c>
      <c r="J934" s="1363">
        <f>H934*I934</f>
        <v>75705.22</v>
      </c>
      <c r="K934" s="354"/>
      <c r="L934" s="1196"/>
      <c r="M934" s="722"/>
      <c r="N934" s="722"/>
      <c r="O934" s="354"/>
    </row>
    <row r="935" spans="1:15" s="61" customFormat="1" ht="30" customHeight="1" x14ac:dyDescent="0.25">
      <c r="A935" s="2042"/>
      <c r="B935" s="2359"/>
      <c r="C935" s="2359"/>
      <c r="D935" s="2359"/>
      <c r="E935" s="2359"/>
      <c r="F935" s="1175" t="s">
        <v>1679</v>
      </c>
      <c r="G935" s="1552" t="s">
        <v>2055</v>
      </c>
      <c r="H935" s="1363">
        <v>165</v>
      </c>
      <c r="I935" s="1368">
        <v>2365.788</v>
      </c>
      <c r="J935" s="1363">
        <f t="shared" ref="J935:J936" si="23">H935*I935</f>
        <v>390355.02</v>
      </c>
      <c r="K935" s="354"/>
      <c r="L935" s="1196"/>
      <c r="M935" s="722"/>
      <c r="N935" s="722"/>
      <c r="O935" s="354"/>
    </row>
    <row r="936" spans="1:15" s="61" customFormat="1" ht="30" hidden="1" customHeight="1" x14ac:dyDescent="0.25">
      <c r="A936" s="2043"/>
      <c r="B936" s="2359"/>
      <c r="C936" s="2359"/>
      <c r="D936" s="2359"/>
      <c r="E936" s="2359"/>
      <c r="F936" s="1175" t="s">
        <v>1679</v>
      </c>
      <c r="G936" s="1392" t="s">
        <v>1844</v>
      </c>
      <c r="H936" s="1363"/>
      <c r="I936" s="1368">
        <v>2602.3670000000002</v>
      </c>
      <c r="J936" s="1363">
        <f t="shared" si="23"/>
        <v>0</v>
      </c>
      <c r="K936" s="354"/>
      <c r="L936" s="1196"/>
      <c r="M936" s="722"/>
      <c r="N936" s="722"/>
      <c r="O936" s="354"/>
    </row>
    <row r="937" spans="1:15" s="61" customFormat="1" ht="15" customHeight="1" x14ac:dyDescent="0.25">
      <c r="A937" s="2035" t="s">
        <v>39</v>
      </c>
      <c r="B937" s="2035"/>
      <c r="C937" s="2035"/>
      <c r="D937" s="2035"/>
      <c r="E937" s="2035"/>
      <c r="F937" s="2035"/>
      <c r="G937" s="2035"/>
      <c r="H937" s="2035"/>
      <c r="I937" s="2035"/>
      <c r="J937" s="1369">
        <f>SUM(J931:J936)</f>
        <v>585140.92000000004</v>
      </c>
      <c r="K937" s="344">
        <v>0</v>
      </c>
      <c r="L937" s="849">
        <f>J937-K937</f>
        <v>585140.92000000004</v>
      </c>
      <c r="M937" s="1302"/>
      <c r="N937" s="340"/>
      <c r="O937" s="1047"/>
    </row>
    <row r="938" spans="1:15" s="61" customFormat="1" hidden="1" x14ac:dyDescent="0.25">
      <c r="A938" s="2264" t="s">
        <v>514</v>
      </c>
      <c r="B938" s="2265"/>
      <c r="C938" s="2265"/>
      <c r="D938" s="2265"/>
      <c r="E938" s="2265"/>
      <c r="F938" s="2265"/>
      <c r="G938" s="2265"/>
      <c r="H938" s="2265"/>
      <c r="I938" s="2265"/>
      <c r="J938" s="2265"/>
      <c r="K938" s="87"/>
      <c r="L938" s="87"/>
      <c r="M938" s="354"/>
      <c r="N938" s="354"/>
      <c r="O938" s="1048"/>
    </row>
    <row r="939" spans="1:15" s="61" customFormat="1" hidden="1" x14ac:dyDescent="0.25">
      <c r="A939" s="2266" t="s">
        <v>1134</v>
      </c>
      <c r="B939" s="2266"/>
      <c r="C939" s="2266"/>
      <c r="D939" s="2266"/>
      <c r="E939" s="2266"/>
      <c r="F939" s="2266"/>
      <c r="G939" s="2266"/>
      <c r="H939" s="2266"/>
      <c r="I939" s="2266"/>
      <c r="J939" s="1403">
        <v>0</v>
      </c>
      <c r="K939" s="344"/>
      <c r="L939" s="849"/>
      <c r="M939" s="70"/>
      <c r="N939" s="354"/>
      <c r="O939" s="354"/>
    </row>
    <row r="940" spans="1:15" s="61" customFormat="1" hidden="1" x14ac:dyDescent="0.25">
      <c r="A940" s="2266" t="s">
        <v>153</v>
      </c>
      <c r="B940" s="2266"/>
      <c r="C940" s="2266"/>
      <c r="D940" s="2266"/>
      <c r="E940" s="2266"/>
      <c r="F940" s="2266"/>
      <c r="G940" s="2266"/>
      <c r="H940" s="2266"/>
      <c r="I940" s="2266"/>
      <c r="J940" s="724">
        <f>76383.19+297762.15+73363.12</f>
        <v>447508.46</v>
      </c>
      <c r="M940" s="70"/>
      <c r="N940" s="354"/>
      <c r="O940" s="354"/>
    </row>
    <row r="941" spans="1:15" s="61" customFormat="1" hidden="1" x14ac:dyDescent="0.25">
      <c r="A941" s="2258" t="s">
        <v>619</v>
      </c>
      <c r="B941" s="2258"/>
      <c r="C941" s="2258"/>
      <c r="D941" s="2258"/>
      <c r="E941" s="2258"/>
      <c r="F941" s="2258"/>
      <c r="G941" s="2258"/>
      <c r="H941" s="2258"/>
      <c r="I941" s="2258"/>
      <c r="J941" s="988"/>
      <c r="K941" s="344"/>
      <c r="L941" s="849"/>
      <c r="M941" s="70"/>
      <c r="N941" s="354"/>
      <c r="O941" s="354"/>
    </row>
    <row r="942" spans="1:15" s="61" customFormat="1" ht="15" hidden="1" customHeight="1" x14ac:dyDescent="0.25">
      <c r="A942" s="2258" t="s">
        <v>1147</v>
      </c>
      <c r="B942" s="2258"/>
      <c r="C942" s="2258"/>
      <c r="D942" s="2258"/>
      <c r="E942" s="2258"/>
      <c r="F942" s="2258"/>
      <c r="G942" s="2258"/>
      <c r="H942" s="2258"/>
      <c r="I942" s="2258"/>
      <c r="J942" s="360"/>
      <c r="K942" s="87"/>
      <c r="L942" s="87"/>
      <c r="M942" s="70"/>
      <c r="N942" s="354"/>
      <c r="O942" s="354"/>
    </row>
    <row r="943" spans="1:15" s="61" customFormat="1" ht="15" customHeight="1" x14ac:dyDescent="0.25">
      <c r="A943" s="721"/>
      <c r="B943" s="719"/>
      <c r="C943" s="719"/>
      <c r="D943" s="719"/>
      <c r="E943" s="719"/>
      <c r="F943" s="719"/>
      <c r="G943" s="719"/>
      <c r="H943" s="719"/>
      <c r="I943" s="719"/>
      <c r="J943" s="720"/>
      <c r="K943" s="87"/>
      <c r="L943" s="87"/>
      <c r="M943" s="354"/>
      <c r="N943" s="354"/>
      <c r="O943" s="354"/>
    </row>
    <row r="944" spans="1:15" s="61" customFormat="1" ht="30" hidden="1" x14ac:dyDescent="0.25">
      <c r="A944" s="1447">
        <v>9</v>
      </c>
      <c r="B944" s="2283" t="s">
        <v>1266</v>
      </c>
      <c r="C944" s="2219"/>
      <c r="D944" s="2219"/>
      <c r="E944" s="2219"/>
      <c r="F944" s="1128" t="s">
        <v>1679</v>
      </c>
      <c r="G944" s="1417" t="s">
        <v>1645</v>
      </c>
      <c r="H944" s="1176"/>
      <c r="I944" s="736">
        <v>2158.5720000000001</v>
      </c>
      <c r="J944" s="1434">
        <f>H944*I944</f>
        <v>0</v>
      </c>
      <c r="K944" s="87"/>
      <c r="L944" s="87"/>
      <c r="M944" s="1048"/>
      <c r="N944" s="354"/>
      <c r="O944" s="354"/>
    </row>
    <row r="945" spans="1:28" s="61" customFormat="1" ht="15" hidden="1" customHeight="1" x14ac:dyDescent="0.25">
      <c r="A945" s="2284" t="s">
        <v>39</v>
      </c>
      <c r="B945" s="2284"/>
      <c r="C945" s="2284"/>
      <c r="D945" s="2284"/>
      <c r="E945" s="2284"/>
      <c r="F945" s="2284"/>
      <c r="G945" s="2173" t="s">
        <v>82</v>
      </c>
      <c r="H945" s="1191">
        <f>H944</f>
        <v>0</v>
      </c>
      <c r="I945" s="1190" t="s">
        <v>82</v>
      </c>
      <c r="J945" s="1192">
        <f>SUM(J944:J944)</f>
        <v>0</v>
      </c>
      <c r="K945" s="87"/>
      <c r="L945" s="87"/>
      <c r="M945" s="354"/>
      <c r="N945" s="354"/>
      <c r="O945" s="354"/>
    </row>
    <row r="946" spans="1:28" s="61" customFormat="1" ht="15" hidden="1" customHeight="1" x14ac:dyDescent="0.25">
      <c r="A946" s="2264" t="s">
        <v>514</v>
      </c>
      <c r="B946" s="2265"/>
      <c r="C946" s="2265"/>
      <c r="D946" s="2265"/>
      <c r="E946" s="2265"/>
      <c r="F946" s="2265"/>
      <c r="G946" s="2265"/>
      <c r="H946" s="2265"/>
      <c r="I946" s="2265"/>
      <c r="J946" s="2265"/>
      <c r="K946" s="87"/>
      <c r="L946" s="87"/>
      <c r="M946" s="354"/>
      <c r="N946" s="354"/>
      <c r="O946" s="354"/>
    </row>
    <row r="947" spans="1:28" s="61" customFormat="1" ht="15" hidden="1" customHeight="1" x14ac:dyDescent="0.25">
      <c r="A947" s="2266" t="s">
        <v>1134</v>
      </c>
      <c r="B947" s="2266"/>
      <c r="C947" s="2266"/>
      <c r="D947" s="2266"/>
      <c r="E947" s="2266"/>
      <c r="F947" s="2266"/>
      <c r="G947" s="2266"/>
      <c r="H947" s="2266"/>
      <c r="I947" s="2266"/>
      <c r="J947" s="1435">
        <v>0</v>
      </c>
      <c r="K947" s="87"/>
      <c r="L947" s="87"/>
      <c r="M947" s="354"/>
      <c r="N947" s="354"/>
      <c r="O947" s="354"/>
    </row>
    <row r="948" spans="1:28" s="61" customFormat="1" ht="15" hidden="1" customHeight="1" x14ac:dyDescent="0.25">
      <c r="A948" s="2369" t="s">
        <v>153</v>
      </c>
      <c r="B948" s="2369"/>
      <c r="C948" s="2369"/>
      <c r="D948" s="2369"/>
      <c r="E948" s="2369"/>
      <c r="F948" s="2369"/>
      <c r="G948" s="2369"/>
      <c r="H948" s="2369"/>
      <c r="I948" s="2369"/>
      <c r="J948" s="1420">
        <v>321951.49</v>
      </c>
      <c r="K948" s="87"/>
      <c r="L948" s="354"/>
      <c r="M948" s="354"/>
      <c r="N948" s="354"/>
      <c r="O948" s="354"/>
    </row>
    <row r="949" spans="1:28" s="61" customFormat="1" ht="15" hidden="1" customHeight="1" x14ac:dyDescent="0.25">
      <c r="A949" s="1242"/>
      <c r="B949" s="657"/>
      <c r="C949" s="657"/>
      <c r="D949" s="657"/>
      <c r="E949" s="657"/>
      <c r="F949" s="657"/>
      <c r="G949" s="657"/>
      <c r="H949" s="657"/>
      <c r="I949" s="657"/>
      <c r="J949" s="559"/>
      <c r="K949" s="87"/>
      <c r="L949" s="354"/>
      <c r="M949" s="354"/>
      <c r="N949" s="354"/>
      <c r="O949" s="354"/>
    </row>
    <row r="950" spans="1:28" ht="23.25" x14ac:dyDescent="0.25">
      <c r="A950" s="2370" t="s">
        <v>118</v>
      </c>
      <c r="B950" s="2370"/>
      <c r="C950" s="2370"/>
      <c r="D950" s="2370"/>
      <c r="E950" s="2370"/>
      <c r="F950" s="2370"/>
      <c r="G950" s="2370"/>
      <c r="H950" s="2370"/>
      <c r="I950" s="2370"/>
      <c r="J950" s="737">
        <f>J937+J927+J903+J891+J878+J855+J759+J748+J731+J718+J688+J655+J617+J605+J579+J571+J562+J554+J545+J536+J530+J524+J515+J506+J483+J470+J464+J444+J424+J410+J396+J389+J377+J366+J345+J333+J327+J321+J314+J304+J272+J261+J246+J234+J205+J191+J173+J164+J153+J143+J117+J98+J75+J67+J57+J44+J866</f>
        <v>420054274.43000001</v>
      </c>
      <c r="K950" s="552" t="b">
        <f>J950=J7</f>
        <v>1</v>
      </c>
      <c r="L950" s="552">
        <f>J7</f>
        <v>420054274.43000001</v>
      </c>
      <c r="M950" s="1203">
        <f>L950-J950</f>
        <v>0</v>
      </c>
      <c r="N950" s="551"/>
      <c r="O950" s="551"/>
      <c r="P950" s="551"/>
      <c r="Q950" s="551"/>
      <c r="R950" s="551"/>
      <c r="S950" s="551"/>
      <c r="T950" s="551"/>
      <c r="U950" s="551"/>
      <c r="V950" s="551"/>
      <c r="W950" s="551"/>
      <c r="X950" s="551"/>
      <c r="Y950" s="551"/>
      <c r="Z950" s="551"/>
      <c r="AA950" s="551"/>
      <c r="AB950" s="551"/>
    </row>
    <row r="951" spans="1:28" x14ac:dyDescent="0.25">
      <c r="K951" s="565"/>
      <c r="M951" s="551"/>
      <c r="N951" s="551"/>
      <c r="O951" s="551"/>
      <c r="P951" s="551"/>
      <c r="Q951" s="551"/>
      <c r="R951" s="551"/>
      <c r="S951" s="551"/>
      <c r="T951" s="551"/>
      <c r="U951" s="551"/>
      <c r="V951" s="551"/>
      <c r="W951" s="551"/>
      <c r="X951" s="551"/>
      <c r="Y951" s="551"/>
      <c r="Z951" s="551"/>
      <c r="AA951" s="551"/>
      <c r="AB951" s="551"/>
    </row>
    <row r="952" spans="1:28" x14ac:dyDescent="0.25">
      <c r="A952" s="738" t="s">
        <v>610</v>
      </c>
      <c r="I952" s="2368" t="s">
        <v>357</v>
      </c>
      <c r="J952" s="2368"/>
      <c r="K952" s="610"/>
      <c r="M952" s="551"/>
      <c r="N952" s="551"/>
      <c r="O952" s="551"/>
      <c r="P952" s="551"/>
      <c r="Q952" s="551"/>
      <c r="R952" s="551"/>
      <c r="S952" s="551"/>
      <c r="T952" s="551"/>
      <c r="U952" s="551"/>
      <c r="V952" s="551"/>
      <c r="W952" s="551"/>
      <c r="X952" s="551"/>
      <c r="Y952" s="551"/>
      <c r="Z952" s="551"/>
      <c r="AA952" s="551"/>
      <c r="AB952" s="551"/>
    </row>
    <row r="953" spans="1:28" x14ac:dyDescent="0.25">
      <c r="A953" s="738"/>
      <c r="J953" s="742"/>
      <c r="K953" s="565"/>
      <c r="L953" s="551"/>
      <c r="M953" s="551"/>
      <c r="N953" s="551"/>
      <c r="O953" s="551"/>
      <c r="P953" s="551"/>
      <c r="Q953" s="551"/>
      <c r="R953" s="551"/>
      <c r="S953" s="551"/>
      <c r="T953" s="551"/>
      <c r="U953" s="551"/>
      <c r="V953" s="551"/>
      <c r="W953" s="551"/>
      <c r="X953" s="551"/>
      <c r="Y953" s="551"/>
      <c r="Z953" s="551"/>
      <c r="AA953" s="551"/>
      <c r="AB953" s="551"/>
    </row>
    <row r="954" spans="1:28" x14ac:dyDescent="0.25">
      <c r="A954" s="738" t="s">
        <v>156</v>
      </c>
      <c r="I954" s="1936" t="s">
        <v>729</v>
      </c>
      <c r="J954" s="1936"/>
      <c r="K954" s="551"/>
      <c r="L954" s="551"/>
      <c r="M954" s="551"/>
      <c r="N954" s="551"/>
      <c r="O954" s="551"/>
      <c r="P954" s="551"/>
      <c r="Q954" s="551"/>
      <c r="R954" s="551"/>
      <c r="S954" s="551"/>
      <c r="T954" s="551"/>
      <c r="U954" s="551"/>
      <c r="V954" s="551"/>
      <c r="W954" s="551"/>
      <c r="X954" s="551"/>
      <c r="Y954" s="551"/>
      <c r="Z954" s="551"/>
      <c r="AA954" s="551"/>
      <c r="AB954" s="551"/>
    </row>
    <row r="955" spans="1:28" x14ac:dyDescent="0.25">
      <c r="A955" s="738"/>
      <c r="J955" s="1414"/>
      <c r="K955" s="551"/>
      <c r="L955" s="551"/>
      <c r="M955" s="551"/>
      <c r="N955" s="551"/>
      <c r="O955" s="551"/>
      <c r="P955" s="551"/>
      <c r="Q955" s="551"/>
      <c r="R955" s="551"/>
      <c r="S955" s="551"/>
      <c r="T955" s="551"/>
      <c r="U955" s="551"/>
      <c r="V955" s="551"/>
      <c r="W955" s="551"/>
      <c r="X955" s="551"/>
      <c r="Y955" s="551"/>
      <c r="Z955" s="551"/>
      <c r="AA955" s="551"/>
      <c r="AB955" s="551"/>
    </row>
    <row r="956" spans="1:28" x14ac:dyDescent="0.25">
      <c r="A956" s="738" t="s">
        <v>117</v>
      </c>
      <c r="J956" s="1414"/>
      <c r="K956" s="551"/>
      <c r="L956" s="551"/>
      <c r="M956" s="551"/>
      <c r="N956" s="551"/>
      <c r="O956" s="551"/>
      <c r="P956" s="551"/>
      <c r="Q956" s="551"/>
      <c r="R956" s="551"/>
      <c r="S956" s="551"/>
      <c r="T956" s="551"/>
      <c r="U956" s="551"/>
      <c r="V956" s="551"/>
      <c r="W956" s="551"/>
      <c r="X956" s="551"/>
      <c r="Y956" s="551"/>
      <c r="Z956" s="551"/>
      <c r="AA956" s="551"/>
      <c r="AB956" s="551"/>
    </row>
    <row r="957" spans="1:28" ht="15" customHeight="1" x14ac:dyDescent="0.25">
      <c r="A957" s="738" t="s">
        <v>1681</v>
      </c>
      <c r="I957" s="2368" t="s">
        <v>243</v>
      </c>
      <c r="J957" s="2368"/>
      <c r="K957" s="551"/>
      <c r="L957" s="551"/>
      <c r="M957" s="551"/>
      <c r="N957" s="551"/>
      <c r="O957" s="551"/>
      <c r="P957" s="551"/>
      <c r="Q957" s="551"/>
      <c r="R957" s="551"/>
      <c r="S957" s="551"/>
      <c r="T957" s="551"/>
      <c r="U957" s="551"/>
      <c r="V957" s="551"/>
      <c r="W957" s="551"/>
      <c r="X957" s="551"/>
      <c r="Y957" s="551"/>
      <c r="Z957" s="551"/>
      <c r="AA957" s="551"/>
      <c r="AB957" s="551"/>
    </row>
  </sheetData>
  <sheetProtection insertRows="0" deleteRows="0" autoFilter="0"/>
  <dataConsolidate link="1"/>
  <mergeCells count="796">
    <mergeCell ref="I957:J957"/>
    <mergeCell ref="A946:J946"/>
    <mergeCell ref="A947:I947"/>
    <mergeCell ref="A948:I948"/>
    <mergeCell ref="A950:I950"/>
    <mergeCell ref="I952:J952"/>
    <mergeCell ref="I954:J954"/>
    <mergeCell ref="A939:I939"/>
    <mergeCell ref="A940:I940"/>
    <mergeCell ref="A941:I941"/>
    <mergeCell ref="A942:I942"/>
    <mergeCell ref="B944:E944"/>
    <mergeCell ref="A945:G945"/>
    <mergeCell ref="A934:A936"/>
    <mergeCell ref="B934:E936"/>
    <mergeCell ref="A937:I937"/>
    <mergeCell ref="A938:J938"/>
    <mergeCell ref="A923:A924"/>
    <mergeCell ref="B923:E924"/>
    <mergeCell ref="A925:A926"/>
    <mergeCell ref="B925:E926"/>
    <mergeCell ref="A927:G927"/>
    <mergeCell ref="A929:A930"/>
    <mergeCell ref="B929:E930"/>
    <mergeCell ref="F929:F930"/>
    <mergeCell ref="G929:J929"/>
    <mergeCell ref="A917:A918"/>
    <mergeCell ref="B917:E918"/>
    <mergeCell ref="A919:A920"/>
    <mergeCell ref="B919:E920"/>
    <mergeCell ref="A921:A922"/>
    <mergeCell ref="B921:E922"/>
    <mergeCell ref="A910:A911"/>
    <mergeCell ref="B910:E911"/>
    <mergeCell ref="A931:A933"/>
    <mergeCell ref="B931:E933"/>
    <mergeCell ref="F910:F911"/>
    <mergeCell ref="G910:J910"/>
    <mergeCell ref="A912:A916"/>
    <mergeCell ref="B912:E912"/>
    <mergeCell ref="G912:G916"/>
    <mergeCell ref="B913:E913"/>
    <mergeCell ref="B914:E914"/>
    <mergeCell ref="B915:E915"/>
    <mergeCell ref="A903:I903"/>
    <mergeCell ref="A904:J904"/>
    <mergeCell ref="A905:I905"/>
    <mergeCell ref="A906:I906"/>
    <mergeCell ref="A907:I907"/>
    <mergeCell ref="A908:I908"/>
    <mergeCell ref="B916:E916"/>
    <mergeCell ref="A898:A899"/>
    <mergeCell ref="B898:E899"/>
    <mergeCell ref="F898:F899"/>
    <mergeCell ref="G898:J898"/>
    <mergeCell ref="A900:A902"/>
    <mergeCell ref="B900:E902"/>
    <mergeCell ref="A891:I891"/>
    <mergeCell ref="A892:J892"/>
    <mergeCell ref="A893:I893"/>
    <mergeCell ref="A894:I894"/>
    <mergeCell ref="A895:I895"/>
    <mergeCell ref="A896:I896"/>
    <mergeCell ref="A886:A887"/>
    <mergeCell ref="B886:E887"/>
    <mergeCell ref="F886:F887"/>
    <mergeCell ref="G886:J886"/>
    <mergeCell ref="A888:A890"/>
    <mergeCell ref="B888:E890"/>
    <mergeCell ref="B876:F876"/>
    <mergeCell ref="S876:AB876"/>
    <mergeCell ref="B877:F877"/>
    <mergeCell ref="S877:AB877"/>
    <mergeCell ref="A878:G878"/>
    <mergeCell ref="S878:AB878"/>
    <mergeCell ref="B873:F873"/>
    <mergeCell ref="S873:AC873"/>
    <mergeCell ref="B874:F874"/>
    <mergeCell ref="T874:Y874"/>
    <mergeCell ref="B875:F875"/>
    <mergeCell ref="T875:Y875"/>
    <mergeCell ref="B864:F864"/>
    <mergeCell ref="B865:F865"/>
    <mergeCell ref="A866:G866"/>
    <mergeCell ref="S870:AB870"/>
    <mergeCell ref="A871:A872"/>
    <mergeCell ref="B871:F872"/>
    <mergeCell ref="G871:G872"/>
    <mergeCell ref="H871:J871"/>
    <mergeCell ref="S872:AB872"/>
    <mergeCell ref="S857:S869"/>
    <mergeCell ref="T857:Y869"/>
    <mergeCell ref="A861:A862"/>
    <mergeCell ref="B861:F862"/>
    <mergeCell ref="G861:G862"/>
    <mergeCell ref="H861:J861"/>
    <mergeCell ref="A863:J863"/>
    <mergeCell ref="A855:G855"/>
    <mergeCell ref="B850:F850"/>
    <mergeCell ref="B851:F851"/>
    <mergeCell ref="B852:F852"/>
    <mergeCell ref="B853:F853"/>
    <mergeCell ref="H843:J843"/>
    <mergeCell ref="B845:F845"/>
    <mergeCell ref="B846:F846"/>
    <mergeCell ref="B847:F847"/>
    <mergeCell ref="B848:F848"/>
    <mergeCell ref="B849:F849"/>
    <mergeCell ref="B838:F838"/>
    <mergeCell ref="B839:F839"/>
    <mergeCell ref="A840:G840"/>
    <mergeCell ref="A843:A844"/>
    <mergeCell ref="B843:F844"/>
    <mergeCell ref="G843:G844"/>
    <mergeCell ref="B830:F830"/>
    <mergeCell ref="B831:F831"/>
    <mergeCell ref="B832:F832"/>
    <mergeCell ref="A833:I833"/>
    <mergeCell ref="A836:A837"/>
    <mergeCell ref="B836:F837"/>
    <mergeCell ref="G836:G837"/>
    <mergeCell ref="H836:J836"/>
    <mergeCell ref="B821:F821"/>
    <mergeCell ref="B822:F822"/>
    <mergeCell ref="B823:F823"/>
    <mergeCell ref="B824:F824"/>
    <mergeCell ref="A825:I825"/>
    <mergeCell ref="A828:A829"/>
    <mergeCell ref="B828:F829"/>
    <mergeCell ref="G828:G829"/>
    <mergeCell ref="H828:J828"/>
    <mergeCell ref="B812:F812"/>
    <mergeCell ref="B813:F813"/>
    <mergeCell ref="B814:F814"/>
    <mergeCell ref="B815:F815"/>
    <mergeCell ref="A816:I816"/>
    <mergeCell ref="A819:A820"/>
    <mergeCell ref="B819:F820"/>
    <mergeCell ref="G819:G820"/>
    <mergeCell ref="H819:J819"/>
    <mergeCell ref="B806:F806"/>
    <mergeCell ref="B807:F807"/>
    <mergeCell ref="B808:F808"/>
    <mergeCell ref="B809:F809"/>
    <mergeCell ref="B810:F810"/>
    <mergeCell ref="B811:F811"/>
    <mergeCell ref="B800:F800"/>
    <mergeCell ref="B801:F801"/>
    <mergeCell ref="B802:F802"/>
    <mergeCell ref="B803:F803"/>
    <mergeCell ref="B804:F804"/>
    <mergeCell ref="B805:F805"/>
    <mergeCell ref="B794:F794"/>
    <mergeCell ref="B795:F795"/>
    <mergeCell ref="B796:F796"/>
    <mergeCell ref="B797:F797"/>
    <mergeCell ref="B798:F798"/>
    <mergeCell ref="B799:F799"/>
    <mergeCell ref="B788:F788"/>
    <mergeCell ref="B789:F789"/>
    <mergeCell ref="B790:F790"/>
    <mergeCell ref="B791:F791"/>
    <mergeCell ref="B792:F792"/>
    <mergeCell ref="B793:F793"/>
    <mergeCell ref="B782:F782"/>
    <mergeCell ref="B783:F783"/>
    <mergeCell ref="B784:F784"/>
    <mergeCell ref="B785:F785"/>
    <mergeCell ref="B786:F786"/>
    <mergeCell ref="B787:F787"/>
    <mergeCell ref="B776:F776"/>
    <mergeCell ref="B777:F777"/>
    <mergeCell ref="B778:F778"/>
    <mergeCell ref="B779:F779"/>
    <mergeCell ref="B780:F780"/>
    <mergeCell ref="B781:F781"/>
    <mergeCell ref="B770:F770"/>
    <mergeCell ref="B771:F771"/>
    <mergeCell ref="B772:F772"/>
    <mergeCell ref="B773:F773"/>
    <mergeCell ref="B774:F774"/>
    <mergeCell ref="B775:F775"/>
    <mergeCell ref="B764:F764"/>
    <mergeCell ref="B765:F765"/>
    <mergeCell ref="B766:F766"/>
    <mergeCell ref="B767:F767"/>
    <mergeCell ref="B768:F768"/>
    <mergeCell ref="B769:F769"/>
    <mergeCell ref="A757:I757"/>
    <mergeCell ref="B758:F758"/>
    <mergeCell ref="A759:I759"/>
    <mergeCell ref="A762:A763"/>
    <mergeCell ref="B762:F763"/>
    <mergeCell ref="G762:G763"/>
    <mergeCell ref="H762:J762"/>
    <mergeCell ref="A737:J737"/>
    <mergeCell ref="A748:G748"/>
    <mergeCell ref="A749:I749"/>
    <mergeCell ref="A750:I750"/>
    <mergeCell ref="A755:A756"/>
    <mergeCell ref="B755:F756"/>
    <mergeCell ref="G755:G756"/>
    <mergeCell ref="H755:J755"/>
    <mergeCell ref="B729:F729"/>
    <mergeCell ref="B730:F730"/>
    <mergeCell ref="A731:I731"/>
    <mergeCell ref="A735:A736"/>
    <mergeCell ref="B735:F736"/>
    <mergeCell ref="G735:G736"/>
    <mergeCell ref="H735:J735"/>
    <mergeCell ref="B723:F723"/>
    <mergeCell ref="B724:F724"/>
    <mergeCell ref="B725:F725"/>
    <mergeCell ref="B726:F726"/>
    <mergeCell ref="B727:F727"/>
    <mergeCell ref="B728:F728"/>
    <mergeCell ref="B717:F717"/>
    <mergeCell ref="A718:I718"/>
    <mergeCell ref="A720:J720"/>
    <mergeCell ref="A721:A722"/>
    <mergeCell ref="B721:F722"/>
    <mergeCell ref="G721:J721"/>
    <mergeCell ref="B711:F711"/>
    <mergeCell ref="B712:F712"/>
    <mergeCell ref="B713:F713"/>
    <mergeCell ref="B714:F714"/>
    <mergeCell ref="B715:F715"/>
    <mergeCell ref="B716:F716"/>
    <mergeCell ref="B705:F705"/>
    <mergeCell ref="B706:F706"/>
    <mergeCell ref="B707:F707"/>
    <mergeCell ref="B708:F708"/>
    <mergeCell ref="B709:F709"/>
    <mergeCell ref="B710:F710"/>
    <mergeCell ref="B699:F699"/>
    <mergeCell ref="B700:F700"/>
    <mergeCell ref="B701:F701"/>
    <mergeCell ref="B702:F702"/>
    <mergeCell ref="B703:F703"/>
    <mergeCell ref="B704:F704"/>
    <mergeCell ref="B693:F693"/>
    <mergeCell ref="B694:F694"/>
    <mergeCell ref="B695:F695"/>
    <mergeCell ref="B696:F696"/>
    <mergeCell ref="B697:F697"/>
    <mergeCell ref="B698:F698"/>
    <mergeCell ref="B685:F685"/>
    <mergeCell ref="B686:F686"/>
    <mergeCell ref="B687:F687"/>
    <mergeCell ref="A688:I688"/>
    <mergeCell ref="A690:J690"/>
    <mergeCell ref="A691:A692"/>
    <mergeCell ref="B691:F692"/>
    <mergeCell ref="G691:J691"/>
    <mergeCell ref="B679:F679"/>
    <mergeCell ref="B680:F680"/>
    <mergeCell ref="B681:F681"/>
    <mergeCell ref="B682:F682"/>
    <mergeCell ref="B683:F683"/>
    <mergeCell ref="B684:F684"/>
    <mergeCell ref="H672:J672"/>
    <mergeCell ref="A674:I674"/>
    <mergeCell ref="B675:F675"/>
    <mergeCell ref="B676:F676"/>
    <mergeCell ref="B677:F677"/>
    <mergeCell ref="B678:F678"/>
    <mergeCell ref="B664:F664"/>
    <mergeCell ref="B665:F665"/>
    <mergeCell ref="A666:G666"/>
    <mergeCell ref="A672:A673"/>
    <mergeCell ref="B672:F673"/>
    <mergeCell ref="G672:G673"/>
    <mergeCell ref="A660:A661"/>
    <mergeCell ref="B660:F661"/>
    <mergeCell ref="G660:G661"/>
    <mergeCell ref="H660:J660"/>
    <mergeCell ref="B662:F662"/>
    <mergeCell ref="B663:F663"/>
    <mergeCell ref="B650:F650"/>
    <mergeCell ref="B651:F651"/>
    <mergeCell ref="B652:F652"/>
    <mergeCell ref="B653:F653"/>
    <mergeCell ref="B654:F654"/>
    <mergeCell ref="A655:G655"/>
    <mergeCell ref="A641:I641"/>
    <mergeCell ref="A647:A648"/>
    <mergeCell ref="B647:F648"/>
    <mergeCell ref="G647:G648"/>
    <mergeCell ref="H647:J647"/>
    <mergeCell ref="B649:F649"/>
    <mergeCell ref="B635:F635"/>
    <mergeCell ref="A636:G636"/>
    <mergeCell ref="A637:J637"/>
    <mergeCell ref="A638:I638"/>
    <mergeCell ref="A639:I639"/>
    <mergeCell ref="A640:I640"/>
    <mergeCell ref="H623:J623"/>
    <mergeCell ref="B625:F625"/>
    <mergeCell ref="M625:N625"/>
    <mergeCell ref="B626:F626"/>
    <mergeCell ref="A627:G627"/>
    <mergeCell ref="A633:A634"/>
    <mergeCell ref="B633:F634"/>
    <mergeCell ref="G633:G634"/>
    <mergeCell ref="H633:J633"/>
    <mergeCell ref="A623:A624"/>
    <mergeCell ref="B623:F624"/>
    <mergeCell ref="G623:G624"/>
    <mergeCell ref="B615:F615"/>
    <mergeCell ref="B616:F616"/>
    <mergeCell ref="A617:G617"/>
    <mergeCell ref="A605:G605"/>
    <mergeCell ref="A612:A613"/>
    <mergeCell ref="B612:F613"/>
    <mergeCell ref="G612:G613"/>
    <mergeCell ref="H612:J612"/>
    <mergeCell ref="A614:I614"/>
    <mergeCell ref="A600:A601"/>
    <mergeCell ref="B600:F601"/>
    <mergeCell ref="G600:J600"/>
    <mergeCell ref="B602:F602"/>
    <mergeCell ref="B603:F603"/>
    <mergeCell ref="B604:F604"/>
    <mergeCell ref="B590:F590"/>
    <mergeCell ref="B591:F591"/>
    <mergeCell ref="A592:G592"/>
    <mergeCell ref="A593:J593"/>
    <mergeCell ref="A594:I594"/>
    <mergeCell ref="A595:I595"/>
    <mergeCell ref="A579:G579"/>
    <mergeCell ref="A581:J581"/>
    <mergeCell ref="A582:I582"/>
    <mergeCell ref="A583:I583"/>
    <mergeCell ref="A588:A589"/>
    <mergeCell ref="B588:F589"/>
    <mergeCell ref="G588:G589"/>
    <mergeCell ref="H588:J588"/>
    <mergeCell ref="A571:G571"/>
    <mergeCell ref="A576:A577"/>
    <mergeCell ref="B576:F577"/>
    <mergeCell ref="G576:G577"/>
    <mergeCell ref="H576:J576"/>
    <mergeCell ref="B578:F578"/>
    <mergeCell ref="O567:Q567"/>
    <mergeCell ref="O568:Q568"/>
    <mergeCell ref="B569:D569"/>
    <mergeCell ref="O569:Q569"/>
    <mergeCell ref="B570:D570"/>
    <mergeCell ref="N570:V570"/>
    <mergeCell ref="B560:D560"/>
    <mergeCell ref="B561:D561"/>
    <mergeCell ref="A562:G562"/>
    <mergeCell ref="A567:A568"/>
    <mergeCell ref="B567:D568"/>
    <mergeCell ref="E567:J567"/>
    <mergeCell ref="B551:F551"/>
    <mergeCell ref="B552:F552"/>
    <mergeCell ref="B553:I553"/>
    <mergeCell ref="A554:G554"/>
    <mergeCell ref="A558:A559"/>
    <mergeCell ref="B558:D559"/>
    <mergeCell ref="E558:J558"/>
    <mergeCell ref="B542:F542"/>
    <mergeCell ref="B543:F543"/>
    <mergeCell ref="B544:F544"/>
    <mergeCell ref="A545:I545"/>
    <mergeCell ref="A549:A550"/>
    <mergeCell ref="B549:F550"/>
    <mergeCell ref="G549:G550"/>
    <mergeCell ref="H549:J549"/>
    <mergeCell ref="B535:E535"/>
    <mergeCell ref="A536:I536"/>
    <mergeCell ref="A539:A540"/>
    <mergeCell ref="B539:F540"/>
    <mergeCell ref="G539:J539"/>
    <mergeCell ref="B541:F541"/>
    <mergeCell ref="B529:F529"/>
    <mergeCell ref="A530:I530"/>
    <mergeCell ref="A533:A534"/>
    <mergeCell ref="B533:E534"/>
    <mergeCell ref="F533:F534"/>
    <mergeCell ref="G533:J533"/>
    <mergeCell ref="A520:I520"/>
    <mergeCell ref="B521:F521"/>
    <mergeCell ref="B522:F522"/>
    <mergeCell ref="B523:F523"/>
    <mergeCell ref="A524:I524"/>
    <mergeCell ref="A527:A528"/>
    <mergeCell ref="B527:F528"/>
    <mergeCell ref="G527:G528"/>
    <mergeCell ref="H527:J527"/>
    <mergeCell ref="A511:I511"/>
    <mergeCell ref="B512:F512"/>
    <mergeCell ref="B513:F513"/>
    <mergeCell ref="B514:F514"/>
    <mergeCell ref="A515:I515"/>
    <mergeCell ref="A518:A519"/>
    <mergeCell ref="B518:F519"/>
    <mergeCell ref="G518:G519"/>
    <mergeCell ref="H518:J518"/>
    <mergeCell ref="B505:F505"/>
    <mergeCell ref="A506:G506"/>
    <mergeCell ref="A509:A510"/>
    <mergeCell ref="B509:F510"/>
    <mergeCell ref="G509:G510"/>
    <mergeCell ref="H509:J509"/>
    <mergeCell ref="A499:I499"/>
    <mergeCell ref="A502:A503"/>
    <mergeCell ref="B502:F503"/>
    <mergeCell ref="G502:G503"/>
    <mergeCell ref="H502:J502"/>
    <mergeCell ref="B504:F504"/>
    <mergeCell ref="B493:F493"/>
    <mergeCell ref="B494:F494"/>
    <mergeCell ref="A495:I495"/>
    <mergeCell ref="A496:J496"/>
    <mergeCell ref="A497:I497"/>
    <mergeCell ref="A498:I498"/>
    <mergeCell ref="A487:I487"/>
    <mergeCell ref="A488:I488"/>
    <mergeCell ref="A491:A492"/>
    <mergeCell ref="B491:F492"/>
    <mergeCell ref="G491:G492"/>
    <mergeCell ref="H491:J491"/>
    <mergeCell ref="A481:J481"/>
    <mergeCell ref="B482:F482"/>
    <mergeCell ref="A483:I483"/>
    <mergeCell ref="A484:J484"/>
    <mergeCell ref="A485:I485"/>
    <mergeCell ref="A486:I486"/>
    <mergeCell ref="A476:A477"/>
    <mergeCell ref="B476:F477"/>
    <mergeCell ref="G476:J476"/>
    <mergeCell ref="A478:J478"/>
    <mergeCell ref="A479:A480"/>
    <mergeCell ref="B479:F479"/>
    <mergeCell ref="B480:F480"/>
    <mergeCell ref="A467:A468"/>
    <mergeCell ref="B467:E468"/>
    <mergeCell ref="F467:F468"/>
    <mergeCell ref="G467:J467"/>
    <mergeCell ref="B469:E469"/>
    <mergeCell ref="A470:I470"/>
    <mergeCell ref="B460:E460"/>
    <mergeCell ref="B461:E461"/>
    <mergeCell ref="B462:E462"/>
    <mergeCell ref="B463:E463"/>
    <mergeCell ref="A464:I464"/>
    <mergeCell ref="A466:H466"/>
    <mergeCell ref="B454:E454"/>
    <mergeCell ref="B455:E455"/>
    <mergeCell ref="B456:E456"/>
    <mergeCell ref="B457:E457"/>
    <mergeCell ref="B458:E458"/>
    <mergeCell ref="B459:E459"/>
    <mergeCell ref="G447:J447"/>
    <mergeCell ref="A449:F449"/>
    <mergeCell ref="B450:E450"/>
    <mergeCell ref="B451:E451"/>
    <mergeCell ref="B452:E452"/>
    <mergeCell ref="B453:E453"/>
    <mergeCell ref="B440:F440"/>
    <mergeCell ref="B441:F441"/>
    <mergeCell ref="B442:F442"/>
    <mergeCell ref="A443:F443"/>
    <mergeCell ref="A444:F444"/>
    <mergeCell ref="A447:A448"/>
    <mergeCell ref="B447:E448"/>
    <mergeCell ref="F447:F448"/>
    <mergeCell ref="A434:I434"/>
    <mergeCell ref="B435:F435"/>
    <mergeCell ref="B436:F436"/>
    <mergeCell ref="B437:F437"/>
    <mergeCell ref="A438:F438"/>
    <mergeCell ref="A439:I439"/>
    <mergeCell ref="A427:I427"/>
    <mergeCell ref="A428:I428"/>
    <mergeCell ref="A429:I429"/>
    <mergeCell ref="A432:A433"/>
    <mergeCell ref="B432:F433"/>
    <mergeCell ref="G432:J432"/>
    <mergeCell ref="A420:J420"/>
    <mergeCell ref="B422:D422"/>
    <mergeCell ref="B423:D423"/>
    <mergeCell ref="A424:I424"/>
    <mergeCell ref="A425:J425"/>
    <mergeCell ref="A426:I426"/>
    <mergeCell ref="A414:I414"/>
    <mergeCell ref="A415:I415"/>
    <mergeCell ref="A418:A419"/>
    <mergeCell ref="B418:D419"/>
    <mergeCell ref="E418:E419"/>
    <mergeCell ref="F418:F419"/>
    <mergeCell ref="G418:J418"/>
    <mergeCell ref="A407:J407"/>
    <mergeCell ref="B409:D409"/>
    <mergeCell ref="A410:I410"/>
    <mergeCell ref="A411:J411"/>
    <mergeCell ref="A412:I412"/>
    <mergeCell ref="A413:I413"/>
    <mergeCell ref="A401:I401"/>
    <mergeCell ref="A403:I403"/>
    <mergeCell ref="A405:A406"/>
    <mergeCell ref="B405:D406"/>
    <mergeCell ref="E405:E406"/>
    <mergeCell ref="F405:F406"/>
    <mergeCell ref="G405:J405"/>
    <mergeCell ref="B395:E395"/>
    <mergeCell ref="A396:I396"/>
    <mergeCell ref="A397:J397"/>
    <mergeCell ref="A398:I398"/>
    <mergeCell ref="A399:I399"/>
    <mergeCell ref="A400:I400"/>
    <mergeCell ref="B387:E387"/>
    <mergeCell ref="B388:E388"/>
    <mergeCell ref="A389:I389"/>
    <mergeCell ref="A390:I390"/>
    <mergeCell ref="A392:H392"/>
    <mergeCell ref="A393:A394"/>
    <mergeCell ref="B393:E394"/>
    <mergeCell ref="F393:F394"/>
    <mergeCell ref="G393:J393"/>
    <mergeCell ref="A382:I382"/>
    <mergeCell ref="A384:H384"/>
    <mergeCell ref="A385:A386"/>
    <mergeCell ref="B385:E386"/>
    <mergeCell ref="F385:F386"/>
    <mergeCell ref="G385:J385"/>
    <mergeCell ref="B376:E376"/>
    <mergeCell ref="A377:I377"/>
    <mergeCell ref="A378:J378"/>
    <mergeCell ref="A379:I379"/>
    <mergeCell ref="A380:I380"/>
    <mergeCell ref="A381:I381"/>
    <mergeCell ref="A371:I371"/>
    <mergeCell ref="A373:H373"/>
    <mergeCell ref="A374:A375"/>
    <mergeCell ref="B374:E375"/>
    <mergeCell ref="F374:F375"/>
    <mergeCell ref="G374:J374"/>
    <mergeCell ref="B365:E365"/>
    <mergeCell ref="A366:I366"/>
    <mergeCell ref="A367:J367"/>
    <mergeCell ref="A368:I368"/>
    <mergeCell ref="A369:I369"/>
    <mergeCell ref="A370:I370"/>
    <mergeCell ref="A361:H361"/>
    <mergeCell ref="A362:A363"/>
    <mergeCell ref="B362:E363"/>
    <mergeCell ref="F362:F363"/>
    <mergeCell ref="G362:J362"/>
    <mergeCell ref="B364:E364"/>
    <mergeCell ref="B355:E355"/>
    <mergeCell ref="G355:H355"/>
    <mergeCell ref="A356:I356"/>
    <mergeCell ref="A357:J357"/>
    <mergeCell ref="A358:I358"/>
    <mergeCell ref="A359:I359"/>
    <mergeCell ref="A352:H352"/>
    <mergeCell ref="A353:A354"/>
    <mergeCell ref="B353:E354"/>
    <mergeCell ref="F353:F354"/>
    <mergeCell ref="G353:J353"/>
    <mergeCell ref="G354:H354"/>
    <mergeCell ref="A345:I345"/>
    <mergeCell ref="A346:J346"/>
    <mergeCell ref="A347:I347"/>
    <mergeCell ref="A348:I348"/>
    <mergeCell ref="A349:I349"/>
    <mergeCell ref="A350:I350"/>
    <mergeCell ref="A341:A342"/>
    <mergeCell ref="B341:E342"/>
    <mergeCell ref="F341:F342"/>
    <mergeCell ref="G341:J341"/>
    <mergeCell ref="B343:E343"/>
    <mergeCell ref="B344:E344"/>
    <mergeCell ref="A334:J334"/>
    <mergeCell ref="A335:I335"/>
    <mergeCell ref="A336:I336"/>
    <mergeCell ref="A337:I337"/>
    <mergeCell ref="A338:I338"/>
    <mergeCell ref="A340:H340"/>
    <mergeCell ref="A330:A331"/>
    <mergeCell ref="B330:E331"/>
    <mergeCell ref="F330:F331"/>
    <mergeCell ref="G330:J330"/>
    <mergeCell ref="B332:E332"/>
    <mergeCell ref="A333:I333"/>
    <mergeCell ref="A324:A325"/>
    <mergeCell ref="B324:E325"/>
    <mergeCell ref="F324:F325"/>
    <mergeCell ref="G324:J324"/>
    <mergeCell ref="B326:E326"/>
    <mergeCell ref="A327:I327"/>
    <mergeCell ref="A317:A318"/>
    <mergeCell ref="B317:G318"/>
    <mergeCell ref="H317:J317"/>
    <mergeCell ref="B319:G319"/>
    <mergeCell ref="B320:G320"/>
    <mergeCell ref="A321:I321"/>
    <mergeCell ref="B309:F309"/>
    <mergeCell ref="B310:F310"/>
    <mergeCell ref="B311:F311"/>
    <mergeCell ref="B312:F312"/>
    <mergeCell ref="B313:F313"/>
    <mergeCell ref="A314:I314"/>
    <mergeCell ref="A301:J301"/>
    <mergeCell ref="B302:E302"/>
    <mergeCell ref="B303:E303"/>
    <mergeCell ref="A304:I304"/>
    <mergeCell ref="A307:A308"/>
    <mergeCell ref="B307:F308"/>
    <mergeCell ref="G307:J307"/>
    <mergeCell ref="A295:J295"/>
    <mergeCell ref="B296:E296"/>
    <mergeCell ref="A299:A300"/>
    <mergeCell ref="B299:E300"/>
    <mergeCell ref="F299:F300"/>
    <mergeCell ref="G299:G300"/>
    <mergeCell ref="A283:I283"/>
    <mergeCell ref="A284:I284"/>
    <mergeCell ref="A285:I285"/>
    <mergeCell ref="A287:I287"/>
    <mergeCell ref="A288:I288"/>
    <mergeCell ref="A293:A294"/>
    <mergeCell ref="B293:E294"/>
    <mergeCell ref="F293:J293"/>
    <mergeCell ref="A276:I276"/>
    <mergeCell ref="A277:I277"/>
    <mergeCell ref="B279:E279"/>
    <mergeCell ref="A280:G280"/>
    <mergeCell ref="A281:J281"/>
    <mergeCell ref="A282:I282"/>
    <mergeCell ref="A269:A271"/>
    <mergeCell ref="B269:E271"/>
    <mergeCell ref="A272:I272"/>
    <mergeCell ref="A273:J273"/>
    <mergeCell ref="A274:I274"/>
    <mergeCell ref="A275:I275"/>
    <mergeCell ref="B260:D260"/>
    <mergeCell ref="A261:F261"/>
    <mergeCell ref="A267:A268"/>
    <mergeCell ref="B267:E268"/>
    <mergeCell ref="F267:F268"/>
    <mergeCell ref="G267:J267"/>
    <mergeCell ref="A251:I251"/>
    <mergeCell ref="A258:A259"/>
    <mergeCell ref="B258:D259"/>
    <mergeCell ref="E258:E259"/>
    <mergeCell ref="F258:F259"/>
    <mergeCell ref="G258:J258"/>
    <mergeCell ref="B245:E245"/>
    <mergeCell ref="A246:I246"/>
    <mergeCell ref="A247:J247"/>
    <mergeCell ref="A248:I248"/>
    <mergeCell ref="A249:I249"/>
    <mergeCell ref="A250:I250"/>
    <mergeCell ref="A239:I239"/>
    <mergeCell ref="A242:A243"/>
    <mergeCell ref="B242:E243"/>
    <mergeCell ref="F242:F243"/>
    <mergeCell ref="G242:J242"/>
    <mergeCell ref="A244:J244"/>
    <mergeCell ref="B233:I233"/>
    <mergeCell ref="A234:I234"/>
    <mergeCell ref="A235:J235"/>
    <mergeCell ref="A236:I236"/>
    <mergeCell ref="A237:I237"/>
    <mergeCell ref="A238:I238"/>
    <mergeCell ref="A229:A230"/>
    <mergeCell ref="B229:E230"/>
    <mergeCell ref="F229:F230"/>
    <mergeCell ref="G229:J229"/>
    <mergeCell ref="A231:J231"/>
    <mergeCell ref="B232:E232"/>
    <mergeCell ref="A205:G205"/>
    <mergeCell ref="A213:A214"/>
    <mergeCell ref="B213:F214"/>
    <mergeCell ref="G213:J213"/>
    <mergeCell ref="B215:F216"/>
    <mergeCell ref="A217:G217"/>
    <mergeCell ref="A191:I191"/>
    <mergeCell ref="A201:A202"/>
    <mergeCell ref="B201:G202"/>
    <mergeCell ref="H201:J201"/>
    <mergeCell ref="B203:G203"/>
    <mergeCell ref="B204:G204"/>
    <mergeCell ref="A186:E186"/>
    <mergeCell ref="F186:G186"/>
    <mergeCell ref="A188:A189"/>
    <mergeCell ref="B188:F189"/>
    <mergeCell ref="G188:J188"/>
    <mergeCell ref="B190:F190"/>
    <mergeCell ref="A173:I173"/>
    <mergeCell ref="A183:A184"/>
    <mergeCell ref="B183:E184"/>
    <mergeCell ref="F183:J183"/>
    <mergeCell ref="F184:G184"/>
    <mergeCell ref="B185:E185"/>
    <mergeCell ref="F185:G185"/>
    <mergeCell ref="B160:G160"/>
    <mergeCell ref="B161:G161"/>
    <mergeCell ref="B162:G162"/>
    <mergeCell ref="B163:G163"/>
    <mergeCell ref="A164:I164"/>
    <mergeCell ref="A170:A171"/>
    <mergeCell ref="B170:G171"/>
    <mergeCell ref="H170:J170"/>
    <mergeCell ref="B151:G151"/>
    <mergeCell ref="B152:G152"/>
    <mergeCell ref="A153:I153"/>
    <mergeCell ref="A158:A159"/>
    <mergeCell ref="B158:G159"/>
    <mergeCell ref="H158:J158"/>
    <mergeCell ref="A143:I143"/>
    <mergeCell ref="A147:A148"/>
    <mergeCell ref="B147:G148"/>
    <mergeCell ref="H147:J147"/>
    <mergeCell ref="B149:G149"/>
    <mergeCell ref="B150:G150"/>
    <mergeCell ref="A123:J123"/>
    <mergeCell ref="A131:A132"/>
    <mergeCell ref="B131:I132"/>
    <mergeCell ref="B133:I133"/>
    <mergeCell ref="A134:I134"/>
    <mergeCell ref="A140:A141"/>
    <mergeCell ref="B140:G141"/>
    <mergeCell ref="H140:J140"/>
    <mergeCell ref="A119:J119"/>
    <mergeCell ref="A120:J120"/>
    <mergeCell ref="K120:M120"/>
    <mergeCell ref="A121:J121"/>
    <mergeCell ref="A122:J122"/>
    <mergeCell ref="K122:M122"/>
    <mergeCell ref="B107:F107"/>
    <mergeCell ref="A108:F108"/>
    <mergeCell ref="A114:A115"/>
    <mergeCell ref="B114:G115"/>
    <mergeCell ref="H114:J114"/>
    <mergeCell ref="A117:I117"/>
    <mergeCell ref="B97:G97"/>
    <mergeCell ref="A98:G98"/>
    <mergeCell ref="A104:J104"/>
    <mergeCell ref="A105:A106"/>
    <mergeCell ref="B105:F106"/>
    <mergeCell ref="G105:J105"/>
    <mergeCell ref="A92:J92"/>
    <mergeCell ref="A93:A94"/>
    <mergeCell ref="B93:G94"/>
    <mergeCell ref="H93:J93"/>
    <mergeCell ref="B95:G95"/>
    <mergeCell ref="B96:G96"/>
    <mergeCell ref="A67:I67"/>
    <mergeCell ref="A72:A73"/>
    <mergeCell ref="B72:F73"/>
    <mergeCell ref="G72:J72"/>
    <mergeCell ref="A75:I75"/>
    <mergeCell ref="A79:J79"/>
    <mergeCell ref="B56:I56"/>
    <mergeCell ref="A57:I57"/>
    <mergeCell ref="A64:A65"/>
    <mergeCell ref="B64:F65"/>
    <mergeCell ref="G64:J64"/>
    <mergeCell ref="B66:F66"/>
    <mergeCell ref="B50:I50"/>
    <mergeCell ref="B51:I51"/>
    <mergeCell ref="B52:I52"/>
    <mergeCell ref="B53:I53"/>
    <mergeCell ref="B54:I54"/>
    <mergeCell ref="B55:I55"/>
    <mergeCell ref="B40:I40"/>
    <mergeCell ref="B41:I41"/>
    <mergeCell ref="B42:I42"/>
    <mergeCell ref="B43:I43"/>
    <mergeCell ref="A44:I44"/>
    <mergeCell ref="B49:I49"/>
    <mergeCell ref="B37:I37"/>
    <mergeCell ref="B38:I38"/>
    <mergeCell ref="B39:I39"/>
    <mergeCell ref="A14:I14"/>
    <mergeCell ref="A15:I15"/>
    <mergeCell ref="A16:I16"/>
    <mergeCell ref="A17:I17"/>
    <mergeCell ref="A18:I18"/>
    <mergeCell ref="E22:I22"/>
    <mergeCell ref="A1:J1"/>
    <mergeCell ref="A3:J3"/>
    <mergeCell ref="P4:P5"/>
    <mergeCell ref="P9:P13"/>
    <mergeCell ref="A10:I10"/>
    <mergeCell ref="A11:I11"/>
    <mergeCell ref="A12:I12"/>
    <mergeCell ref="A13:I13"/>
    <mergeCell ref="A35:A36"/>
    <mergeCell ref="B35:I36"/>
    <mergeCell ref="J35:J36"/>
  </mergeCells>
  <printOptions horizontalCentered="1"/>
  <pageMargins left="0.78740157480314965" right="0.19685039370078741" top="0.19685039370078741" bottom="0.19685039370078741" header="0" footer="0"/>
  <pageSetup paperSize="9" scale="6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957"/>
  <sheetViews>
    <sheetView view="pageBreakPreview" zoomScale="80" zoomScaleNormal="70" zoomScaleSheetLayoutView="80" workbookViewId="0">
      <selection activeCell="K14" sqref="K14"/>
    </sheetView>
  </sheetViews>
  <sheetFormatPr defaultColWidth="8.7109375" defaultRowHeight="15" x14ac:dyDescent="0.25"/>
  <cols>
    <col min="1" max="1" width="4.28515625" style="1449" customWidth="1"/>
    <col min="2" max="2" width="14.140625" style="1449" customWidth="1"/>
    <col min="3" max="3" width="15.85546875" style="1449" customWidth="1"/>
    <col min="4" max="4" width="21.5703125" style="1449" customWidth="1"/>
    <col min="5" max="5" width="14.140625" style="1449" customWidth="1"/>
    <col min="6" max="6" width="11.42578125" style="1449" customWidth="1"/>
    <col min="7" max="7" width="13.42578125" style="1449" customWidth="1"/>
    <col min="8" max="8" width="15.7109375" style="505" customWidth="1"/>
    <col min="9" max="9" width="16.7109375" style="506" customWidth="1"/>
    <col min="10" max="10" width="18.85546875" style="506" customWidth="1"/>
    <col min="11" max="11" width="24.28515625" style="552" customWidth="1"/>
    <col min="12" max="12" width="27.140625" style="565" customWidth="1"/>
    <col min="13" max="13" width="43.85546875" style="565" customWidth="1"/>
    <col min="14" max="14" width="18.85546875" style="565" customWidth="1"/>
    <col min="15" max="15" width="13.140625" style="565" customWidth="1"/>
    <col min="16" max="16" width="13.28515625" style="565" bestFit="1" customWidth="1"/>
    <col min="17" max="17" width="12.7109375" style="565" bestFit="1" customWidth="1"/>
    <col min="18" max="18" width="12.5703125" style="565" bestFit="1" customWidth="1"/>
    <col min="19" max="19" width="12" style="565" customWidth="1"/>
    <col min="20" max="20" width="9.140625" style="565" bestFit="1" customWidth="1"/>
    <col min="21" max="21" width="11.5703125" style="565" customWidth="1"/>
    <col min="22" max="22" width="8.5703125" style="565" customWidth="1"/>
    <col min="23" max="23" width="14.42578125" style="565" customWidth="1"/>
    <col min="24" max="28" width="8.7109375" style="565"/>
    <col min="29" max="109" width="8.7109375" style="551"/>
    <col min="110" max="110" width="13.42578125" style="551" bestFit="1" customWidth="1"/>
    <col min="111" max="16384" width="8.7109375" style="551"/>
  </cols>
  <sheetData>
    <row r="1" spans="1:28" ht="19.5" customHeight="1" x14ac:dyDescent="0.25">
      <c r="A1" s="2150" t="s">
        <v>2044</v>
      </c>
      <c r="B1" s="2150"/>
      <c r="C1" s="2150"/>
      <c r="D1" s="2150"/>
      <c r="E1" s="2150"/>
      <c r="F1" s="2150"/>
      <c r="G1" s="2150"/>
      <c r="H1" s="2150"/>
      <c r="I1" s="2150"/>
      <c r="J1" s="2150"/>
      <c r="L1" s="553" t="s">
        <v>2043</v>
      </c>
      <c r="M1" s="553" t="s">
        <v>1334</v>
      </c>
    </row>
    <row r="2" spans="1:28" ht="14.25" customHeight="1" x14ac:dyDescent="0.25">
      <c r="A2" s="1429"/>
      <c r="B2" s="1429"/>
      <c r="C2" s="1429"/>
      <c r="D2" s="1429"/>
      <c r="E2" s="1429"/>
      <c r="F2" s="1429"/>
      <c r="G2" s="1429"/>
      <c r="H2" s="1429"/>
      <c r="I2" s="588"/>
      <c r="J2" s="588"/>
      <c r="K2" s="725" t="s">
        <v>621</v>
      </c>
      <c r="L2" s="617">
        <f>385953766.82-L6</f>
        <v>378234691.48000002</v>
      </c>
      <c r="M2" s="617">
        <f>J46+J69+J155+J180</f>
        <v>378234691.48000002</v>
      </c>
      <c r="N2" s="617">
        <f t="shared" ref="N2:N7" si="0">L2-M2</f>
        <v>0</v>
      </c>
      <c r="O2" s="617" t="b">
        <f t="shared" ref="O2:O7" si="1">L2=M2</f>
        <v>1</v>
      </c>
    </row>
    <row r="3" spans="1:28" ht="40.5" customHeight="1" x14ac:dyDescent="0.25">
      <c r="A3" s="2151" t="s">
        <v>609</v>
      </c>
      <c r="B3" s="2151"/>
      <c r="C3" s="2151"/>
      <c r="D3" s="2151"/>
      <c r="E3" s="2151"/>
      <c r="F3" s="2151"/>
      <c r="G3" s="2151"/>
      <c r="H3" s="2151"/>
      <c r="I3" s="2151"/>
      <c r="J3" s="2151"/>
      <c r="K3" s="726" t="s">
        <v>335</v>
      </c>
      <c r="L3" s="617">
        <f>46668216.2-L7</f>
        <v>43736522.350000001</v>
      </c>
      <c r="M3" s="617">
        <f>J32+J61+J111+J153+J167+J198+J226+J255+J264+J290+J474+J644+J670+J883+J858</f>
        <v>43736522.350000001</v>
      </c>
      <c r="N3" s="617">
        <f t="shared" si="0"/>
        <v>0</v>
      </c>
      <c r="O3" s="617" t="b">
        <f t="shared" si="1"/>
        <v>1</v>
      </c>
      <c r="P3" s="565">
        <f>N7+N3</f>
        <v>0</v>
      </c>
    </row>
    <row r="4" spans="1:28" ht="19.5" customHeight="1" x14ac:dyDescent="0.25">
      <c r="A4" s="589"/>
      <c r="B4" s="589"/>
      <c r="C4" s="589"/>
      <c r="D4" s="589"/>
      <c r="E4" s="589"/>
      <c r="F4" s="589"/>
      <c r="G4" s="589"/>
      <c r="H4" s="589"/>
      <c r="I4" s="590"/>
      <c r="J4" s="590"/>
      <c r="K4" s="725" t="s">
        <v>641</v>
      </c>
      <c r="L4" s="617">
        <v>1400100</v>
      </c>
      <c r="M4" s="617">
        <f>J564</f>
        <v>1400100</v>
      </c>
      <c r="N4" s="617">
        <f t="shared" si="0"/>
        <v>0</v>
      </c>
      <c r="O4" s="617" t="b">
        <f t="shared" si="1"/>
        <v>1</v>
      </c>
      <c r="P4" s="2152"/>
    </row>
    <row r="5" spans="1:28" ht="15.75" x14ac:dyDescent="0.25">
      <c r="A5" s="637" t="s">
        <v>21</v>
      </c>
      <c r="B5" s="583"/>
      <c r="C5" s="583"/>
      <c r="D5" s="583"/>
      <c r="E5" s="583"/>
      <c r="F5" s="583"/>
      <c r="G5" s="583"/>
      <c r="H5" s="584"/>
      <c r="I5" s="585"/>
      <c r="J5" s="585"/>
      <c r="K5" s="725" t="s">
        <v>642</v>
      </c>
      <c r="L5" s="617">
        <v>1060895</v>
      </c>
      <c r="M5" s="617">
        <f>J547+J556+J597+J733</f>
        <v>1060895</v>
      </c>
      <c r="N5" s="617">
        <f t="shared" si="0"/>
        <v>0</v>
      </c>
      <c r="O5" s="617" t="b">
        <f t="shared" si="1"/>
        <v>1</v>
      </c>
      <c r="P5" s="2152"/>
    </row>
    <row r="6" spans="1:28" ht="15.75" x14ac:dyDescent="0.25">
      <c r="A6" s="583"/>
      <c r="B6" s="583"/>
      <c r="C6" s="583"/>
      <c r="D6" s="583"/>
      <c r="E6" s="583"/>
      <c r="F6" s="583"/>
      <c r="G6" s="583"/>
      <c r="H6" s="584"/>
      <c r="I6" s="585"/>
      <c r="J6" s="585"/>
      <c r="K6" s="727" t="s">
        <v>622</v>
      </c>
      <c r="L6" s="728">
        <v>7719075.3399999999</v>
      </c>
      <c r="M6" s="728">
        <f>J573+J609+J752+J620+J868</f>
        <v>7719075.3399999999</v>
      </c>
      <c r="N6" s="728">
        <f t="shared" si="0"/>
        <v>0</v>
      </c>
      <c r="O6" s="728" t="b">
        <f t="shared" si="1"/>
        <v>1</v>
      </c>
    </row>
    <row r="7" spans="1:28" ht="24" customHeight="1" x14ac:dyDescent="0.25">
      <c r="A7" s="637" t="s">
        <v>23</v>
      </c>
      <c r="B7" s="637"/>
      <c r="C7" s="637"/>
      <c r="D7" s="637"/>
      <c r="E7" s="637"/>
      <c r="F7" s="637"/>
      <c r="G7" s="637"/>
      <c r="H7" s="651"/>
      <c r="I7" s="591"/>
      <c r="J7" s="591">
        <f>J9</f>
        <v>435082978.01999998</v>
      </c>
      <c r="K7" s="726" t="s">
        <v>623</v>
      </c>
      <c r="L7" s="728">
        <v>2931693.85</v>
      </c>
      <c r="M7" s="728">
        <f>J98+J143</f>
        <v>2931693.85</v>
      </c>
      <c r="N7" s="728">
        <f t="shared" si="0"/>
        <v>0</v>
      </c>
      <c r="O7" s="728" t="b">
        <f t="shared" si="1"/>
        <v>1</v>
      </c>
      <c r="Q7" s="579"/>
    </row>
    <row r="8" spans="1:28" ht="24" customHeight="1" x14ac:dyDescent="0.25">
      <c r="A8" s="637" t="s">
        <v>504</v>
      </c>
      <c r="B8" s="637"/>
      <c r="C8" s="637"/>
      <c r="D8" s="637"/>
      <c r="E8" s="637"/>
      <c r="F8" s="637"/>
      <c r="G8" s="637"/>
      <c r="H8" s="651"/>
      <c r="I8" s="591"/>
      <c r="J8" s="591"/>
      <c r="K8" s="729"/>
      <c r="L8" s="750">
        <v>435082978.01999998</v>
      </c>
      <c r="M8" s="1431"/>
      <c r="N8" s="1431"/>
      <c r="O8" s="1431"/>
    </row>
    <row r="9" spans="1:28" ht="24" customHeight="1" x14ac:dyDescent="0.25">
      <c r="A9" s="637" t="s">
        <v>283</v>
      </c>
      <c r="B9" s="637"/>
      <c r="C9" s="637"/>
      <c r="D9" s="637"/>
      <c r="E9" s="637"/>
      <c r="F9" s="637"/>
      <c r="G9" s="637"/>
      <c r="H9" s="651"/>
      <c r="I9" s="591"/>
      <c r="J9" s="591">
        <f>J14+J15+J17+J18+J11+J12</f>
        <v>435082978.01999998</v>
      </c>
      <c r="K9" s="592" t="b">
        <f>J9=L8</f>
        <v>1</v>
      </c>
      <c r="L9" s="749" t="b">
        <f>L2+L3+L4+L5+L6+L7=L8</f>
        <v>1</v>
      </c>
      <c r="M9" s="1431"/>
      <c r="N9" s="1431"/>
      <c r="O9" s="1431"/>
      <c r="P9" s="2152"/>
    </row>
    <row r="10" spans="1:28" ht="30" hidden="1" customHeight="1" x14ac:dyDescent="0.25">
      <c r="A10" s="2153" t="s">
        <v>336</v>
      </c>
      <c r="B10" s="2153"/>
      <c r="C10" s="2153"/>
      <c r="D10" s="2153"/>
      <c r="E10" s="2153"/>
      <c r="F10" s="2153"/>
      <c r="G10" s="2153"/>
      <c r="H10" s="2153"/>
      <c r="I10" s="2153"/>
      <c r="J10" s="591"/>
      <c r="K10" s="1431"/>
      <c r="L10" s="1431"/>
      <c r="M10" s="1431"/>
      <c r="N10" s="1431"/>
      <c r="O10" s="1431"/>
      <c r="P10" s="2152"/>
    </row>
    <row r="11" spans="1:28" ht="19.5" hidden="1" customHeight="1" x14ac:dyDescent="0.25">
      <c r="A11" s="2154" t="s">
        <v>834</v>
      </c>
      <c r="B11" s="2154"/>
      <c r="C11" s="2154"/>
      <c r="D11" s="2154"/>
      <c r="E11" s="2154"/>
      <c r="F11" s="2154"/>
      <c r="G11" s="2154"/>
      <c r="H11" s="2154"/>
      <c r="I11" s="2154"/>
      <c r="J11" s="591"/>
      <c r="P11" s="2152"/>
    </row>
    <row r="12" spans="1:28" ht="45" hidden="1" customHeight="1" x14ac:dyDescent="0.25">
      <c r="A12" s="2155" t="s">
        <v>526</v>
      </c>
      <c r="B12" s="2155"/>
      <c r="C12" s="2155"/>
      <c r="D12" s="2155"/>
      <c r="E12" s="2155"/>
      <c r="F12" s="2155"/>
      <c r="G12" s="2155"/>
      <c r="H12" s="2155"/>
      <c r="I12" s="2155"/>
      <c r="J12" s="591"/>
      <c r="P12" s="2152"/>
    </row>
    <row r="13" spans="1:28" ht="27" customHeight="1" x14ac:dyDescent="0.25">
      <c r="A13" s="2156" t="s">
        <v>284</v>
      </c>
      <c r="B13" s="2156"/>
      <c r="C13" s="2156"/>
      <c r="D13" s="2156"/>
      <c r="E13" s="2156"/>
      <c r="F13" s="2156"/>
      <c r="G13" s="2156"/>
      <c r="H13" s="2156"/>
      <c r="I13" s="2156"/>
      <c r="J13" s="591"/>
      <c r="K13" s="729"/>
      <c r="L13" s="1431"/>
      <c r="M13" s="1431"/>
      <c r="N13" s="1431"/>
      <c r="O13" s="1431"/>
      <c r="P13" s="2152"/>
    </row>
    <row r="14" spans="1:28" s="595" customFormat="1" ht="33.75" customHeight="1" x14ac:dyDescent="0.25">
      <c r="A14" s="2112" t="s">
        <v>1150</v>
      </c>
      <c r="B14" s="2112"/>
      <c r="C14" s="2112"/>
      <c r="D14" s="2112"/>
      <c r="E14" s="2112"/>
      <c r="F14" s="2112"/>
      <c r="G14" s="2112"/>
      <c r="H14" s="2112"/>
      <c r="I14" s="2112"/>
      <c r="J14" s="591">
        <f>M3+M7</f>
        <v>46668216.200000003</v>
      </c>
      <c r="K14" s="552" t="b">
        <f>L3+L7=J14</f>
        <v>1</v>
      </c>
      <c r="L14" s="594">
        <f>L2-J191-J75</f>
        <v>377143964.38</v>
      </c>
      <c r="M14" s="594"/>
      <c r="N14" s="594"/>
      <c r="O14" s="594"/>
      <c r="P14" s="594"/>
      <c r="Q14" s="594"/>
      <c r="R14" s="594"/>
      <c r="S14" s="594"/>
      <c r="T14" s="594"/>
      <c r="U14" s="594"/>
      <c r="V14" s="594"/>
      <c r="W14" s="594"/>
      <c r="X14" s="594"/>
      <c r="Y14" s="594"/>
      <c r="Z14" s="594"/>
      <c r="AA14" s="594"/>
      <c r="AB14" s="594"/>
    </row>
    <row r="15" spans="1:28" ht="63" customHeight="1" x14ac:dyDescent="0.25">
      <c r="A15" s="2112" t="s">
        <v>1151</v>
      </c>
      <c r="B15" s="2112"/>
      <c r="C15" s="2112"/>
      <c r="D15" s="2112"/>
      <c r="E15" s="2112"/>
      <c r="F15" s="2112"/>
      <c r="G15" s="2112"/>
      <c r="H15" s="2112"/>
      <c r="I15" s="2112"/>
      <c r="J15" s="591">
        <f>M2+M6</f>
        <v>385953766.81999999</v>
      </c>
      <c r="K15" s="552" t="b">
        <f>J15=L2+L6</f>
        <v>1</v>
      </c>
    </row>
    <row r="16" spans="1:28" ht="19.5" customHeight="1" x14ac:dyDescent="0.25">
      <c r="A16" s="2156" t="s">
        <v>286</v>
      </c>
      <c r="B16" s="2156"/>
      <c r="C16" s="2156"/>
      <c r="D16" s="2156"/>
      <c r="E16" s="2156"/>
      <c r="F16" s="2156"/>
      <c r="G16" s="2156"/>
      <c r="H16" s="2156"/>
      <c r="I16" s="2156"/>
      <c r="J16" s="591"/>
      <c r="K16" s="592"/>
    </row>
    <row r="17" spans="1:110" ht="33" customHeight="1" x14ac:dyDescent="0.25">
      <c r="A17" s="2112" t="s">
        <v>1150</v>
      </c>
      <c r="B17" s="2112"/>
      <c r="C17" s="2112"/>
      <c r="D17" s="2112"/>
      <c r="E17" s="2112"/>
      <c r="F17" s="2112"/>
      <c r="G17" s="2112"/>
      <c r="H17" s="2112"/>
      <c r="I17" s="2112"/>
      <c r="J17" s="591">
        <f>M5</f>
        <v>1060895</v>
      </c>
      <c r="K17" s="552" t="b">
        <f>J17=L5</f>
        <v>1</v>
      </c>
    </row>
    <row r="18" spans="1:110" ht="49.5" customHeight="1" x14ac:dyDescent="0.25">
      <c r="A18" s="2112" t="s">
        <v>1152</v>
      </c>
      <c r="B18" s="2112"/>
      <c r="C18" s="2112"/>
      <c r="D18" s="2112"/>
      <c r="E18" s="2112"/>
      <c r="F18" s="2112"/>
      <c r="G18" s="2112"/>
      <c r="H18" s="2112"/>
      <c r="I18" s="2112"/>
      <c r="J18" s="591">
        <f>M4</f>
        <v>1400100</v>
      </c>
      <c r="K18" s="552" t="b">
        <f>J18=L4</f>
        <v>1</v>
      </c>
      <c r="L18" s="108" t="s">
        <v>305</v>
      </c>
      <c r="M18" s="108" t="s">
        <v>236</v>
      </c>
    </row>
    <row r="19" spans="1:110" x14ac:dyDescent="0.25">
      <c r="H19" s="506"/>
      <c r="L19" s="108">
        <f>J28+J87+J124+J177+J195+J207+J223+J880</f>
        <v>435082978.01999998</v>
      </c>
      <c r="M19" s="108">
        <f>J30+J59+J89+J110+J135+J166+J179+J197+J209+J225+J263+J289+J472+J584+J608+J668+J882+J619+J254+J643+J857</f>
        <v>435082978.01999998</v>
      </c>
    </row>
    <row r="20" spans="1:110" x14ac:dyDescent="0.25">
      <c r="A20" s="507" t="s">
        <v>25</v>
      </c>
      <c r="L20" s="108" t="b">
        <f>L19=J7</f>
        <v>1</v>
      </c>
      <c r="M20" s="108" t="b">
        <f>M19=J7</f>
        <v>1</v>
      </c>
    </row>
    <row r="21" spans="1:110" x14ac:dyDescent="0.25">
      <c r="A21" s="507"/>
    </row>
    <row r="22" spans="1:110" ht="32.25" customHeight="1" x14ac:dyDescent="0.25">
      <c r="A22" s="507" t="s">
        <v>145</v>
      </c>
      <c r="E22" s="2166" t="s">
        <v>285</v>
      </c>
      <c r="F22" s="2167"/>
      <c r="G22" s="2167"/>
      <c r="H22" s="2167"/>
      <c r="I22" s="2167"/>
      <c r="J22" s="511">
        <f>J23</f>
        <v>435082978.01999998</v>
      </c>
      <c r="K22" s="592"/>
    </row>
    <row r="23" spans="1:110" x14ac:dyDescent="0.25">
      <c r="A23" s="507" t="s">
        <v>29</v>
      </c>
      <c r="B23" s="507"/>
      <c r="C23" s="507"/>
      <c r="D23" s="507"/>
      <c r="E23" s="618">
        <v>4</v>
      </c>
      <c r="J23" s="511">
        <f>J25+J175+J193+J220+J221</f>
        <v>435082978.01999998</v>
      </c>
    </row>
    <row r="24" spans="1:110" ht="12.75" customHeight="1" x14ac:dyDescent="0.25"/>
    <row r="25" spans="1:110" x14ac:dyDescent="0.25">
      <c r="A25" s="652" t="s">
        <v>158</v>
      </c>
      <c r="B25" s="652"/>
      <c r="C25" s="652"/>
      <c r="D25" s="652"/>
      <c r="E25" s="652"/>
      <c r="F25" s="652"/>
      <c r="G25" s="652"/>
      <c r="H25" s="653"/>
      <c r="I25" s="654"/>
      <c r="J25" s="654">
        <f>J28+J87+J124</f>
        <v>384735302.81999999</v>
      </c>
    </row>
    <row r="26" spans="1:110" x14ac:dyDescent="0.25">
      <c r="A26" s="1449" t="s">
        <v>312</v>
      </c>
    </row>
    <row r="28" spans="1:110" s="556" customFormat="1" ht="14.25" x14ac:dyDescent="0.25">
      <c r="A28" s="507" t="s">
        <v>147</v>
      </c>
      <c r="B28" s="507"/>
      <c r="C28" s="507"/>
      <c r="D28" s="507"/>
      <c r="E28" s="587" t="s">
        <v>65</v>
      </c>
      <c r="F28" s="507"/>
      <c r="G28" s="507"/>
      <c r="H28" s="562"/>
      <c r="I28" s="511"/>
      <c r="J28" s="511">
        <f>J30+J59</f>
        <v>293413682.22000003</v>
      </c>
      <c r="K28" s="582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DF28" s="579" t="e">
        <f>#REF!</f>
        <v>#REF!</v>
      </c>
    </row>
    <row r="29" spans="1:110" x14ac:dyDescent="0.25">
      <c r="A29" s="507"/>
      <c r="J29" s="511"/>
    </row>
    <row r="30" spans="1:110" x14ac:dyDescent="0.25">
      <c r="A30" s="507" t="s">
        <v>63</v>
      </c>
      <c r="E30" s="587" t="s">
        <v>64</v>
      </c>
      <c r="J30" s="510">
        <f>J46+J32</f>
        <v>292335074.31</v>
      </c>
    </row>
    <row r="31" spans="1:110" x14ac:dyDescent="0.25">
      <c r="A31" s="507"/>
      <c r="E31" s="587"/>
      <c r="J31" s="510"/>
    </row>
    <row r="32" spans="1:110" s="61" customFormat="1" x14ac:dyDescent="0.25">
      <c r="A32" s="786" t="s">
        <v>26</v>
      </c>
      <c r="B32" s="786"/>
      <c r="C32" s="786"/>
      <c r="D32" s="786"/>
      <c r="E32" s="793" t="s">
        <v>624</v>
      </c>
      <c r="F32" s="787"/>
      <c r="G32" s="787"/>
      <c r="H32" s="788"/>
      <c r="I32" s="986"/>
      <c r="J32" s="789">
        <f>J44</f>
        <v>2669971.1</v>
      </c>
      <c r="K32" s="849"/>
      <c r="L32" s="1326"/>
      <c r="M32" s="1326"/>
      <c r="N32" s="972"/>
      <c r="O32" s="1326"/>
      <c r="P32" s="1326"/>
      <c r="Q32" s="70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5"/>
      <c r="AE32" s="75"/>
    </row>
    <row r="33" spans="1:31" s="61" customFormat="1" x14ac:dyDescent="0.25">
      <c r="A33" s="1458" t="s">
        <v>27</v>
      </c>
      <c r="B33" s="1458"/>
      <c r="C33" s="1458"/>
      <c r="D33" s="1458"/>
      <c r="E33" s="71" t="s">
        <v>1830</v>
      </c>
      <c r="F33" s="1457"/>
      <c r="G33" s="1457"/>
      <c r="H33" s="60"/>
      <c r="I33" s="69"/>
      <c r="J33" s="85">
        <f>J44</f>
        <v>2669971.1</v>
      </c>
      <c r="K33" s="1302">
        <v>3512659.94</v>
      </c>
      <c r="L33" s="1362">
        <f>J44+J67+J153</f>
        <v>3512659.94</v>
      </c>
      <c r="M33" s="1362"/>
      <c r="N33" s="972"/>
      <c r="O33" s="1326"/>
      <c r="P33" s="1326"/>
      <c r="Q33" s="70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5"/>
      <c r="AE33" s="75"/>
    </row>
    <row r="34" spans="1:31" s="61" customFormat="1" x14ac:dyDescent="0.25">
      <c r="A34" s="745" t="s">
        <v>317</v>
      </c>
      <c r="B34" s="1457"/>
      <c r="C34" s="1457"/>
      <c r="D34" s="1457"/>
      <c r="E34" s="1457"/>
      <c r="F34" s="1457"/>
      <c r="G34" s="60"/>
      <c r="H34" s="90"/>
      <c r="I34" s="60"/>
      <c r="J34" s="60"/>
      <c r="K34" s="849"/>
      <c r="L34" s="1326"/>
      <c r="M34" s="1326"/>
      <c r="N34" s="972"/>
      <c r="O34" s="1326"/>
      <c r="P34" s="1326"/>
      <c r="Q34" s="70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5"/>
      <c r="AE34" s="75"/>
    </row>
    <row r="35" spans="1:31" s="61" customFormat="1" x14ac:dyDescent="0.25">
      <c r="A35" s="1926" t="s">
        <v>8</v>
      </c>
      <c r="B35" s="1956" t="s">
        <v>35</v>
      </c>
      <c r="C35" s="2157"/>
      <c r="D35" s="2157"/>
      <c r="E35" s="2157"/>
      <c r="F35" s="2157"/>
      <c r="G35" s="2157"/>
      <c r="H35" s="2157"/>
      <c r="I35" s="2158"/>
      <c r="J35" s="2024" t="s">
        <v>256</v>
      </c>
      <c r="K35" s="849"/>
      <c r="L35" s="1326"/>
      <c r="M35" s="1326"/>
      <c r="N35" s="972"/>
      <c r="O35" s="1326"/>
      <c r="P35" s="1326"/>
      <c r="Q35" s="70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5"/>
      <c r="AE35" s="75"/>
    </row>
    <row r="36" spans="1:31" s="61" customFormat="1" x14ac:dyDescent="0.25">
      <c r="A36" s="1926"/>
      <c r="B36" s="2159"/>
      <c r="C36" s="2160"/>
      <c r="D36" s="2160"/>
      <c r="E36" s="2160"/>
      <c r="F36" s="2160"/>
      <c r="G36" s="2160"/>
      <c r="H36" s="2160"/>
      <c r="I36" s="2161"/>
      <c r="J36" s="2162"/>
      <c r="K36" s="849"/>
      <c r="L36" s="1326"/>
      <c r="M36" s="1326"/>
      <c r="N36" s="972"/>
      <c r="O36" s="1326"/>
      <c r="P36" s="1326"/>
      <c r="Q36" s="70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5"/>
      <c r="AE36" s="75"/>
    </row>
    <row r="37" spans="1:31" s="61" customFormat="1" ht="15" customHeight="1" x14ac:dyDescent="0.25">
      <c r="A37" s="1418">
        <v>1</v>
      </c>
      <c r="B37" s="2003" t="s">
        <v>1831</v>
      </c>
      <c r="C37" s="2163"/>
      <c r="D37" s="2163"/>
      <c r="E37" s="2164"/>
      <c r="F37" s="2164"/>
      <c r="G37" s="2164"/>
      <c r="H37" s="2164"/>
      <c r="I37" s="2165"/>
      <c r="J37" s="1426">
        <f>2299410.28+55848.8</f>
        <v>2355259.08</v>
      </c>
      <c r="K37" s="98"/>
      <c r="L37" s="79"/>
      <c r="M37" s="79"/>
      <c r="N37" s="79"/>
      <c r="O37" s="79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75"/>
    </row>
    <row r="38" spans="1:31" s="61" customFormat="1" x14ac:dyDescent="0.25">
      <c r="A38" s="1450">
        <v>2</v>
      </c>
      <c r="B38" s="1986" t="s">
        <v>1471</v>
      </c>
      <c r="C38" s="1986"/>
      <c r="D38" s="1986"/>
      <c r="E38" s="1986"/>
      <c r="F38" s="1986"/>
      <c r="G38" s="1986"/>
      <c r="H38" s="1986"/>
      <c r="I38" s="1986"/>
      <c r="J38" s="1426">
        <f>194050.48+0.01</f>
        <v>194050.49</v>
      </c>
      <c r="K38" s="98"/>
      <c r="L38" s="79"/>
      <c r="M38" s="79"/>
      <c r="N38" s="79"/>
      <c r="O38" s="79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75"/>
    </row>
    <row r="39" spans="1:31" s="61" customFormat="1" x14ac:dyDescent="0.25">
      <c r="A39" s="1450">
        <v>3</v>
      </c>
      <c r="B39" s="1986" t="s">
        <v>1472</v>
      </c>
      <c r="C39" s="1986"/>
      <c r="D39" s="1986"/>
      <c r="E39" s="1986"/>
      <c r="F39" s="1986"/>
      <c r="G39" s="1986"/>
      <c r="H39" s="1986"/>
      <c r="I39" s="1986"/>
      <c r="J39" s="1426">
        <f>4*2*10000</f>
        <v>80000</v>
      </c>
      <c r="K39" s="98"/>
      <c r="L39" s="79"/>
      <c r="M39" s="79"/>
      <c r="N39" s="79"/>
      <c r="O39" s="79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75"/>
    </row>
    <row r="40" spans="1:31" s="61" customFormat="1" x14ac:dyDescent="0.25">
      <c r="A40" s="1450">
        <v>4</v>
      </c>
      <c r="B40" s="1986" t="s">
        <v>1473</v>
      </c>
      <c r="C40" s="1986"/>
      <c r="D40" s="1986"/>
      <c r="E40" s="1986"/>
      <c r="F40" s="1986"/>
      <c r="G40" s="1986"/>
      <c r="H40" s="1986"/>
      <c r="I40" s="1986"/>
      <c r="J40" s="1426">
        <v>9572.93</v>
      </c>
      <c r="K40" s="98"/>
      <c r="L40" s="79"/>
      <c r="M40" s="79"/>
      <c r="N40" s="79"/>
      <c r="O40" s="79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75"/>
    </row>
    <row r="41" spans="1:31" s="61" customFormat="1" x14ac:dyDescent="0.25">
      <c r="A41" s="1450">
        <v>5</v>
      </c>
      <c r="B41" s="1986" t="s">
        <v>1474</v>
      </c>
      <c r="C41" s="1986"/>
      <c r="D41" s="1986"/>
      <c r="E41" s="1986"/>
      <c r="F41" s="1986"/>
      <c r="G41" s="1986"/>
      <c r="H41" s="1986"/>
      <c r="I41" s="1986"/>
      <c r="J41" s="1426">
        <v>29848.22</v>
      </c>
      <c r="K41" s="98"/>
      <c r="L41" s="79"/>
      <c r="M41" s="79"/>
      <c r="N41" s="79"/>
      <c r="O41" s="79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75"/>
    </row>
    <row r="42" spans="1:31" s="61" customFormat="1" x14ac:dyDescent="0.25">
      <c r="A42" s="1450">
        <v>6</v>
      </c>
      <c r="B42" s="1986" t="s">
        <v>1832</v>
      </c>
      <c r="C42" s="1986"/>
      <c r="D42" s="1986"/>
      <c r="E42" s="1986"/>
      <c r="F42" s="1986"/>
      <c r="G42" s="1986"/>
      <c r="H42" s="1986"/>
      <c r="I42" s="1986"/>
      <c r="J42" s="1426">
        <v>1240.3800000000001</v>
      </c>
      <c r="K42" s="98"/>
      <c r="L42" s="79"/>
      <c r="M42" s="79"/>
      <c r="N42" s="79"/>
      <c r="O42" s="79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75"/>
    </row>
    <row r="43" spans="1:31" s="61" customFormat="1" hidden="1" x14ac:dyDescent="0.25">
      <c r="A43" s="1450">
        <v>7</v>
      </c>
      <c r="B43" s="1986" t="s">
        <v>1475</v>
      </c>
      <c r="C43" s="1986"/>
      <c r="D43" s="1986"/>
      <c r="E43" s="1986"/>
      <c r="F43" s="1986"/>
      <c r="G43" s="1986"/>
      <c r="H43" s="1986"/>
      <c r="I43" s="1986"/>
      <c r="J43" s="1426"/>
      <c r="K43" s="98"/>
      <c r="L43" s="79"/>
      <c r="M43" s="79"/>
      <c r="N43" s="79"/>
      <c r="O43" s="79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75"/>
    </row>
    <row r="44" spans="1:31" s="61" customFormat="1" x14ac:dyDescent="0.25">
      <c r="A44" s="2039" t="s">
        <v>39</v>
      </c>
      <c r="B44" s="2040"/>
      <c r="C44" s="2040"/>
      <c r="D44" s="2040"/>
      <c r="E44" s="2040"/>
      <c r="F44" s="2040"/>
      <c r="G44" s="2040"/>
      <c r="H44" s="2040"/>
      <c r="I44" s="2041"/>
      <c r="J44" s="1192">
        <f>SUM(J37:J43)</f>
        <v>2669971.1</v>
      </c>
      <c r="K44" s="344">
        <v>0</v>
      </c>
      <c r="L44" s="1327">
        <f>J44-K44</f>
        <v>2669971.1</v>
      </c>
      <c r="M44" s="1326"/>
      <c r="N44" s="972"/>
      <c r="O44" s="1326"/>
      <c r="P44" s="1326"/>
      <c r="Q44" s="70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5"/>
      <c r="AE44" s="75"/>
    </row>
    <row r="45" spans="1:31" x14ac:dyDescent="0.25">
      <c r="A45" s="507"/>
      <c r="E45" s="587"/>
      <c r="J45" s="510"/>
    </row>
    <row r="46" spans="1:31" x14ac:dyDescent="0.25">
      <c r="A46" s="973" t="s">
        <v>26</v>
      </c>
      <c r="B46" s="973"/>
      <c r="C46" s="973"/>
      <c r="D46" s="973"/>
      <c r="E46" s="980" t="s">
        <v>625</v>
      </c>
      <c r="F46" s="976"/>
      <c r="G46" s="976"/>
      <c r="H46" s="977"/>
      <c r="I46" s="978"/>
      <c r="J46" s="979">
        <f>J57</f>
        <v>289665103.20999998</v>
      </c>
      <c r="K46" s="1302">
        <f>L2</f>
        <v>378234691.48000002</v>
      </c>
      <c r="L46" s="1362">
        <f>J57+J75+J164+J191</f>
        <v>378234691.48000002</v>
      </c>
      <c r="M46" s="552">
        <f>K46-L46</f>
        <v>0</v>
      </c>
    </row>
    <row r="47" spans="1:31" x14ac:dyDescent="0.25">
      <c r="A47" s="507" t="s">
        <v>27</v>
      </c>
      <c r="B47" s="507"/>
      <c r="C47" s="507"/>
      <c r="D47" s="507"/>
      <c r="E47" s="587" t="s">
        <v>1837</v>
      </c>
      <c r="M47" s="552">
        <f>(M46*30.2%)/100%</f>
        <v>0</v>
      </c>
    </row>
    <row r="48" spans="1:31" s="61" customFormat="1" x14ac:dyDescent="0.25">
      <c r="A48" s="1457" t="s">
        <v>313</v>
      </c>
      <c r="B48" s="1457"/>
      <c r="C48" s="1457"/>
      <c r="D48" s="1457"/>
      <c r="E48" s="72"/>
      <c r="F48" s="1457"/>
      <c r="G48" s="1457"/>
      <c r="H48" s="60"/>
      <c r="I48" s="69"/>
      <c r="J48" s="69"/>
      <c r="K48" s="81"/>
      <c r="L48" s="79"/>
      <c r="M48" s="1549">
        <f>M46-M47</f>
        <v>0</v>
      </c>
      <c r="N48" s="969"/>
      <c r="O48" s="79"/>
      <c r="P48" s="79"/>
      <c r="Q48" s="70"/>
      <c r="R48" s="70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5"/>
      <c r="AE48" s="75"/>
    </row>
    <row r="49" spans="1:31" s="61" customFormat="1" ht="31.5" customHeight="1" x14ac:dyDescent="0.25">
      <c r="A49" s="1405" t="s">
        <v>8</v>
      </c>
      <c r="B49" s="2120" t="s">
        <v>35</v>
      </c>
      <c r="C49" s="2168"/>
      <c r="D49" s="2168"/>
      <c r="E49" s="2168"/>
      <c r="F49" s="2168"/>
      <c r="G49" s="2168"/>
      <c r="H49" s="2168"/>
      <c r="I49" s="2169"/>
      <c r="J49" s="1404" t="s">
        <v>256</v>
      </c>
      <c r="K49" s="98"/>
      <c r="L49" s="79"/>
      <c r="M49" s="79"/>
      <c r="N49" s="79"/>
      <c r="O49" s="79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75"/>
    </row>
    <row r="50" spans="1:31" s="61" customFormat="1" x14ac:dyDescent="0.25">
      <c r="A50" s="1405">
        <v>1</v>
      </c>
      <c r="B50" s="2003" t="s">
        <v>1470</v>
      </c>
      <c r="C50" s="2163"/>
      <c r="D50" s="2163"/>
      <c r="E50" s="2164"/>
      <c r="F50" s="2164"/>
      <c r="G50" s="2164"/>
      <c r="H50" s="2164"/>
      <c r="I50" s="2165"/>
      <c r="J50" s="1426">
        <f>208167112.44+63946305.09</f>
        <v>272113417.52999997</v>
      </c>
      <c r="K50" s="98"/>
      <c r="L50" s="79"/>
      <c r="M50" s="79"/>
      <c r="N50" s="79"/>
      <c r="O50" s="79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75"/>
    </row>
    <row r="51" spans="1:31" s="61" customFormat="1" x14ac:dyDescent="0.25">
      <c r="A51" s="1405">
        <v>2</v>
      </c>
      <c r="B51" s="1909" t="s">
        <v>1471</v>
      </c>
      <c r="C51" s="1909"/>
      <c r="D51" s="1909"/>
      <c r="E51" s="1909"/>
      <c r="F51" s="1909"/>
      <c r="G51" s="1909"/>
      <c r="H51" s="1909"/>
      <c r="I51" s="1909"/>
      <c r="J51" s="1426">
        <f>8308182.55+3000000</f>
        <v>11308182.550000001</v>
      </c>
      <c r="K51" s="98"/>
      <c r="L51" s="79"/>
      <c r="M51" s="79"/>
      <c r="N51" s="79"/>
      <c r="O51" s="79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75"/>
    </row>
    <row r="52" spans="1:31" s="61" customFormat="1" ht="15" customHeight="1" x14ac:dyDescent="0.25">
      <c r="A52" s="1405">
        <v>3</v>
      </c>
      <c r="B52" s="1909" t="s">
        <v>1472</v>
      </c>
      <c r="C52" s="1909"/>
      <c r="D52" s="1909"/>
      <c r="E52" s="1909"/>
      <c r="F52" s="1909"/>
      <c r="G52" s="1909"/>
      <c r="H52" s="1909"/>
      <c r="I52" s="1909"/>
      <c r="J52" s="1426">
        <f>171*2*10000</f>
        <v>3420000</v>
      </c>
      <c r="K52" s="1440"/>
      <c r="L52" s="70"/>
      <c r="M52" s="70"/>
      <c r="N52" s="70"/>
      <c r="O52" s="70"/>
      <c r="P52" s="98"/>
      <c r="Q52" s="98"/>
      <c r="R52" s="98"/>
      <c r="S52" s="98"/>
      <c r="T52" s="98"/>
      <c r="U52" s="98"/>
      <c r="V52" s="79"/>
      <c r="W52" s="79"/>
      <c r="X52" s="79"/>
      <c r="Y52" s="79"/>
      <c r="Z52" s="79"/>
      <c r="AA52" s="79"/>
      <c r="AB52" s="79"/>
      <c r="AC52" s="79"/>
      <c r="AD52" s="75"/>
      <c r="AE52" s="75"/>
    </row>
    <row r="53" spans="1:31" s="61" customFormat="1" ht="15" customHeight="1" x14ac:dyDescent="0.25">
      <c r="A53" s="1405">
        <v>4</v>
      </c>
      <c r="B53" s="1909" t="s">
        <v>1473</v>
      </c>
      <c r="C53" s="1909"/>
      <c r="D53" s="1909"/>
      <c r="E53" s="1909"/>
      <c r="F53" s="1909"/>
      <c r="G53" s="1909"/>
      <c r="H53" s="1909"/>
      <c r="I53" s="1909"/>
      <c r="J53" s="1426">
        <f>(J50)/12*5%</f>
        <v>1133805.9099999999</v>
      </c>
      <c r="K53" s="1440"/>
      <c r="P53" s="98"/>
      <c r="Q53" s="98"/>
      <c r="R53" s="98"/>
      <c r="S53" s="98"/>
      <c r="T53" s="98"/>
      <c r="U53" s="98"/>
      <c r="V53" s="79"/>
      <c r="W53" s="79"/>
      <c r="X53" s="79"/>
      <c r="Y53" s="79"/>
      <c r="Z53" s="79"/>
      <c r="AA53" s="79"/>
      <c r="AB53" s="79"/>
      <c r="AC53" s="79"/>
      <c r="AD53" s="75"/>
      <c r="AE53" s="75"/>
    </row>
    <row r="54" spans="1:31" s="61" customFormat="1" ht="15" customHeight="1" x14ac:dyDescent="0.25">
      <c r="A54" s="1405">
        <v>5</v>
      </c>
      <c r="B54" s="1909" t="s">
        <v>1474</v>
      </c>
      <c r="C54" s="1909"/>
      <c r="D54" s="1909"/>
      <c r="E54" s="1909"/>
      <c r="F54" s="1909"/>
      <c r="G54" s="1909"/>
      <c r="H54" s="1909"/>
      <c r="I54" s="1909"/>
      <c r="J54" s="1426">
        <f>J50/12*4%</f>
        <v>907044.73</v>
      </c>
      <c r="K54" s="1440"/>
      <c r="L54" s="97"/>
      <c r="M54" s="98"/>
      <c r="N54" s="98"/>
      <c r="O54" s="98"/>
      <c r="P54" s="98"/>
      <c r="Q54" s="98"/>
      <c r="R54" s="98"/>
      <c r="S54" s="98"/>
      <c r="T54" s="98"/>
      <c r="U54" s="98"/>
      <c r="V54" s="79"/>
      <c r="W54" s="79"/>
      <c r="X54" s="79"/>
      <c r="Y54" s="79"/>
      <c r="Z54" s="79"/>
      <c r="AA54" s="79"/>
      <c r="AB54" s="79"/>
      <c r="AC54" s="79"/>
      <c r="AD54" s="75"/>
      <c r="AE54" s="75"/>
    </row>
    <row r="55" spans="1:31" s="61" customFormat="1" ht="15" customHeight="1" x14ac:dyDescent="0.25">
      <c r="A55" s="1405">
        <v>6</v>
      </c>
      <c r="B55" s="1986" t="s">
        <v>1832</v>
      </c>
      <c r="C55" s="1986"/>
      <c r="D55" s="1986"/>
      <c r="E55" s="1986"/>
      <c r="F55" s="1986"/>
      <c r="G55" s="1986"/>
      <c r="H55" s="1986"/>
      <c r="I55" s="1986"/>
      <c r="J55" s="1426">
        <v>782652.49</v>
      </c>
      <c r="K55" s="81"/>
      <c r="L55" s="970"/>
      <c r="M55" s="970"/>
      <c r="N55" s="970"/>
      <c r="O55" s="970"/>
      <c r="P55" s="970"/>
      <c r="Q55" s="98"/>
      <c r="R55" s="98"/>
      <c r="S55" s="98"/>
      <c r="T55" s="98"/>
      <c r="U55" s="98"/>
      <c r="V55" s="79"/>
      <c r="W55" s="79"/>
      <c r="X55" s="79"/>
      <c r="Y55" s="79"/>
      <c r="Z55" s="79"/>
      <c r="AA55" s="79"/>
      <c r="AB55" s="79"/>
      <c r="AC55" s="79"/>
      <c r="AD55" s="75"/>
      <c r="AE55" s="75"/>
    </row>
    <row r="56" spans="1:31" s="61" customFormat="1" ht="15" hidden="1" customHeight="1" x14ac:dyDescent="0.25">
      <c r="A56" s="1405">
        <v>7</v>
      </c>
      <c r="B56" s="1909" t="s">
        <v>1475</v>
      </c>
      <c r="C56" s="1909"/>
      <c r="D56" s="1909"/>
      <c r="E56" s="1909"/>
      <c r="F56" s="1909"/>
      <c r="G56" s="1909"/>
      <c r="H56" s="1909"/>
      <c r="I56" s="1909"/>
      <c r="J56" s="1426"/>
      <c r="K56" s="81"/>
      <c r="L56" s="970"/>
      <c r="M56" s="970"/>
      <c r="N56" s="970"/>
      <c r="O56" s="970"/>
      <c r="P56" s="970"/>
      <c r="Q56" s="98"/>
      <c r="R56" s="98"/>
      <c r="S56" s="98"/>
      <c r="T56" s="98"/>
      <c r="U56" s="98"/>
      <c r="V56" s="79"/>
      <c r="W56" s="79"/>
      <c r="X56" s="79"/>
      <c r="Y56" s="79"/>
      <c r="Z56" s="79"/>
      <c r="AA56" s="79"/>
      <c r="AB56" s="79"/>
      <c r="AC56" s="79"/>
      <c r="AD56" s="75"/>
      <c r="AE56" s="75"/>
    </row>
    <row r="57" spans="1:31" s="61" customFormat="1" x14ac:dyDescent="0.25">
      <c r="A57" s="2039" t="s">
        <v>39</v>
      </c>
      <c r="B57" s="2040"/>
      <c r="C57" s="2040"/>
      <c r="D57" s="2040"/>
      <c r="E57" s="2040"/>
      <c r="F57" s="2040"/>
      <c r="G57" s="2040"/>
      <c r="H57" s="2040"/>
      <c r="I57" s="2041"/>
      <c r="J57" s="1406">
        <f>SUM(J50:J56)</f>
        <v>289665103.20999998</v>
      </c>
      <c r="K57" s="344">
        <v>0</v>
      </c>
      <c r="L57" s="739">
        <f>J57-K57</f>
        <v>289665103.20999998</v>
      </c>
      <c r="M57" s="971"/>
      <c r="N57" s="972"/>
      <c r="O57" s="972"/>
      <c r="P57" s="972"/>
      <c r="Q57" s="98"/>
      <c r="R57" s="98"/>
      <c r="S57" s="98"/>
      <c r="T57" s="98"/>
      <c r="U57" s="98"/>
      <c r="V57" s="79"/>
      <c r="W57" s="79"/>
      <c r="X57" s="79"/>
      <c r="Y57" s="79"/>
      <c r="Z57" s="79"/>
      <c r="AA57" s="79"/>
      <c r="AB57" s="79"/>
      <c r="AC57" s="79"/>
      <c r="AD57" s="75"/>
      <c r="AE57" s="75"/>
    </row>
    <row r="59" spans="1:31" x14ac:dyDescent="0.25">
      <c r="A59" s="507" t="s">
        <v>63</v>
      </c>
      <c r="B59" s="507"/>
      <c r="C59" s="507"/>
      <c r="D59" s="551"/>
      <c r="E59" s="507" t="s">
        <v>66</v>
      </c>
      <c r="J59" s="510">
        <f>J69+J61</f>
        <v>1078607.9099999999</v>
      </c>
    </row>
    <row r="60" spans="1:31" x14ac:dyDescent="0.25">
      <c r="A60" s="507"/>
      <c r="B60" s="507"/>
      <c r="C60" s="507"/>
      <c r="D60" s="551"/>
      <c r="E60" s="507"/>
      <c r="J60" s="510"/>
    </row>
    <row r="61" spans="1:31" s="61" customFormat="1" x14ac:dyDescent="0.25">
      <c r="A61" s="786" t="s">
        <v>26</v>
      </c>
      <c r="B61" s="786"/>
      <c r="C61" s="786"/>
      <c r="D61" s="786"/>
      <c r="E61" s="793" t="s">
        <v>624</v>
      </c>
      <c r="F61" s="787"/>
      <c r="G61" s="787"/>
      <c r="H61" s="788"/>
      <c r="I61" s="986"/>
      <c r="J61" s="789">
        <f>J67</f>
        <v>36357.57</v>
      </c>
      <c r="K61" s="849"/>
      <c r="L61" s="1326"/>
      <c r="M61" s="1326"/>
      <c r="N61" s="972"/>
      <c r="O61" s="1326"/>
      <c r="P61" s="1326"/>
      <c r="Q61" s="70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5"/>
      <c r="AE61" s="75"/>
    </row>
    <row r="62" spans="1:31" s="61" customFormat="1" x14ac:dyDescent="0.25">
      <c r="A62" s="1458" t="s">
        <v>27</v>
      </c>
      <c r="B62" s="1458"/>
      <c r="C62" s="1458"/>
      <c r="D62" s="1458"/>
      <c r="E62" s="71" t="s">
        <v>1830</v>
      </c>
      <c r="F62" s="1457"/>
      <c r="G62" s="1457"/>
      <c r="H62" s="60"/>
      <c r="I62" s="69"/>
      <c r="J62" s="85">
        <f>J67</f>
        <v>36357.57</v>
      </c>
      <c r="K62" s="849"/>
      <c r="L62" s="1326"/>
      <c r="M62" s="1326"/>
      <c r="N62" s="972"/>
      <c r="O62" s="1326"/>
      <c r="P62" s="1326"/>
      <c r="Q62" s="70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5"/>
      <c r="AE62" s="75"/>
    </row>
    <row r="63" spans="1:31" s="61" customFormat="1" x14ac:dyDescent="0.25">
      <c r="A63" s="1457" t="s">
        <v>322</v>
      </c>
      <c r="B63" s="1457"/>
      <c r="C63" s="1457"/>
      <c r="D63" s="1457"/>
      <c r="E63" s="1457"/>
      <c r="F63" s="1457"/>
      <c r="G63" s="1457"/>
      <c r="H63" s="60"/>
      <c r="I63" s="69"/>
      <c r="J63" s="69"/>
      <c r="K63" s="81"/>
      <c r="L63" s="70"/>
      <c r="M63" s="70"/>
      <c r="N63" s="70"/>
      <c r="O63" s="70"/>
      <c r="P63" s="70"/>
      <c r="Q63" s="70"/>
      <c r="R63" s="70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5"/>
      <c r="AE63" s="75"/>
    </row>
    <row r="64" spans="1:31" s="61" customFormat="1" x14ac:dyDescent="0.25">
      <c r="A64" s="1926" t="s">
        <v>8</v>
      </c>
      <c r="B64" s="2045" t="s">
        <v>35</v>
      </c>
      <c r="C64" s="2171"/>
      <c r="D64" s="2171"/>
      <c r="E64" s="2171"/>
      <c r="F64" s="2171"/>
      <c r="G64" s="2179" t="s">
        <v>2048</v>
      </c>
      <c r="H64" s="2173"/>
      <c r="I64" s="2173"/>
      <c r="J64" s="2173"/>
      <c r="K64" s="81"/>
      <c r="L64" s="70"/>
      <c r="M64" s="70"/>
      <c r="N64" s="70"/>
      <c r="O64" s="70"/>
      <c r="P64" s="70"/>
      <c r="Q64" s="70"/>
      <c r="R64" s="70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5"/>
      <c r="AE64" s="75"/>
    </row>
    <row r="65" spans="1:31" s="61" customFormat="1" ht="74.25" customHeight="1" x14ac:dyDescent="0.2">
      <c r="A65" s="2171"/>
      <c r="B65" s="2171"/>
      <c r="C65" s="2171"/>
      <c r="D65" s="2171"/>
      <c r="E65" s="2171"/>
      <c r="F65" s="2171"/>
      <c r="G65" s="1120" t="s">
        <v>1604</v>
      </c>
      <c r="H65" s="1410" t="s">
        <v>276</v>
      </c>
      <c r="I65" s="1441" t="s">
        <v>36</v>
      </c>
      <c r="J65" s="1420" t="s">
        <v>256</v>
      </c>
      <c r="K65" s="81"/>
      <c r="L65" s="1328"/>
      <c r="M65" s="1328"/>
      <c r="N65" s="1329"/>
      <c r="O65" s="1329"/>
      <c r="P65" s="79"/>
      <c r="Q65" s="79"/>
      <c r="R65" s="70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5"/>
      <c r="AE65" s="75"/>
    </row>
    <row r="66" spans="1:31" s="61" customFormat="1" x14ac:dyDescent="0.25">
      <c r="A66" s="1418">
        <v>1</v>
      </c>
      <c r="B66" s="2003" t="s">
        <v>37</v>
      </c>
      <c r="C66" s="2164"/>
      <c r="D66" s="2164"/>
      <c r="E66" s="2164"/>
      <c r="F66" s="2165"/>
      <c r="G66" s="1115">
        <v>4039.73</v>
      </c>
      <c r="H66" s="1116">
        <v>3</v>
      </c>
      <c r="I66" s="1116">
        <v>3</v>
      </c>
      <c r="J66" s="1420">
        <f>G66*H66*I66</f>
        <v>36357.57</v>
      </c>
      <c r="K66" s="81"/>
      <c r="L66" s="970"/>
      <c r="M66" s="970"/>
      <c r="N66" s="970"/>
      <c r="O66" s="970"/>
      <c r="P66" s="79"/>
      <c r="Q66" s="79"/>
      <c r="R66" s="70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5"/>
      <c r="AE66" s="75"/>
    </row>
    <row r="67" spans="1:31" s="61" customFormat="1" ht="15.75" customHeight="1" x14ac:dyDescent="0.25">
      <c r="A67" s="2036" t="s">
        <v>39</v>
      </c>
      <c r="B67" s="2037"/>
      <c r="C67" s="2037"/>
      <c r="D67" s="2037"/>
      <c r="E67" s="2037"/>
      <c r="F67" s="2168"/>
      <c r="G67" s="2168"/>
      <c r="H67" s="2168"/>
      <c r="I67" s="2169"/>
      <c r="J67" s="1192">
        <f>SUM(J65:J66)</f>
        <v>36357.57</v>
      </c>
      <c r="K67" s="344">
        <v>0</v>
      </c>
      <c r="L67" s="1327">
        <f>J67-K67</f>
        <v>36357.57</v>
      </c>
      <c r="M67" s="970"/>
      <c r="N67" s="972"/>
      <c r="O67" s="972"/>
      <c r="P67" s="972"/>
      <c r="Q67" s="79"/>
      <c r="R67" s="70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5"/>
      <c r="AE67" s="75"/>
    </row>
    <row r="68" spans="1:31" x14ac:dyDescent="0.25">
      <c r="A68" s="507"/>
      <c r="B68" s="507"/>
      <c r="C68" s="507"/>
      <c r="D68" s="551"/>
      <c r="E68" s="507"/>
      <c r="J68" s="510"/>
    </row>
    <row r="69" spans="1:31" x14ac:dyDescent="0.25">
      <c r="A69" s="973" t="s">
        <v>26</v>
      </c>
      <c r="B69" s="973"/>
      <c r="C69" s="973"/>
      <c r="D69" s="974"/>
      <c r="E69" s="973" t="s">
        <v>625</v>
      </c>
      <c r="F69" s="976"/>
      <c r="G69" s="976"/>
      <c r="H69" s="977"/>
      <c r="I69" s="978"/>
      <c r="J69" s="979">
        <f>J75</f>
        <v>1042250.34</v>
      </c>
    </row>
    <row r="70" spans="1:31" x14ac:dyDescent="0.25">
      <c r="A70" s="507" t="s">
        <v>27</v>
      </c>
      <c r="B70" s="507"/>
      <c r="C70" s="507"/>
      <c r="D70" s="551"/>
      <c r="E70" s="507" t="s">
        <v>1837</v>
      </c>
    </row>
    <row r="71" spans="1:31" x14ac:dyDescent="0.25">
      <c r="A71" s="1449" t="s">
        <v>322</v>
      </c>
    </row>
    <row r="72" spans="1:31" x14ac:dyDescent="0.25">
      <c r="A72" s="2170" t="s">
        <v>8</v>
      </c>
      <c r="B72" s="2172" t="s">
        <v>35</v>
      </c>
      <c r="C72" s="2171"/>
      <c r="D72" s="2171"/>
      <c r="E72" s="2171"/>
      <c r="F72" s="2171"/>
      <c r="G72" s="2170" t="s">
        <v>2048</v>
      </c>
      <c r="H72" s="2173"/>
      <c r="I72" s="2173"/>
      <c r="J72" s="2173"/>
    </row>
    <row r="73" spans="1:31" ht="76.5" customHeight="1" x14ac:dyDescent="0.25">
      <c r="A73" s="2171"/>
      <c r="B73" s="2171"/>
      <c r="C73" s="2171"/>
      <c r="D73" s="2171"/>
      <c r="E73" s="2171"/>
      <c r="F73" s="2171"/>
      <c r="G73" s="1120" t="s">
        <v>1604</v>
      </c>
      <c r="H73" s="1410" t="s">
        <v>276</v>
      </c>
      <c r="I73" s="1441" t="s">
        <v>36</v>
      </c>
      <c r="J73" s="1434" t="s">
        <v>256</v>
      </c>
    </row>
    <row r="74" spans="1:31" x14ac:dyDescent="0.25">
      <c r="A74" s="1408">
        <v>1</v>
      </c>
      <c r="B74" s="1112" t="s">
        <v>37</v>
      </c>
      <c r="C74" s="1113"/>
      <c r="D74" s="1114"/>
      <c r="E74" s="1114"/>
      <c r="F74" s="1114"/>
      <c r="G74" s="1115">
        <v>4039.73</v>
      </c>
      <c r="H74" s="1116">
        <v>86</v>
      </c>
      <c r="I74" s="1116">
        <v>3</v>
      </c>
      <c r="J74" s="1434">
        <f>G74*H74*I74</f>
        <v>1042250.34</v>
      </c>
    </row>
    <row r="75" spans="1:31" x14ac:dyDescent="0.25">
      <c r="A75" s="2174" t="s">
        <v>39</v>
      </c>
      <c r="B75" s="2175"/>
      <c r="C75" s="2176"/>
      <c r="D75" s="2175"/>
      <c r="E75" s="2175"/>
      <c r="F75" s="2175"/>
      <c r="G75" s="2175"/>
      <c r="H75" s="2175"/>
      <c r="I75" s="2177"/>
      <c r="J75" s="1406">
        <f>SUM(J73:J74)</f>
        <v>1042250.34</v>
      </c>
      <c r="K75" s="597">
        <v>0</v>
      </c>
      <c r="L75" s="739">
        <f>J75-K75</f>
        <v>1042250.34</v>
      </c>
    </row>
    <row r="76" spans="1:31" ht="19.5" hidden="1" customHeight="1" x14ac:dyDescent="0.25">
      <c r="A76" s="1449" t="s">
        <v>40</v>
      </c>
    </row>
    <row r="77" spans="1:31" ht="32.25" hidden="1" customHeight="1" x14ac:dyDescent="0.25">
      <c r="A77" s="1449" t="s">
        <v>41</v>
      </c>
    </row>
    <row r="78" spans="1:31" ht="12" hidden="1" customHeight="1" x14ac:dyDescent="0.25"/>
    <row r="79" spans="1:31" ht="12" hidden="1" customHeight="1" x14ac:dyDescent="0.25">
      <c r="A79" s="2178" t="s">
        <v>42</v>
      </c>
      <c r="B79" s="2178"/>
      <c r="C79" s="2178"/>
      <c r="D79" s="2178"/>
      <c r="E79" s="2178"/>
      <c r="F79" s="2178"/>
      <c r="G79" s="2178"/>
      <c r="H79" s="2178"/>
      <c r="I79" s="2178"/>
      <c r="J79" s="2178"/>
    </row>
    <row r="80" spans="1:31" ht="12" hidden="1" customHeight="1" x14ac:dyDescent="0.25"/>
    <row r="81" spans="1:28" ht="12" hidden="1" customHeight="1" x14ac:dyDescent="0.25"/>
    <row r="82" spans="1:28" ht="12" hidden="1" customHeight="1" x14ac:dyDescent="0.25"/>
    <row r="83" spans="1:28" ht="12" hidden="1" customHeight="1" x14ac:dyDescent="0.25"/>
    <row r="84" spans="1:28" ht="12" hidden="1" customHeight="1" x14ac:dyDescent="0.25"/>
    <row r="85" spans="1:28" ht="12" hidden="1" customHeight="1" x14ac:dyDescent="0.25"/>
    <row r="87" spans="1:28" x14ac:dyDescent="0.25">
      <c r="A87" s="507" t="s">
        <v>147</v>
      </c>
      <c r="B87" s="507"/>
      <c r="C87" s="507"/>
      <c r="D87" s="507"/>
      <c r="E87" s="587" t="s">
        <v>68</v>
      </c>
      <c r="J87" s="511">
        <f>J89+J100+J110</f>
        <v>2877004.99</v>
      </c>
    </row>
    <row r="88" spans="1:28" x14ac:dyDescent="0.25">
      <c r="E88" s="504"/>
    </row>
    <row r="89" spans="1:28" x14ac:dyDescent="0.25">
      <c r="A89" s="507" t="s">
        <v>63</v>
      </c>
      <c r="E89" s="509" t="s">
        <v>73</v>
      </c>
      <c r="G89" s="505"/>
      <c r="H89" s="576"/>
      <c r="I89" s="505"/>
      <c r="J89" s="511">
        <f>J90</f>
        <v>2796563.89</v>
      </c>
      <c r="K89" s="561"/>
      <c r="L89" s="561"/>
      <c r="M89" s="561"/>
      <c r="N89" s="561"/>
      <c r="O89" s="551"/>
      <c r="P89" s="551"/>
      <c r="Q89" s="551"/>
      <c r="R89" s="551"/>
      <c r="S89" s="551"/>
      <c r="T89" s="551"/>
      <c r="U89" s="551"/>
      <c r="V89" s="551"/>
      <c r="W89" s="551"/>
      <c r="X89" s="551"/>
      <c r="Y89" s="551"/>
      <c r="Z89" s="551"/>
      <c r="AA89" s="551"/>
      <c r="AB89" s="551"/>
    </row>
    <row r="90" spans="1:28" x14ac:dyDescent="0.25">
      <c r="A90" s="786" t="s">
        <v>26</v>
      </c>
      <c r="B90" s="787"/>
      <c r="C90" s="787"/>
      <c r="D90" s="787"/>
      <c r="E90" s="793" t="s">
        <v>624</v>
      </c>
      <c r="F90" s="787"/>
      <c r="G90" s="788"/>
      <c r="H90" s="985"/>
      <c r="I90" s="788"/>
      <c r="J90" s="789">
        <f>J98</f>
        <v>2796563.89</v>
      </c>
      <c r="K90" s="561"/>
      <c r="L90" s="561"/>
      <c r="M90" s="561"/>
      <c r="N90" s="561"/>
      <c r="O90" s="551"/>
      <c r="P90" s="551"/>
      <c r="Q90" s="551"/>
      <c r="R90" s="551"/>
      <c r="S90" s="551"/>
      <c r="T90" s="551"/>
      <c r="U90" s="551"/>
      <c r="V90" s="551"/>
      <c r="W90" s="551"/>
      <c r="X90" s="551"/>
      <c r="Y90" s="551"/>
      <c r="Z90" s="551"/>
      <c r="AA90" s="551"/>
      <c r="AB90" s="551"/>
    </row>
    <row r="91" spans="1:28" x14ac:dyDescent="0.25">
      <c r="A91" s="507" t="s">
        <v>27</v>
      </c>
      <c r="E91" s="587" t="s">
        <v>2068</v>
      </c>
      <c r="G91" s="505"/>
      <c r="H91" s="576"/>
      <c r="I91" s="505"/>
      <c r="J91" s="505"/>
      <c r="K91" s="561"/>
      <c r="L91" s="561"/>
      <c r="M91" s="561"/>
      <c r="N91" s="561"/>
      <c r="O91" s="551"/>
      <c r="P91" s="551"/>
      <c r="Q91" s="551"/>
      <c r="R91" s="551"/>
      <c r="S91" s="551"/>
      <c r="T91" s="551"/>
      <c r="U91" s="551"/>
      <c r="V91" s="551"/>
      <c r="W91" s="551"/>
      <c r="X91" s="551"/>
      <c r="Y91" s="551"/>
      <c r="Z91" s="551"/>
      <c r="AA91" s="551"/>
      <c r="AB91" s="551"/>
    </row>
    <row r="92" spans="1:28" ht="30" customHeight="1" x14ac:dyDescent="0.25">
      <c r="A92" s="2178" t="s">
        <v>319</v>
      </c>
      <c r="B92" s="2178"/>
      <c r="C92" s="2178"/>
      <c r="D92" s="2178"/>
      <c r="E92" s="2178"/>
      <c r="F92" s="2178"/>
      <c r="G92" s="2178"/>
      <c r="H92" s="2178"/>
      <c r="I92" s="2178"/>
      <c r="J92" s="2178"/>
      <c r="L92" s="561"/>
      <c r="M92" s="561"/>
      <c r="N92" s="561"/>
      <c r="O92" s="551"/>
      <c r="P92" s="551"/>
      <c r="Q92" s="551"/>
      <c r="R92" s="551"/>
      <c r="S92" s="551"/>
      <c r="T92" s="551"/>
      <c r="U92" s="551"/>
      <c r="V92" s="551"/>
      <c r="W92" s="551"/>
      <c r="X92" s="551"/>
      <c r="Y92" s="551"/>
      <c r="Z92" s="551"/>
      <c r="AA92" s="551"/>
      <c r="AB92" s="551"/>
    </row>
    <row r="93" spans="1:28" x14ac:dyDescent="0.25">
      <c r="A93" s="2183" t="s">
        <v>8</v>
      </c>
      <c r="B93" s="2183" t="s">
        <v>35</v>
      </c>
      <c r="C93" s="2183"/>
      <c r="D93" s="2183"/>
      <c r="E93" s="2183"/>
      <c r="F93" s="2183"/>
      <c r="G93" s="2183"/>
      <c r="H93" s="2184" t="s">
        <v>2048</v>
      </c>
      <c r="I93" s="2185"/>
      <c r="J93" s="2186"/>
      <c r="K93" s="1302">
        <f>L7</f>
        <v>2931693.85</v>
      </c>
      <c r="L93" s="1362">
        <f>J98+J143</f>
        <v>2931693.85</v>
      </c>
      <c r="M93" s="552">
        <f>K93-L93</f>
        <v>0</v>
      </c>
      <c r="N93" s="561"/>
      <c r="O93" s="551"/>
      <c r="P93" s="551"/>
      <c r="Q93" s="551"/>
      <c r="R93" s="551"/>
      <c r="S93" s="551"/>
      <c r="T93" s="551"/>
      <c r="U93" s="551"/>
      <c r="V93" s="551"/>
      <c r="W93" s="551"/>
      <c r="X93" s="551"/>
      <c r="Y93" s="551"/>
      <c r="Z93" s="551"/>
      <c r="AA93" s="551"/>
      <c r="AB93" s="551"/>
    </row>
    <row r="94" spans="1:28" ht="60" x14ac:dyDescent="0.25">
      <c r="A94" s="2183"/>
      <c r="B94" s="2183"/>
      <c r="C94" s="2183"/>
      <c r="D94" s="2183"/>
      <c r="E94" s="2183"/>
      <c r="F94" s="2183"/>
      <c r="G94" s="2183"/>
      <c r="H94" s="1364" t="s">
        <v>1833</v>
      </c>
      <c r="I94" s="1418" t="s">
        <v>276</v>
      </c>
      <c r="J94" s="1418" t="s">
        <v>256</v>
      </c>
      <c r="K94" s="561"/>
      <c r="L94" s="561"/>
      <c r="M94" s="561">
        <f>(M93*16%)*130.2/30.2</f>
        <v>0</v>
      </c>
      <c r="N94" s="561">
        <f>M94/H96</f>
        <v>0</v>
      </c>
      <c r="O94" s="551"/>
      <c r="P94" s="551"/>
      <c r="Q94" s="551"/>
      <c r="R94" s="551"/>
      <c r="S94" s="551"/>
      <c r="T94" s="551"/>
      <c r="U94" s="551"/>
      <c r="V94" s="551"/>
      <c r="W94" s="551"/>
      <c r="X94" s="551"/>
      <c r="Y94" s="551"/>
      <c r="Z94" s="551"/>
      <c r="AA94" s="551"/>
      <c r="AB94" s="551"/>
    </row>
    <row r="95" spans="1:28" ht="29.25" customHeight="1" x14ac:dyDescent="0.25">
      <c r="A95" s="1447">
        <v>1</v>
      </c>
      <c r="B95" s="2180" t="s">
        <v>101</v>
      </c>
      <c r="C95" s="2180"/>
      <c r="D95" s="2180"/>
      <c r="E95" s="2180"/>
      <c r="F95" s="2180"/>
      <c r="G95" s="2180"/>
      <c r="H95" s="1363">
        <v>35504.559999999998</v>
      </c>
      <c r="I95" s="513">
        <f>63+6-22</f>
        <v>47</v>
      </c>
      <c r="J95" s="1434">
        <f>H95*I95</f>
        <v>1668714.32</v>
      </c>
      <c r="L95" s="967"/>
      <c r="M95" s="552"/>
      <c r="N95" s="561"/>
      <c r="O95" s="551"/>
      <c r="P95" s="551"/>
      <c r="Q95" s="551"/>
      <c r="R95" s="551"/>
      <c r="S95" s="551"/>
      <c r="T95" s="551"/>
      <c r="U95" s="551"/>
      <c r="V95" s="551"/>
      <c r="W95" s="551"/>
      <c r="X95" s="551"/>
      <c r="Y95" s="551"/>
      <c r="Z95" s="551"/>
      <c r="AA95" s="551"/>
      <c r="AB95" s="551"/>
    </row>
    <row r="96" spans="1:28" ht="30" customHeight="1" x14ac:dyDescent="0.25">
      <c r="A96" s="1447">
        <f>A95+1</f>
        <v>2</v>
      </c>
      <c r="B96" s="2180" t="s">
        <v>278</v>
      </c>
      <c r="C96" s="2180"/>
      <c r="D96" s="2180"/>
      <c r="E96" s="2180"/>
      <c r="F96" s="2180"/>
      <c r="G96" s="2180"/>
      <c r="H96" s="1363">
        <v>35504.559999999998</v>
      </c>
      <c r="I96" s="513">
        <f>47+6-22</f>
        <v>31</v>
      </c>
      <c r="J96" s="1434">
        <f>H96*I96</f>
        <v>1100641.3600000001</v>
      </c>
      <c r="K96" s="564"/>
      <c r="L96" s="552"/>
      <c r="M96" s="561"/>
      <c r="N96" s="561"/>
      <c r="O96" s="551"/>
      <c r="P96" s="551"/>
      <c r="Q96" s="551"/>
      <c r="R96" s="551"/>
      <c r="S96" s="551"/>
      <c r="T96" s="551"/>
      <c r="U96" s="551"/>
      <c r="V96" s="551"/>
      <c r="W96" s="551"/>
      <c r="X96" s="551"/>
      <c r="Y96" s="551"/>
      <c r="Z96" s="551"/>
      <c r="AA96" s="551"/>
      <c r="AB96" s="551"/>
    </row>
    <row r="97" spans="1:28" ht="30" customHeight="1" x14ac:dyDescent="0.25">
      <c r="A97" s="1127">
        <v>3</v>
      </c>
      <c r="B97" s="2180" t="s">
        <v>278</v>
      </c>
      <c r="C97" s="2180"/>
      <c r="D97" s="2180"/>
      <c r="E97" s="2180"/>
      <c r="F97" s="2180"/>
      <c r="G97" s="2180"/>
      <c r="H97" s="1363">
        <v>27208.21</v>
      </c>
      <c r="I97" s="1229">
        <v>1</v>
      </c>
      <c r="J97" s="1434">
        <f>H97*I97</f>
        <v>27208.21</v>
      </c>
      <c r="K97" s="1548"/>
      <c r="L97" s="552"/>
      <c r="M97" s="561"/>
      <c r="N97" s="561"/>
      <c r="O97" s="551"/>
      <c r="P97" s="551"/>
      <c r="Q97" s="551"/>
      <c r="R97" s="551"/>
      <c r="S97" s="551"/>
      <c r="T97" s="551"/>
      <c r="U97" s="551"/>
      <c r="V97" s="551"/>
      <c r="W97" s="551"/>
      <c r="X97" s="551"/>
      <c r="Y97" s="551"/>
      <c r="Z97" s="551"/>
      <c r="AA97" s="551"/>
      <c r="AB97" s="551"/>
    </row>
    <row r="98" spans="1:28" x14ac:dyDescent="0.25">
      <c r="A98" s="2181" t="s">
        <v>39</v>
      </c>
      <c r="B98" s="2181"/>
      <c r="C98" s="2181"/>
      <c r="D98" s="2181"/>
      <c r="E98" s="2181"/>
      <c r="F98" s="2181"/>
      <c r="G98" s="2181"/>
      <c r="H98" s="581" t="s">
        <v>5</v>
      </c>
      <c r="I98" s="1437" t="s">
        <v>5</v>
      </c>
      <c r="J98" s="1406">
        <f>SUM(J95:J97)</f>
        <v>2796563.89</v>
      </c>
      <c r="K98" s="564"/>
      <c r="L98" s="739">
        <f>J98-K98</f>
        <v>2796563.89</v>
      </c>
      <c r="M98" s="561"/>
      <c r="N98" s="561"/>
      <c r="O98" s="551"/>
      <c r="P98" s="551"/>
      <c r="Q98" s="551"/>
      <c r="R98" s="551"/>
      <c r="S98" s="551"/>
      <c r="T98" s="551"/>
      <c r="U98" s="551"/>
      <c r="V98" s="551"/>
      <c r="W98" s="551"/>
      <c r="X98" s="551"/>
      <c r="Y98" s="551"/>
      <c r="Z98" s="551"/>
      <c r="AA98" s="551"/>
      <c r="AB98" s="551"/>
    </row>
    <row r="99" spans="1:28" x14ac:dyDescent="0.25">
      <c r="G99" s="505"/>
      <c r="H99" s="576"/>
      <c r="I99" s="505"/>
      <c r="J99" s="505"/>
      <c r="L99" s="561"/>
      <c r="M99" s="561"/>
      <c r="N99" s="561"/>
      <c r="O99" s="551"/>
      <c r="P99" s="551"/>
      <c r="Q99" s="551"/>
      <c r="R99" s="551"/>
      <c r="S99" s="551"/>
      <c r="T99" s="551"/>
      <c r="U99" s="551"/>
      <c r="V99" s="551"/>
      <c r="W99" s="551"/>
      <c r="X99" s="551"/>
      <c r="Y99" s="551"/>
      <c r="Z99" s="551"/>
      <c r="AA99" s="551"/>
      <c r="AB99" s="551"/>
    </row>
    <row r="100" spans="1:28" ht="17.25" hidden="1" customHeight="1" x14ac:dyDescent="0.25">
      <c r="A100" s="507" t="s">
        <v>63</v>
      </c>
      <c r="E100" s="509" t="s">
        <v>66</v>
      </c>
      <c r="G100" s="505"/>
      <c r="H100" s="576"/>
      <c r="I100" s="505"/>
      <c r="J100" s="511">
        <f>J101</f>
        <v>0</v>
      </c>
      <c r="L100" s="561"/>
      <c r="M100" s="561"/>
      <c r="N100" s="561"/>
      <c r="O100" s="551"/>
      <c r="P100" s="551"/>
      <c r="Q100" s="551"/>
      <c r="R100" s="551"/>
      <c r="S100" s="551"/>
      <c r="T100" s="551"/>
      <c r="U100" s="551"/>
      <c r="V100" s="551"/>
      <c r="W100" s="551"/>
      <c r="X100" s="551"/>
      <c r="Y100" s="551"/>
      <c r="Z100" s="551"/>
      <c r="AA100" s="551"/>
      <c r="AB100" s="551"/>
    </row>
    <row r="101" spans="1:28" ht="17.25" hidden="1" customHeight="1" x14ac:dyDescent="0.25">
      <c r="A101" s="507" t="s">
        <v>26</v>
      </c>
      <c r="E101" s="509" t="s">
        <v>624</v>
      </c>
      <c r="G101" s="505"/>
      <c r="H101" s="576"/>
      <c r="I101" s="505"/>
      <c r="J101" s="511">
        <f>J108</f>
        <v>0</v>
      </c>
      <c r="K101" s="561"/>
      <c r="L101" s="561"/>
      <c r="M101" s="561"/>
      <c r="N101" s="561"/>
      <c r="O101" s="551"/>
      <c r="P101" s="551"/>
      <c r="Q101" s="551"/>
      <c r="R101" s="551"/>
      <c r="S101" s="551"/>
      <c r="T101" s="551"/>
      <c r="U101" s="551"/>
      <c r="V101" s="551"/>
      <c r="W101" s="551"/>
      <c r="X101" s="551"/>
      <c r="Y101" s="551"/>
      <c r="Z101" s="551"/>
      <c r="AA101" s="551"/>
      <c r="AB101" s="551"/>
    </row>
    <row r="102" spans="1:28" ht="17.25" hidden="1" customHeight="1" x14ac:dyDescent="0.25">
      <c r="A102" s="507" t="s">
        <v>27</v>
      </c>
      <c r="E102" s="509" t="s">
        <v>91</v>
      </c>
      <c r="G102" s="505"/>
      <c r="H102" s="576"/>
      <c r="I102" s="505"/>
      <c r="J102" s="505"/>
      <c r="K102" s="561"/>
      <c r="L102" s="561"/>
      <c r="M102" s="561"/>
      <c r="N102" s="561"/>
      <c r="O102" s="551"/>
      <c r="P102" s="551"/>
      <c r="Q102" s="551"/>
      <c r="R102" s="551"/>
      <c r="S102" s="551"/>
      <c r="T102" s="551"/>
      <c r="U102" s="551"/>
      <c r="V102" s="551"/>
      <c r="W102" s="551"/>
      <c r="X102" s="551"/>
      <c r="Y102" s="551"/>
      <c r="Z102" s="551"/>
      <c r="AA102" s="551"/>
      <c r="AB102" s="551"/>
    </row>
    <row r="103" spans="1:28" ht="17.25" hidden="1" customHeight="1" x14ac:dyDescent="0.25">
      <c r="A103" s="507"/>
      <c r="E103" s="509"/>
      <c r="G103" s="505"/>
      <c r="H103" s="576"/>
      <c r="I103" s="505"/>
      <c r="J103" s="505"/>
      <c r="K103" s="561"/>
      <c r="L103" s="561"/>
      <c r="M103" s="561"/>
      <c r="N103" s="561"/>
      <c r="O103" s="551"/>
      <c r="P103" s="551"/>
      <c r="Q103" s="551"/>
      <c r="R103" s="551"/>
      <c r="S103" s="551"/>
      <c r="T103" s="551"/>
      <c r="U103" s="551"/>
      <c r="V103" s="551"/>
      <c r="W103" s="551"/>
      <c r="X103" s="551"/>
      <c r="Y103" s="551"/>
      <c r="Z103" s="551"/>
      <c r="AA103" s="551"/>
      <c r="AB103" s="551"/>
    </row>
    <row r="104" spans="1:28" ht="17.25" hidden="1" customHeight="1" x14ac:dyDescent="0.25">
      <c r="A104" s="2182" t="s">
        <v>513</v>
      </c>
      <c r="B104" s="2182"/>
      <c r="C104" s="2182"/>
      <c r="D104" s="2182"/>
      <c r="E104" s="2182"/>
      <c r="F104" s="2182"/>
      <c r="G104" s="2182"/>
      <c r="H104" s="2182"/>
      <c r="I104" s="2182"/>
      <c r="J104" s="2182"/>
      <c r="L104" s="561"/>
      <c r="M104" s="561"/>
      <c r="N104" s="561"/>
      <c r="O104" s="551"/>
      <c r="P104" s="551"/>
      <c r="Q104" s="551"/>
      <c r="R104" s="551"/>
      <c r="S104" s="551"/>
      <c r="T104" s="551"/>
      <c r="U104" s="551"/>
      <c r="V104" s="551"/>
      <c r="W104" s="551"/>
      <c r="X104" s="551"/>
      <c r="Y104" s="551"/>
      <c r="Z104" s="551"/>
      <c r="AA104" s="551"/>
      <c r="AB104" s="551"/>
    </row>
    <row r="105" spans="1:28" ht="17.25" hidden="1" customHeight="1" x14ac:dyDescent="0.25">
      <c r="A105" s="2183" t="s">
        <v>8</v>
      </c>
      <c r="B105" s="2183" t="s">
        <v>35</v>
      </c>
      <c r="C105" s="2183"/>
      <c r="D105" s="2183"/>
      <c r="E105" s="2183"/>
      <c r="F105" s="2183"/>
      <c r="G105" s="2184" t="s">
        <v>352</v>
      </c>
      <c r="H105" s="2185"/>
      <c r="I105" s="2185"/>
      <c r="J105" s="2186"/>
      <c r="L105" s="552"/>
      <c r="M105" s="561"/>
      <c r="N105" s="561"/>
      <c r="O105" s="551"/>
      <c r="P105" s="551"/>
      <c r="Q105" s="551"/>
      <c r="R105" s="551"/>
      <c r="S105" s="551"/>
      <c r="T105" s="551"/>
      <c r="U105" s="551"/>
      <c r="V105" s="551"/>
      <c r="W105" s="551"/>
      <c r="X105" s="551"/>
      <c r="Y105" s="551"/>
      <c r="Z105" s="551"/>
      <c r="AA105" s="551"/>
      <c r="AB105" s="551"/>
    </row>
    <row r="106" spans="1:28" ht="17.25" hidden="1" customHeight="1" x14ac:dyDescent="0.25">
      <c r="A106" s="2183"/>
      <c r="B106" s="2183"/>
      <c r="C106" s="2183"/>
      <c r="D106" s="2183"/>
      <c r="E106" s="2183"/>
      <c r="F106" s="2183"/>
      <c r="G106" s="1408" t="s">
        <v>44</v>
      </c>
      <c r="H106" s="580" t="s">
        <v>277</v>
      </c>
      <c r="I106" s="1408" t="s">
        <v>275</v>
      </c>
      <c r="J106" s="1408" t="s">
        <v>256</v>
      </c>
      <c r="K106" s="561"/>
      <c r="L106" s="561"/>
      <c r="M106" s="561"/>
      <c r="N106" s="561"/>
      <c r="O106" s="551"/>
      <c r="P106" s="551"/>
      <c r="Q106" s="551"/>
      <c r="R106" s="551"/>
      <c r="S106" s="551"/>
      <c r="T106" s="551"/>
      <c r="U106" s="551"/>
      <c r="V106" s="551"/>
      <c r="W106" s="551"/>
      <c r="X106" s="551"/>
      <c r="Y106" s="551"/>
      <c r="Z106" s="551"/>
      <c r="AA106" s="551"/>
      <c r="AB106" s="551"/>
    </row>
    <row r="107" spans="1:28" ht="17.25" hidden="1" customHeight="1" x14ac:dyDescent="0.25">
      <c r="A107" s="558">
        <v>1</v>
      </c>
      <c r="B107" s="2188" t="s">
        <v>100</v>
      </c>
      <c r="C107" s="2189"/>
      <c r="D107" s="2190"/>
      <c r="E107" s="2190"/>
      <c r="F107" s="2191"/>
      <c r="G107" s="513"/>
      <c r="H107" s="580"/>
      <c r="I107" s="1434"/>
      <c r="J107" s="1434">
        <f>G107*H107*I107</f>
        <v>0</v>
      </c>
      <c r="K107" s="561"/>
      <c r="L107" s="561"/>
      <c r="M107" s="561"/>
      <c r="N107" s="561"/>
      <c r="O107" s="551"/>
      <c r="P107" s="551"/>
      <c r="Q107" s="551"/>
      <c r="R107" s="551"/>
      <c r="S107" s="551"/>
      <c r="T107" s="551"/>
      <c r="U107" s="551"/>
      <c r="V107" s="551"/>
      <c r="W107" s="551"/>
      <c r="X107" s="551"/>
      <c r="Y107" s="551"/>
      <c r="Z107" s="551"/>
      <c r="AA107" s="551"/>
      <c r="AB107" s="551"/>
    </row>
    <row r="108" spans="1:28" ht="17.25" hidden="1" customHeight="1" x14ac:dyDescent="0.25">
      <c r="A108" s="2181" t="s">
        <v>39</v>
      </c>
      <c r="B108" s="2181"/>
      <c r="C108" s="2181"/>
      <c r="D108" s="2181"/>
      <c r="E108" s="2181"/>
      <c r="F108" s="2181"/>
      <c r="G108" s="581" t="s">
        <v>5</v>
      </c>
      <c r="H108" s="581" t="s">
        <v>5</v>
      </c>
      <c r="I108" s="1437" t="s">
        <v>5</v>
      </c>
      <c r="J108" s="1437">
        <f>SUM(J107:J107)</f>
        <v>0</v>
      </c>
      <c r="K108" s="564"/>
      <c r="L108" s="552"/>
      <c r="M108" s="561"/>
      <c r="N108" s="561"/>
      <c r="O108" s="551"/>
      <c r="P108" s="551"/>
      <c r="Q108" s="551"/>
      <c r="R108" s="551"/>
      <c r="S108" s="551"/>
      <c r="T108" s="551"/>
      <c r="U108" s="551"/>
      <c r="V108" s="551"/>
      <c r="W108" s="551"/>
      <c r="X108" s="551"/>
      <c r="Y108" s="551"/>
      <c r="Z108" s="551"/>
      <c r="AA108" s="551"/>
      <c r="AB108" s="551"/>
    </row>
    <row r="109" spans="1:28" ht="17.25" hidden="1" customHeight="1" x14ac:dyDescent="0.25">
      <c r="G109" s="505"/>
      <c r="H109" s="576"/>
      <c r="I109" s="505"/>
      <c r="J109" s="505"/>
      <c r="K109" s="561"/>
      <c r="L109" s="561"/>
      <c r="M109" s="561"/>
      <c r="N109" s="561"/>
      <c r="O109" s="551"/>
      <c r="P109" s="551"/>
      <c r="Q109" s="551"/>
      <c r="R109" s="551"/>
      <c r="S109" s="551"/>
      <c r="T109" s="551"/>
      <c r="U109" s="551"/>
      <c r="V109" s="551"/>
      <c r="W109" s="551"/>
      <c r="X109" s="551"/>
      <c r="Y109" s="551"/>
      <c r="Z109" s="551"/>
      <c r="AA109" s="551"/>
      <c r="AB109" s="551"/>
    </row>
    <row r="110" spans="1:28" x14ac:dyDescent="0.25">
      <c r="A110" s="507" t="s">
        <v>63</v>
      </c>
      <c r="E110" s="509" t="s">
        <v>106</v>
      </c>
      <c r="G110" s="505"/>
      <c r="H110" s="576"/>
      <c r="I110" s="505"/>
      <c r="J110" s="511">
        <f>J111</f>
        <v>80441.100000000006</v>
      </c>
      <c r="L110" s="561"/>
      <c r="M110" s="561"/>
      <c r="N110" s="561"/>
      <c r="O110" s="551"/>
      <c r="P110" s="551"/>
      <c r="Q110" s="551"/>
      <c r="R110" s="551"/>
      <c r="S110" s="551"/>
      <c r="T110" s="551"/>
      <c r="U110" s="551"/>
      <c r="V110" s="551"/>
      <c r="W110" s="551"/>
      <c r="X110" s="551"/>
      <c r="Y110" s="551"/>
      <c r="Z110" s="551"/>
      <c r="AA110" s="551"/>
      <c r="AB110" s="551"/>
    </row>
    <row r="111" spans="1:28" x14ac:dyDescent="0.25">
      <c r="A111" s="786" t="s">
        <v>26</v>
      </c>
      <c r="B111" s="787"/>
      <c r="C111" s="787"/>
      <c r="D111" s="787"/>
      <c r="E111" s="793" t="s">
        <v>624</v>
      </c>
      <c r="F111" s="787"/>
      <c r="G111" s="788"/>
      <c r="H111" s="985"/>
      <c r="I111" s="788"/>
      <c r="J111" s="789">
        <f>J117</f>
        <v>80441.100000000006</v>
      </c>
      <c r="K111" s="561"/>
      <c r="L111" s="561"/>
      <c r="M111" s="561"/>
      <c r="N111" s="561"/>
      <c r="O111" s="551"/>
      <c r="P111" s="551"/>
      <c r="Q111" s="551"/>
      <c r="R111" s="551"/>
      <c r="S111" s="551"/>
      <c r="T111" s="551"/>
      <c r="U111" s="551"/>
      <c r="V111" s="551"/>
      <c r="W111" s="551"/>
      <c r="X111" s="551"/>
      <c r="Y111" s="551"/>
      <c r="Z111" s="551"/>
      <c r="AA111" s="551"/>
      <c r="AB111" s="551"/>
    </row>
    <row r="112" spans="1:28" x14ac:dyDescent="0.25">
      <c r="A112" s="507" t="s">
        <v>27</v>
      </c>
      <c r="E112" s="71" t="s">
        <v>1830</v>
      </c>
      <c r="G112" s="505"/>
      <c r="H112" s="576"/>
      <c r="I112" s="505"/>
      <c r="J112" s="505"/>
      <c r="K112" s="561"/>
      <c r="L112" s="561"/>
      <c r="M112" s="561"/>
      <c r="N112" s="561"/>
      <c r="O112" s="551"/>
      <c r="P112" s="551"/>
      <c r="Q112" s="551"/>
      <c r="R112" s="551"/>
      <c r="S112" s="551"/>
      <c r="T112" s="551"/>
      <c r="U112" s="551"/>
      <c r="V112" s="551"/>
      <c r="W112" s="551"/>
      <c r="X112" s="551"/>
      <c r="Y112" s="551"/>
      <c r="Z112" s="551"/>
      <c r="AA112" s="551"/>
      <c r="AB112" s="551"/>
    </row>
    <row r="113" spans="1:28" ht="17.25" customHeight="1" x14ac:dyDescent="0.25">
      <c r="A113" s="1449" t="s">
        <v>320</v>
      </c>
      <c r="G113" s="505"/>
      <c r="H113" s="576"/>
      <c r="I113" s="505"/>
      <c r="J113" s="505"/>
      <c r="K113" s="561"/>
      <c r="L113" s="561"/>
      <c r="M113" s="561"/>
      <c r="N113" s="561"/>
      <c r="O113" s="551"/>
      <c r="P113" s="551"/>
      <c r="Q113" s="551"/>
      <c r="R113" s="551"/>
      <c r="S113" s="551"/>
      <c r="T113" s="551"/>
      <c r="U113" s="551"/>
      <c r="V113" s="551"/>
      <c r="W113" s="551"/>
      <c r="X113" s="551"/>
      <c r="Y113" s="551"/>
      <c r="Z113" s="551"/>
      <c r="AA113" s="551"/>
      <c r="AB113" s="551"/>
    </row>
    <row r="114" spans="1:28" ht="15" customHeight="1" x14ac:dyDescent="0.25">
      <c r="A114" s="2183" t="s">
        <v>8</v>
      </c>
      <c r="B114" s="2192" t="s">
        <v>35</v>
      </c>
      <c r="C114" s="2157"/>
      <c r="D114" s="2157"/>
      <c r="E114" s="2157"/>
      <c r="F114" s="2157"/>
      <c r="G114" s="2158"/>
      <c r="H114" s="2193" t="s">
        <v>2048</v>
      </c>
      <c r="I114" s="2168"/>
      <c r="J114" s="2168"/>
      <c r="K114" s="1302">
        <v>105386.24000000001</v>
      </c>
      <c r="L114" s="1362">
        <f>J117+J173</f>
        <v>104734.31</v>
      </c>
      <c r="M114" s="552"/>
      <c r="N114" s="561"/>
      <c r="O114" s="551"/>
      <c r="P114" s="551"/>
      <c r="Q114" s="551"/>
      <c r="R114" s="551"/>
      <c r="S114" s="551"/>
      <c r="T114" s="551"/>
      <c r="U114" s="551"/>
      <c r="V114" s="551"/>
      <c r="W114" s="551"/>
      <c r="X114" s="551"/>
      <c r="Y114" s="551"/>
      <c r="Z114" s="551"/>
      <c r="AA114" s="551"/>
      <c r="AB114" s="551"/>
    </row>
    <row r="115" spans="1:28" ht="60.75" customHeight="1" x14ac:dyDescent="0.25">
      <c r="A115" s="2183"/>
      <c r="B115" s="2159"/>
      <c r="C115" s="2160"/>
      <c r="D115" s="2160"/>
      <c r="E115" s="2160"/>
      <c r="F115" s="2160"/>
      <c r="G115" s="2161"/>
      <c r="H115" s="1421" t="s">
        <v>1833</v>
      </c>
      <c r="I115" s="1410" t="s">
        <v>276</v>
      </c>
      <c r="J115" s="1410" t="s">
        <v>256</v>
      </c>
      <c r="K115" s="561"/>
      <c r="L115" s="561"/>
      <c r="M115" s="561"/>
      <c r="N115" s="561"/>
      <c r="O115" s="551"/>
      <c r="P115" s="551"/>
      <c r="Q115" s="551"/>
      <c r="R115" s="551"/>
      <c r="S115" s="551"/>
      <c r="T115" s="551"/>
      <c r="U115" s="551"/>
      <c r="V115" s="551"/>
      <c r="W115" s="551"/>
      <c r="X115" s="551"/>
      <c r="Y115" s="551"/>
      <c r="Z115" s="551"/>
      <c r="AA115" s="551"/>
      <c r="AB115" s="551"/>
    </row>
    <row r="116" spans="1:28" x14ac:dyDescent="0.25">
      <c r="A116" s="1447">
        <v>1</v>
      </c>
      <c r="B116" s="1112" t="s">
        <v>107</v>
      </c>
      <c r="C116" s="1113"/>
      <c r="D116" s="1114"/>
      <c r="E116" s="1114"/>
      <c r="F116" s="1114"/>
      <c r="G116" s="1235"/>
      <c r="H116" s="1420">
        <v>993.1</v>
      </c>
      <c r="I116" s="1116">
        <f>84-3</f>
        <v>81</v>
      </c>
      <c r="J116" s="1420">
        <f>H116*I116</f>
        <v>80441.100000000006</v>
      </c>
      <c r="K116" s="561"/>
      <c r="L116" s="561"/>
      <c r="M116" s="552"/>
      <c r="N116" s="561"/>
      <c r="O116" s="551"/>
      <c r="P116" s="551"/>
      <c r="Q116" s="551"/>
      <c r="R116" s="551"/>
      <c r="S116" s="551"/>
      <c r="T116" s="551"/>
      <c r="U116" s="551"/>
      <c r="V116" s="551"/>
      <c r="W116" s="551"/>
      <c r="X116" s="551"/>
      <c r="Y116" s="551"/>
      <c r="Z116" s="551"/>
      <c r="AA116" s="551"/>
      <c r="AB116" s="551"/>
    </row>
    <row r="117" spans="1:28" ht="17.25" customHeight="1" x14ac:dyDescent="0.25">
      <c r="A117" s="2194" t="s">
        <v>39</v>
      </c>
      <c r="B117" s="2195"/>
      <c r="C117" s="2196"/>
      <c r="D117" s="2195"/>
      <c r="E117" s="2195"/>
      <c r="F117" s="2195"/>
      <c r="G117" s="2197"/>
      <c r="H117" s="2197"/>
      <c r="I117" s="2198"/>
      <c r="J117" s="1437">
        <f>SUM(J116:J116)</f>
        <v>80441.100000000006</v>
      </c>
      <c r="L117" s="552"/>
      <c r="M117" s="561"/>
      <c r="N117" s="561"/>
      <c r="O117" s="551"/>
      <c r="P117" s="551"/>
      <c r="Q117" s="551"/>
      <c r="R117" s="551"/>
      <c r="S117" s="551"/>
      <c r="T117" s="551"/>
      <c r="U117" s="551"/>
      <c r="V117" s="551"/>
      <c r="W117" s="551"/>
      <c r="X117" s="551"/>
      <c r="Y117" s="551"/>
      <c r="Z117" s="551"/>
      <c r="AA117" s="551"/>
      <c r="AB117" s="551"/>
    </row>
    <row r="118" spans="1:28" x14ac:dyDescent="0.25">
      <c r="E118" s="504"/>
      <c r="N118" s="561"/>
    </row>
    <row r="119" spans="1:28" ht="33.75" hidden="1" customHeight="1" x14ac:dyDescent="0.25">
      <c r="A119" s="2178" t="s">
        <v>42</v>
      </c>
      <c r="B119" s="2178"/>
      <c r="C119" s="2178"/>
      <c r="D119" s="2178"/>
      <c r="E119" s="2178"/>
      <c r="F119" s="2178"/>
      <c r="G119" s="2178"/>
      <c r="H119" s="2178"/>
      <c r="I119" s="2178"/>
      <c r="J119" s="2178"/>
      <c r="K119" s="592"/>
      <c r="L119" s="598"/>
      <c r="M119" s="598"/>
      <c r="N119" s="561"/>
    </row>
    <row r="120" spans="1:28" ht="34.5" hidden="1" customHeight="1" x14ac:dyDescent="0.25">
      <c r="A120" s="2178" t="s">
        <v>43</v>
      </c>
      <c r="B120" s="2178"/>
      <c r="C120" s="2178"/>
      <c r="D120" s="2178"/>
      <c r="E120" s="2178"/>
      <c r="F120" s="2178"/>
      <c r="G120" s="2178"/>
      <c r="H120" s="2178"/>
      <c r="I120" s="2178"/>
      <c r="J120" s="2178"/>
      <c r="K120" s="2187"/>
      <c r="L120" s="2187"/>
      <c r="M120" s="2187"/>
      <c r="N120" s="561"/>
    </row>
    <row r="121" spans="1:28" hidden="1" x14ac:dyDescent="0.25">
      <c r="A121" s="2178" t="s">
        <v>45</v>
      </c>
      <c r="B121" s="2178"/>
      <c r="C121" s="2178"/>
      <c r="D121" s="2178"/>
      <c r="E121" s="2178"/>
      <c r="F121" s="2178"/>
      <c r="G121" s="2178"/>
      <c r="H121" s="2178"/>
      <c r="I121" s="2178"/>
      <c r="J121" s="2178"/>
      <c r="N121" s="561"/>
    </row>
    <row r="122" spans="1:28" ht="45" hidden="1" customHeight="1" x14ac:dyDescent="0.25">
      <c r="A122" s="2178" t="s">
        <v>240</v>
      </c>
      <c r="B122" s="2178"/>
      <c r="C122" s="2178"/>
      <c r="D122" s="2178"/>
      <c r="E122" s="2178"/>
      <c r="F122" s="2178"/>
      <c r="G122" s="2178"/>
      <c r="H122" s="2178"/>
      <c r="I122" s="2178"/>
      <c r="J122" s="2178"/>
      <c r="K122" s="2187"/>
      <c r="L122" s="2187"/>
      <c r="M122" s="2187"/>
      <c r="N122" s="561"/>
    </row>
    <row r="123" spans="1:28" ht="27" hidden="1" customHeight="1" x14ac:dyDescent="0.25">
      <c r="A123" s="2187" t="s">
        <v>316</v>
      </c>
      <c r="B123" s="2187"/>
      <c r="C123" s="2187"/>
      <c r="D123" s="2187"/>
      <c r="E123" s="2187"/>
      <c r="F123" s="2187"/>
      <c r="G123" s="2187"/>
      <c r="H123" s="2187"/>
      <c r="I123" s="2187"/>
      <c r="J123" s="2187"/>
      <c r="M123" s="577"/>
      <c r="N123" s="561"/>
    </row>
    <row r="124" spans="1:28" x14ac:dyDescent="0.25">
      <c r="A124" s="507" t="s">
        <v>147</v>
      </c>
      <c r="B124" s="507"/>
      <c r="C124" s="507"/>
      <c r="D124" s="507"/>
      <c r="E124" s="587" t="s">
        <v>72</v>
      </c>
      <c r="J124" s="511">
        <f>J126+J135+J166</f>
        <v>88444615.609999999</v>
      </c>
      <c r="M124" s="577"/>
      <c r="N124" s="561"/>
    </row>
    <row r="125" spans="1:28" s="508" customFormat="1" x14ac:dyDescent="0.25">
      <c r="A125" s="504"/>
      <c r="B125" s="504"/>
      <c r="C125" s="504"/>
      <c r="D125" s="504"/>
      <c r="E125" s="504"/>
      <c r="F125" s="504"/>
      <c r="G125" s="504"/>
      <c r="H125" s="557"/>
      <c r="I125" s="599"/>
      <c r="J125" s="599"/>
      <c r="K125" s="573"/>
      <c r="L125" s="600"/>
      <c r="M125" s="577"/>
      <c r="N125" s="561"/>
      <c r="O125" s="600"/>
      <c r="P125" s="600"/>
      <c r="Q125" s="600"/>
      <c r="R125" s="600"/>
      <c r="S125" s="600"/>
      <c r="T125" s="600"/>
      <c r="U125" s="600"/>
      <c r="V125" s="600"/>
      <c r="W125" s="600"/>
      <c r="X125" s="600"/>
      <c r="Y125" s="600"/>
      <c r="Z125" s="600"/>
      <c r="AA125" s="600"/>
      <c r="AB125" s="600"/>
    </row>
    <row r="126" spans="1:28" ht="17.25" hidden="1" customHeight="1" x14ac:dyDescent="0.25">
      <c r="A126" s="507" t="s">
        <v>63</v>
      </c>
      <c r="E126" s="509" t="s">
        <v>106</v>
      </c>
      <c r="G126" s="505"/>
      <c r="H126" s="576"/>
      <c r="I126" s="505"/>
      <c r="J126" s="511">
        <f>J127</f>
        <v>0</v>
      </c>
      <c r="K126" s="561"/>
      <c r="L126" s="561"/>
      <c r="M126" s="577">
        <v>6</v>
      </c>
      <c r="N126" s="561"/>
      <c r="O126" s="551"/>
      <c r="P126" s="551"/>
      <c r="Q126" s="551"/>
      <c r="R126" s="551"/>
      <c r="S126" s="551"/>
      <c r="T126" s="551"/>
      <c r="U126" s="551"/>
      <c r="V126" s="551"/>
      <c r="W126" s="551"/>
      <c r="X126" s="551"/>
      <c r="Y126" s="551"/>
      <c r="Z126" s="551"/>
      <c r="AA126" s="551"/>
      <c r="AB126" s="551"/>
    </row>
    <row r="127" spans="1:28" ht="17.25" hidden="1" customHeight="1" x14ac:dyDescent="0.25">
      <c r="A127" s="507" t="s">
        <v>26</v>
      </c>
      <c r="E127" s="509" t="s">
        <v>624</v>
      </c>
      <c r="G127" s="505"/>
      <c r="H127" s="576"/>
      <c r="I127" s="505"/>
      <c r="J127" s="511">
        <f>J134</f>
        <v>0</v>
      </c>
      <c r="K127" s="561"/>
      <c r="L127" s="561"/>
      <c r="M127" s="577">
        <v>5</v>
      </c>
      <c r="N127" s="561"/>
      <c r="O127" s="551"/>
      <c r="P127" s="551"/>
      <c r="Q127" s="551"/>
      <c r="R127" s="551"/>
      <c r="S127" s="551"/>
      <c r="T127" s="551"/>
      <c r="U127" s="551"/>
      <c r="V127" s="551"/>
      <c r="W127" s="551"/>
      <c r="X127" s="551"/>
      <c r="Y127" s="551"/>
      <c r="Z127" s="551"/>
      <c r="AA127" s="551"/>
      <c r="AB127" s="551"/>
    </row>
    <row r="128" spans="1:28" ht="17.25" hidden="1" customHeight="1" x14ac:dyDescent="0.25">
      <c r="A128" s="507" t="s">
        <v>27</v>
      </c>
      <c r="E128" s="509" t="s">
        <v>91</v>
      </c>
      <c r="G128" s="505"/>
      <c r="H128" s="576"/>
      <c r="I128" s="505"/>
      <c r="J128" s="505"/>
      <c r="K128" s="561"/>
      <c r="L128" s="561"/>
      <c r="M128" s="577">
        <v>4</v>
      </c>
      <c r="N128" s="561"/>
      <c r="O128" s="551"/>
      <c r="P128" s="551"/>
      <c r="Q128" s="551"/>
      <c r="R128" s="551"/>
      <c r="S128" s="551"/>
      <c r="T128" s="551"/>
      <c r="U128" s="551"/>
      <c r="V128" s="551"/>
      <c r="W128" s="551"/>
      <c r="X128" s="551"/>
      <c r="Y128" s="551"/>
      <c r="Z128" s="551"/>
      <c r="AA128" s="551"/>
      <c r="AB128" s="551"/>
    </row>
    <row r="129" spans="1:28" ht="17.25" hidden="1" customHeight="1" x14ac:dyDescent="0.25">
      <c r="A129" s="507"/>
      <c r="E129" s="509"/>
      <c r="G129" s="505"/>
      <c r="H129" s="576"/>
      <c r="I129" s="505"/>
      <c r="J129" s="505"/>
      <c r="K129" s="561"/>
      <c r="L129" s="561"/>
      <c r="M129" s="577">
        <v>3</v>
      </c>
      <c r="N129" s="561"/>
      <c r="O129" s="551"/>
      <c r="P129" s="551"/>
      <c r="Q129" s="551"/>
      <c r="R129" s="551"/>
      <c r="S129" s="551"/>
      <c r="T129" s="551"/>
      <c r="U129" s="551"/>
      <c r="V129" s="551"/>
      <c r="W129" s="551"/>
      <c r="X129" s="551"/>
      <c r="Y129" s="551"/>
      <c r="Z129" s="551"/>
      <c r="AA129" s="551"/>
      <c r="AB129" s="551"/>
    </row>
    <row r="130" spans="1:28" ht="17.25" hidden="1" customHeight="1" x14ac:dyDescent="0.25">
      <c r="A130" s="1449" t="s">
        <v>48</v>
      </c>
      <c r="G130" s="505"/>
      <c r="H130" s="576"/>
      <c r="I130" s="505"/>
      <c r="J130" s="505"/>
      <c r="K130" s="561"/>
      <c r="L130" s="561"/>
      <c r="M130" s="577">
        <v>2</v>
      </c>
      <c r="N130" s="561"/>
      <c r="O130" s="551"/>
      <c r="P130" s="551"/>
      <c r="Q130" s="551"/>
      <c r="R130" s="551"/>
      <c r="S130" s="551"/>
      <c r="T130" s="551"/>
      <c r="U130" s="551"/>
      <c r="V130" s="551"/>
      <c r="W130" s="551"/>
      <c r="X130" s="551"/>
      <c r="Y130" s="551"/>
      <c r="Z130" s="551"/>
      <c r="AA130" s="551"/>
      <c r="AB130" s="551"/>
    </row>
    <row r="131" spans="1:28" ht="17.25" hidden="1" customHeight="1" x14ac:dyDescent="0.25">
      <c r="A131" s="2199" t="s">
        <v>8</v>
      </c>
      <c r="B131" s="2201" t="s">
        <v>35</v>
      </c>
      <c r="C131" s="2202"/>
      <c r="D131" s="2203"/>
      <c r="E131" s="2203"/>
      <c r="F131" s="2203"/>
      <c r="G131" s="2203"/>
      <c r="H131" s="2204"/>
      <c r="I131" s="2205"/>
      <c r="J131" s="1409" t="s">
        <v>735</v>
      </c>
      <c r="L131" s="561"/>
      <c r="M131" s="577">
        <v>1</v>
      </c>
      <c r="N131" s="561"/>
      <c r="O131" s="551"/>
      <c r="P131" s="551"/>
      <c r="Q131" s="551"/>
      <c r="R131" s="551"/>
      <c r="S131" s="551"/>
      <c r="T131" s="551"/>
      <c r="U131" s="551"/>
      <c r="V131" s="551"/>
      <c r="W131" s="551"/>
      <c r="X131" s="551"/>
      <c r="Y131" s="551"/>
      <c r="Z131" s="551"/>
      <c r="AA131" s="551"/>
      <c r="AB131" s="551"/>
    </row>
    <row r="132" spans="1:28" ht="17.25" hidden="1" customHeight="1" x14ac:dyDescent="0.25">
      <c r="A132" s="2200"/>
      <c r="B132" s="2206"/>
      <c r="C132" s="2207"/>
      <c r="D132" s="2207"/>
      <c r="E132" s="2207"/>
      <c r="F132" s="2207"/>
      <c r="G132" s="2207"/>
      <c r="H132" s="2208"/>
      <c r="I132" s="2209"/>
      <c r="J132" s="1434" t="s">
        <v>256</v>
      </c>
      <c r="K132" s="561"/>
      <c r="L132" s="561"/>
      <c r="M132" s="577">
        <v>0</v>
      </c>
      <c r="N132" s="561"/>
      <c r="O132" s="551"/>
      <c r="P132" s="551"/>
      <c r="Q132" s="551"/>
      <c r="R132" s="551"/>
      <c r="S132" s="551"/>
      <c r="T132" s="551"/>
      <c r="U132" s="551"/>
      <c r="V132" s="551"/>
      <c r="W132" s="551"/>
      <c r="X132" s="551"/>
      <c r="Y132" s="551"/>
      <c r="Z132" s="551"/>
      <c r="AA132" s="551"/>
      <c r="AB132" s="551"/>
    </row>
    <row r="133" spans="1:28" ht="17.25" hidden="1" customHeight="1" x14ac:dyDescent="0.25">
      <c r="A133" s="1447">
        <v>1</v>
      </c>
      <c r="B133" s="2210" t="s">
        <v>279</v>
      </c>
      <c r="C133" s="2211"/>
      <c r="D133" s="2212"/>
      <c r="E133" s="2212"/>
      <c r="F133" s="2212"/>
      <c r="G133" s="2212"/>
      <c r="H133" s="2213"/>
      <c r="I133" s="2214"/>
      <c r="J133" s="1434"/>
      <c r="K133" s="561"/>
      <c r="L133" s="561"/>
      <c r="M133" s="577">
        <v>-1</v>
      </c>
      <c r="N133" s="561"/>
      <c r="O133" s="551"/>
      <c r="P133" s="551"/>
      <c r="Q133" s="551"/>
      <c r="R133" s="551"/>
      <c r="S133" s="551"/>
      <c r="T133" s="551"/>
      <c r="U133" s="551"/>
      <c r="V133" s="551"/>
      <c r="W133" s="551"/>
      <c r="X133" s="551"/>
      <c r="Y133" s="551"/>
      <c r="Z133" s="551"/>
      <c r="AA133" s="551"/>
      <c r="AB133" s="551"/>
    </row>
    <row r="134" spans="1:28" hidden="1" x14ac:dyDescent="0.25">
      <c r="A134" s="2194" t="s">
        <v>39</v>
      </c>
      <c r="B134" s="2195"/>
      <c r="C134" s="2196"/>
      <c r="D134" s="2195"/>
      <c r="E134" s="2195"/>
      <c r="F134" s="2195"/>
      <c r="G134" s="2195"/>
      <c r="H134" s="2197"/>
      <c r="I134" s="2198"/>
      <c r="J134" s="1437">
        <f>SUM(J133:J133)</f>
        <v>0</v>
      </c>
      <c r="L134" s="552"/>
      <c r="M134" s="577">
        <v>-2</v>
      </c>
      <c r="N134" s="561"/>
      <c r="O134" s="551"/>
      <c r="P134" s="551"/>
      <c r="Q134" s="551"/>
      <c r="R134" s="551"/>
      <c r="S134" s="551"/>
      <c r="T134" s="551"/>
      <c r="U134" s="551"/>
      <c r="V134" s="551"/>
      <c r="W134" s="551"/>
      <c r="X134" s="551"/>
      <c r="Y134" s="551"/>
      <c r="Z134" s="551"/>
      <c r="AA134" s="551"/>
      <c r="AB134" s="551"/>
    </row>
    <row r="135" spans="1:28" x14ac:dyDescent="0.25">
      <c r="A135" s="507" t="s">
        <v>63</v>
      </c>
      <c r="D135" s="551"/>
      <c r="E135" s="509" t="s">
        <v>74</v>
      </c>
      <c r="J135" s="510">
        <f>J155+J137</f>
        <v>88420322.400000006</v>
      </c>
      <c r="M135" s="577"/>
      <c r="N135" s="561"/>
    </row>
    <row r="136" spans="1:28" x14ac:dyDescent="0.25">
      <c r="A136" s="507"/>
      <c r="D136" s="551"/>
      <c r="E136" s="509"/>
      <c r="J136" s="510"/>
      <c r="M136" s="577"/>
      <c r="N136" s="561"/>
    </row>
    <row r="137" spans="1:28" x14ac:dyDescent="0.25">
      <c r="A137" s="786" t="s">
        <v>26</v>
      </c>
      <c r="B137" s="787"/>
      <c r="C137" s="787"/>
      <c r="D137" s="787"/>
      <c r="E137" s="793" t="s">
        <v>624</v>
      </c>
      <c r="F137" s="787"/>
      <c r="G137" s="788"/>
      <c r="H137" s="985"/>
      <c r="I137" s="788"/>
      <c r="J137" s="789">
        <f>J143+J153</f>
        <v>941461.23</v>
      </c>
      <c r="M137" s="577"/>
      <c r="N137" s="561"/>
    </row>
    <row r="138" spans="1:28" x14ac:dyDescent="0.25">
      <c r="A138" s="507" t="s">
        <v>27</v>
      </c>
      <c r="E138" s="71" t="s">
        <v>2068</v>
      </c>
      <c r="G138" s="505"/>
      <c r="H138" s="576"/>
      <c r="I138" s="505"/>
      <c r="J138" s="511">
        <f>J143</f>
        <v>135129.96</v>
      </c>
      <c r="M138" s="577"/>
      <c r="N138" s="561"/>
    </row>
    <row r="139" spans="1:28" x14ac:dyDescent="0.25">
      <c r="A139" s="1443" t="s">
        <v>317</v>
      </c>
      <c r="G139" s="505"/>
      <c r="H139" s="576"/>
      <c r="I139" s="505"/>
      <c r="J139" s="505"/>
      <c r="M139" s="577"/>
      <c r="N139" s="561"/>
    </row>
    <row r="140" spans="1:28" x14ac:dyDescent="0.25">
      <c r="A140" s="2170" t="s">
        <v>8</v>
      </c>
      <c r="B140" s="2170" t="s">
        <v>35</v>
      </c>
      <c r="C140" s="2171"/>
      <c r="D140" s="2171"/>
      <c r="E140" s="2171"/>
      <c r="F140" s="2171"/>
      <c r="G140" s="2171"/>
      <c r="H140" s="2215" t="s">
        <v>2048</v>
      </c>
      <c r="I140" s="2173"/>
      <c r="J140" s="2173"/>
      <c r="M140" s="577"/>
      <c r="N140" s="561"/>
    </row>
    <row r="141" spans="1:28" ht="60" x14ac:dyDescent="0.25">
      <c r="A141" s="2171"/>
      <c r="B141" s="2171"/>
      <c r="C141" s="2171"/>
      <c r="D141" s="2171"/>
      <c r="E141" s="2171"/>
      <c r="F141" s="2171"/>
      <c r="G141" s="2171"/>
      <c r="H141" s="1420" t="s">
        <v>260</v>
      </c>
      <c r="I141" s="1420" t="s">
        <v>53</v>
      </c>
      <c r="J141" s="1408" t="s">
        <v>256</v>
      </c>
      <c r="M141" s="577"/>
      <c r="N141" s="561"/>
    </row>
    <row r="142" spans="1:28" x14ac:dyDescent="0.25">
      <c r="A142" s="1447">
        <v>1</v>
      </c>
      <c r="B142" s="1453" t="s">
        <v>732</v>
      </c>
      <c r="C142" s="1453"/>
      <c r="D142" s="1453"/>
      <c r="E142" s="1453"/>
      <c r="F142" s="1453"/>
      <c r="G142" s="1453"/>
      <c r="H142" s="1121">
        <f>(J98*16%)-0.02</f>
        <v>447450.2</v>
      </c>
      <c r="I142" s="1122">
        <v>0.30199999999999999</v>
      </c>
      <c r="J142" s="1426">
        <f>H142*I142</f>
        <v>135129.96</v>
      </c>
      <c r="L142" s="1051"/>
      <c r="M142" s="552"/>
      <c r="N142" s="561"/>
    </row>
    <row r="143" spans="1:28" x14ac:dyDescent="0.25">
      <c r="A143" s="2181" t="s">
        <v>39</v>
      </c>
      <c r="B143" s="2181"/>
      <c r="C143" s="2181"/>
      <c r="D143" s="2181"/>
      <c r="E143" s="2181"/>
      <c r="F143" s="2181"/>
      <c r="G143" s="2181"/>
      <c r="H143" s="2181"/>
      <c r="I143" s="2181"/>
      <c r="J143" s="1406">
        <f>SUM(J142:J142)</f>
        <v>135129.96</v>
      </c>
      <c r="K143" s="564">
        <v>0</v>
      </c>
      <c r="L143" s="739">
        <f>J143-K143</f>
        <v>135129.96</v>
      </c>
      <c r="M143" s="577"/>
    </row>
    <row r="144" spans="1:28" x14ac:dyDescent="0.25">
      <c r="A144" s="560"/>
      <c r="B144" s="560"/>
      <c r="C144" s="560"/>
      <c r="D144" s="560"/>
      <c r="E144" s="560"/>
      <c r="F144" s="560"/>
      <c r="G144" s="560"/>
      <c r="H144" s="560"/>
      <c r="I144" s="560"/>
      <c r="J144" s="64"/>
      <c r="K144" s="564"/>
      <c r="L144" s="739"/>
      <c r="M144" s="577"/>
    </row>
    <row r="145" spans="1:31" x14ac:dyDescent="0.25">
      <c r="A145" s="507" t="s">
        <v>27</v>
      </c>
      <c r="E145" s="71" t="s">
        <v>1830</v>
      </c>
      <c r="G145" s="505"/>
      <c r="H145" s="576"/>
      <c r="I145" s="505"/>
      <c r="J145" s="511">
        <f>J153</f>
        <v>806331.27</v>
      </c>
      <c r="M145" s="577"/>
      <c r="N145" s="561"/>
    </row>
    <row r="146" spans="1:31" s="61" customFormat="1" x14ac:dyDescent="0.25">
      <c r="A146" s="745" t="s">
        <v>317</v>
      </c>
      <c r="B146" s="1457"/>
      <c r="C146" s="73"/>
      <c r="D146" s="73"/>
      <c r="E146" s="72"/>
      <c r="F146" s="1457"/>
      <c r="G146" s="1457"/>
      <c r="H146" s="60"/>
      <c r="I146" s="69"/>
      <c r="J146" s="69"/>
      <c r="K146" s="81"/>
      <c r="L146" s="1326"/>
      <c r="M146" s="1330"/>
      <c r="N146" s="1402"/>
      <c r="O146" s="1402"/>
      <c r="P146" s="1071"/>
      <c r="Q146" s="70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5"/>
      <c r="AE146" s="75"/>
    </row>
    <row r="147" spans="1:31" s="61" customFormat="1" ht="15" customHeight="1" x14ac:dyDescent="0.25">
      <c r="A147" s="1926" t="s">
        <v>8</v>
      </c>
      <c r="B147" s="2192" t="s">
        <v>35</v>
      </c>
      <c r="C147" s="2202"/>
      <c r="D147" s="2202"/>
      <c r="E147" s="2202"/>
      <c r="F147" s="2202"/>
      <c r="G147" s="2220"/>
      <c r="H147" s="2215" t="s">
        <v>2048</v>
      </c>
      <c r="I147" s="2173"/>
      <c r="J147" s="2173"/>
      <c r="K147" s="81"/>
      <c r="L147" s="1326"/>
      <c r="M147" s="970"/>
      <c r="N147" s="1402"/>
      <c r="O147" s="1402"/>
      <c r="P147" s="1071"/>
      <c r="Q147" s="70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5"/>
      <c r="AE147" s="75"/>
    </row>
    <row r="148" spans="1:31" s="61" customFormat="1" ht="60" x14ac:dyDescent="0.25">
      <c r="A148" s="1926"/>
      <c r="B148" s="2206"/>
      <c r="C148" s="2207"/>
      <c r="D148" s="2207"/>
      <c r="E148" s="2207"/>
      <c r="F148" s="2207"/>
      <c r="G148" s="2221"/>
      <c r="H148" s="1420" t="s">
        <v>260</v>
      </c>
      <c r="I148" s="1420" t="s">
        <v>53</v>
      </c>
      <c r="J148" s="1420" t="s">
        <v>261</v>
      </c>
      <c r="K148" s="81"/>
      <c r="L148" s="1326"/>
      <c r="M148" s="970"/>
      <c r="N148" s="1402"/>
      <c r="O148" s="1402"/>
      <c r="P148" s="1071"/>
      <c r="Q148" s="70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5"/>
      <c r="AE148" s="75"/>
    </row>
    <row r="149" spans="1:31" s="61" customFormat="1" x14ac:dyDescent="0.25">
      <c r="A149" s="1331">
        <v>1</v>
      </c>
      <c r="B149" s="2222" t="s">
        <v>1606</v>
      </c>
      <c r="C149" s="2223"/>
      <c r="D149" s="2223"/>
      <c r="E149" s="2223"/>
      <c r="F149" s="2223"/>
      <c r="G149" s="2224"/>
      <c r="H149" s="1121" t="s">
        <v>82</v>
      </c>
      <c r="I149" s="1122" t="s">
        <v>82</v>
      </c>
      <c r="J149" s="1124">
        <f>J150</f>
        <v>800991.33</v>
      </c>
      <c r="K149" s="81"/>
      <c r="L149" s="1326"/>
      <c r="M149" s="970"/>
      <c r="N149" s="79"/>
      <c r="O149" s="79"/>
      <c r="P149" s="1071"/>
      <c r="Q149" s="70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5"/>
      <c r="AE149" s="75"/>
    </row>
    <row r="150" spans="1:31" s="61" customFormat="1" ht="43.5" customHeight="1" x14ac:dyDescent="0.25">
      <c r="A150" s="1332" t="s">
        <v>1607</v>
      </c>
      <c r="B150" s="2218" t="s">
        <v>1608</v>
      </c>
      <c r="C150" s="2219"/>
      <c r="D150" s="2219"/>
      <c r="E150" s="2219"/>
      <c r="F150" s="2219"/>
      <c r="G150" s="2219"/>
      <c r="H150" s="1121">
        <f>J44</f>
        <v>2669971.1</v>
      </c>
      <c r="I150" s="1122">
        <v>0.3</v>
      </c>
      <c r="J150" s="1420">
        <f>H150*I150</f>
        <v>800991.33</v>
      </c>
      <c r="K150" s="81"/>
      <c r="L150" s="1326"/>
      <c r="M150" s="970"/>
      <c r="N150" s="79"/>
      <c r="O150" s="79"/>
      <c r="P150" s="1071"/>
      <c r="Q150" s="70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5"/>
      <c r="AE150" s="75"/>
    </row>
    <row r="151" spans="1:31" s="61" customFormat="1" ht="30.75" customHeight="1" x14ac:dyDescent="0.25">
      <c r="A151" s="1332" t="s">
        <v>281</v>
      </c>
      <c r="B151" s="2216" t="s">
        <v>1609</v>
      </c>
      <c r="C151" s="2217"/>
      <c r="D151" s="2217"/>
      <c r="E151" s="2217"/>
      <c r="F151" s="2217"/>
      <c r="G151" s="2217"/>
      <c r="H151" s="1121" t="s">
        <v>82</v>
      </c>
      <c r="I151" s="1122" t="s">
        <v>82</v>
      </c>
      <c r="J151" s="1124">
        <f>J152</f>
        <v>5339.94</v>
      </c>
      <c r="K151" s="81"/>
      <c r="L151" s="1326"/>
      <c r="M151" s="970"/>
      <c r="N151" s="79"/>
      <c r="O151" s="79"/>
      <c r="P151" s="1071"/>
      <c r="Q151" s="70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5"/>
      <c r="AE151" s="75"/>
    </row>
    <row r="152" spans="1:31" s="61" customFormat="1" ht="45.75" customHeight="1" x14ac:dyDescent="0.25">
      <c r="A152" s="1332" t="s">
        <v>1607</v>
      </c>
      <c r="B152" s="2218" t="s">
        <v>1610</v>
      </c>
      <c r="C152" s="2219"/>
      <c r="D152" s="2219"/>
      <c r="E152" s="2219"/>
      <c r="F152" s="2219"/>
      <c r="G152" s="2219"/>
      <c r="H152" s="1121">
        <f>H150</f>
        <v>2669971.1</v>
      </c>
      <c r="I152" s="1122">
        <v>2E-3</v>
      </c>
      <c r="J152" s="1420">
        <f>H152*I152</f>
        <v>5339.94</v>
      </c>
      <c r="K152" s="81"/>
      <c r="L152" s="1326"/>
      <c r="M152" s="970"/>
      <c r="N152" s="79"/>
      <c r="O152" s="79"/>
      <c r="P152" s="1071"/>
      <c r="Q152" s="70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5"/>
      <c r="AE152" s="75"/>
    </row>
    <row r="153" spans="1:31" s="61" customFormat="1" x14ac:dyDescent="0.25">
      <c r="A153" s="2036" t="s">
        <v>39</v>
      </c>
      <c r="B153" s="2168"/>
      <c r="C153" s="2168"/>
      <c r="D153" s="2168"/>
      <c r="E153" s="2168"/>
      <c r="F153" s="2168"/>
      <c r="G153" s="2168"/>
      <c r="H153" s="2168"/>
      <c r="I153" s="2169"/>
      <c r="J153" s="1192">
        <f>J149+J151</f>
        <v>806331.27</v>
      </c>
      <c r="K153" s="344">
        <v>0</v>
      </c>
      <c r="L153" s="1327">
        <f>J153-K153</f>
        <v>806331.27</v>
      </c>
      <c r="M153" s="1333"/>
      <c r="N153" s="1334"/>
      <c r="O153" s="1402"/>
      <c r="P153" s="1326"/>
      <c r="Q153" s="70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5"/>
      <c r="AE153" s="75"/>
    </row>
    <row r="154" spans="1:31" x14ac:dyDescent="0.25">
      <c r="A154" s="560"/>
      <c r="B154" s="560"/>
      <c r="C154" s="560"/>
      <c r="D154" s="560"/>
      <c r="E154" s="560"/>
      <c r="F154" s="560"/>
      <c r="G154" s="560"/>
      <c r="H154" s="560"/>
      <c r="I154" s="560"/>
      <c r="J154" s="64"/>
      <c r="K154" s="564"/>
      <c r="L154" s="739"/>
      <c r="M154" s="577"/>
    </row>
    <row r="155" spans="1:31" x14ac:dyDescent="0.25">
      <c r="A155" s="973" t="s">
        <v>26</v>
      </c>
      <c r="B155" s="976"/>
      <c r="C155" s="976"/>
      <c r="D155" s="974"/>
      <c r="E155" s="975" t="s">
        <v>626</v>
      </c>
      <c r="F155" s="976"/>
      <c r="G155" s="976"/>
      <c r="H155" s="977"/>
      <c r="I155" s="978"/>
      <c r="J155" s="979">
        <f>J164</f>
        <v>87478861.170000002</v>
      </c>
      <c r="M155" s="577"/>
    </row>
    <row r="156" spans="1:31" x14ac:dyDescent="0.25">
      <c r="A156" s="507" t="s">
        <v>27</v>
      </c>
      <c r="D156" s="551"/>
      <c r="E156" s="509" t="s">
        <v>67</v>
      </c>
    </row>
    <row r="157" spans="1:31" x14ac:dyDescent="0.25">
      <c r="A157" s="1443" t="s">
        <v>317</v>
      </c>
      <c r="D157" s="512"/>
      <c r="E157" s="504"/>
    </row>
    <row r="158" spans="1:31" ht="15" customHeight="1" x14ac:dyDescent="0.25">
      <c r="A158" s="2170" t="s">
        <v>8</v>
      </c>
      <c r="B158" s="2192" t="s">
        <v>35</v>
      </c>
      <c r="C158" s="2202"/>
      <c r="D158" s="2202"/>
      <c r="E158" s="2202"/>
      <c r="F158" s="2202"/>
      <c r="G158" s="2220"/>
      <c r="H158" s="2215" t="s">
        <v>2048</v>
      </c>
      <c r="I158" s="2173"/>
      <c r="J158" s="2173"/>
    </row>
    <row r="159" spans="1:31" ht="64.5" customHeight="1" x14ac:dyDescent="0.25">
      <c r="A159" s="2170"/>
      <c r="B159" s="2206"/>
      <c r="C159" s="2207"/>
      <c r="D159" s="2207"/>
      <c r="E159" s="2207"/>
      <c r="F159" s="2207"/>
      <c r="G159" s="2221"/>
      <c r="H159" s="1420" t="s">
        <v>260</v>
      </c>
      <c r="I159" s="1420" t="s">
        <v>53</v>
      </c>
      <c r="J159" s="1420" t="s">
        <v>261</v>
      </c>
    </row>
    <row r="160" spans="1:31" x14ac:dyDescent="0.25">
      <c r="A160" s="1123">
        <v>1</v>
      </c>
      <c r="B160" s="2222" t="s">
        <v>1606</v>
      </c>
      <c r="C160" s="2223"/>
      <c r="D160" s="2223"/>
      <c r="E160" s="2223"/>
      <c r="F160" s="2223"/>
      <c r="G160" s="2224"/>
      <c r="H160" s="1121" t="s">
        <v>82</v>
      </c>
      <c r="I160" s="1122" t="s">
        <v>82</v>
      </c>
      <c r="J160" s="1124">
        <f>J161</f>
        <v>86899530.959999993</v>
      </c>
    </row>
    <row r="161" spans="1:28" ht="43.5" customHeight="1" x14ac:dyDescent="0.25">
      <c r="A161" s="1123" t="s">
        <v>1607</v>
      </c>
      <c r="B161" s="2218" t="s">
        <v>1608</v>
      </c>
      <c r="C161" s="2219"/>
      <c r="D161" s="2219"/>
      <c r="E161" s="2219"/>
      <c r="F161" s="2219"/>
      <c r="G161" s="2219"/>
      <c r="H161" s="1121">
        <f>J57</f>
        <v>289665103.20999998</v>
      </c>
      <c r="I161" s="1122">
        <v>0.3</v>
      </c>
      <c r="J161" s="1420">
        <f>H161*I161</f>
        <v>86899530.959999993</v>
      </c>
    </row>
    <row r="162" spans="1:28" ht="28.5" customHeight="1" x14ac:dyDescent="0.25">
      <c r="A162" s="1123" t="s">
        <v>281</v>
      </c>
      <c r="B162" s="2216" t="s">
        <v>1609</v>
      </c>
      <c r="C162" s="2217"/>
      <c r="D162" s="2217"/>
      <c r="E162" s="2217"/>
      <c r="F162" s="2217"/>
      <c r="G162" s="2217"/>
      <c r="H162" s="1121" t="s">
        <v>82</v>
      </c>
      <c r="I162" s="1122" t="s">
        <v>82</v>
      </c>
      <c r="J162" s="1124">
        <f>J163</f>
        <v>579330.21</v>
      </c>
    </row>
    <row r="163" spans="1:28" ht="45" customHeight="1" x14ac:dyDescent="0.25">
      <c r="A163" s="1123" t="s">
        <v>1607</v>
      </c>
      <c r="B163" s="2218" t="s">
        <v>1610</v>
      </c>
      <c r="C163" s="2219"/>
      <c r="D163" s="2219"/>
      <c r="E163" s="2219"/>
      <c r="F163" s="2219"/>
      <c r="G163" s="2219"/>
      <c r="H163" s="1121">
        <f>H161</f>
        <v>289665103.20999998</v>
      </c>
      <c r="I163" s="1122">
        <v>2E-3</v>
      </c>
      <c r="J163" s="1420">
        <f>H163*I163</f>
        <v>579330.21</v>
      </c>
    </row>
    <row r="164" spans="1:28" x14ac:dyDescent="0.25">
      <c r="A164" s="2236" t="s">
        <v>39</v>
      </c>
      <c r="B164" s="2237"/>
      <c r="C164" s="2237"/>
      <c r="D164" s="2237"/>
      <c r="E164" s="2237"/>
      <c r="F164" s="2237"/>
      <c r="G164" s="2238"/>
      <c r="H164" s="2238" t="s">
        <v>5</v>
      </c>
      <c r="I164" s="2239" t="s">
        <v>5</v>
      </c>
      <c r="J164" s="1192">
        <f>J160+J162</f>
        <v>87478861.170000002</v>
      </c>
      <c r="K164" s="597">
        <v>0</v>
      </c>
      <c r="L164" s="739">
        <f>J164-K164</f>
        <v>87478861.170000002</v>
      </c>
      <c r="M164" s="943"/>
      <c r="N164" s="944"/>
    </row>
    <row r="165" spans="1:28" x14ac:dyDescent="0.25">
      <c r="M165" s="928"/>
      <c r="N165" s="944"/>
    </row>
    <row r="166" spans="1:28" x14ac:dyDescent="0.25">
      <c r="A166" s="507" t="s">
        <v>63</v>
      </c>
      <c r="E166" s="509" t="s">
        <v>106</v>
      </c>
      <c r="G166" s="505"/>
      <c r="H166" s="576"/>
      <c r="I166" s="505"/>
      <c r="J166" s="511">
        <f>J167</f>
        <v>24293.21</v>
      </c>
      <c r="L166" s="561"/>
      <c r="M166" s="561"/>
      <c r="N166" s="561"/>
      <c r="O166" s="551"/>
      <c r="P166" s="551"/>
      <c r="Q166" s="551"/>
      <c r="R166" s="551"/>
      <c r="S166" s="551"/>
      <c r="T166" s="551"/>
      <c r="U166" s="551"/>
      <c r="V166" s="551"/>
      <c r="W166" s="551"/>
      <c r="X166" s="551"/>
      <c r="Y166" s="551"/>
      <c r="Z166" s="551"/>
      <c r="AA166" s="551"/>
      <c r="AB166" s="551"/>
    </row>
    <row r="167" spans="1:28" x14ac:dyDescent="0.25">
      <c r="A167" s="786" t="s">
        <v>26</v>
      </c>
      <c r="B167" s="787"/>
      <c r="C167" s="787"/>
      <c r="D167" s="787"/>
      <c r="E167" s="793" t="s">
        <v>624</v>
      </c>
      <c r="F167" s="787"/>
      <c r="G167" s="788"/>
      <c r="H167" s="985"/>
      <c r="I167" s="788"/>
      <c r="J167" s="789">
        <f>J173</f>
        <v>24293.21</v>
      </c>
      <c r="K167" s="561"/>
      <c r="L167" s="561"/>
      <c r="M167" s="561"/>
      <c r="N167" s="561"/>
      <c r="O167" s="551"/>
      <c r="P167" s="551"/>
      <c r="Q167" s="551"/>
      <c r="R167" s="551"/>
      <c r="S167" s="551"/>
      <c r="T167" s="551"/>
      <c r="U167" s="551"/>
      <c r="V167" s="551"/>
      <c r="W167" s="551"/>
      <c r="X167" s="551"/>
      <c r="Y167" s="551"/>
      <c r="Z167" s="551"/>
      <c r="AA167" s="551"/>
      <c r="AB167" s="551"/>
    </row>
    <row r="168" spans="1:28" ht="17.25" customHeight="1" x14ac:dyDescent="0.25">
      <c r="A168" s="507" t="s">
        <v>27</v>
      </c>
      <c r="E168" s="71" t="s">
        <v>1830</v>
      </c>
      <c r="G168" s="505"/>
      <c r="H168" s="576"/>
      <c r="I168" s="505"/>
      <c r="J168" s="505"/>
      <c r="K168" s="561"/>
      <c r="L168" s="561"/>
      <c r="M168" s="561"/>
      <c r="N168" s="561"/>
      <c r="O168" s="551"/>
      <c r="P168" s="551"/>
      <c r="Q168" s="551"/>
      <c r="R168" s="551"/>
      <c r="S168" s="551"/>
      <c r="T168" s="551"/>
      <c r="U168" s="551"/>
      <c r="V168" s="551"/>
      <c r="W168" s="551"/>
      <c r="X168" s="551"/>
      <c r="Y168" s="551"/>
      <c r="Z168" s="551"/>
      <c r="AA168" s="551"/>
      <c r="AB168" s="551"/>
    </row>
    <row r="169" spans="1:28" ht="17.25" customHeight="1" x14ac:dyDescent="0.25">
      <c r="A169" s="1449" t="s">
        <v>320</v>
      </c>
      <c r="G169" s="505"/>
      <c r="H169" s="576"/>
      <c r="I169" s="505"/>
      <c r="J169" s="505"/>
      <c r="K169" s="561"/>
      <c r="L169" s="561"/>
      <c r="M169" s="561"/>
      <c r="N169" s="561"/>
      <c r="O169" s="551"/>
      <c r="P169" s="551"/>
      <c r="Q169" s="551"/>
      <c r="R169" s="551"/>
      <c r="S169" s="551"/>
      <c r="T169" s="551"/>
      <c r="U169" s="551"/>
      <c r="V169" s="551"/>
      <c r="W169" s="551"/>
      <c r="X169" s="551"/>
      <c r="Y169" s="551"/>
      <c r="Z169" s="551"/>
      <c r="AA169" s="551"/>
      <c r="AB169" s="551"/>
    </row>
    <row r="170" spans="1:28" ht="15" customHeight="1" x14ac:dyDescent="0.25">
      <c r="A170" s="1898" t="s">
        <v>8</v>
      </c>
      <c r="B170" s="1956" t="s">
        <v>46</v>
      </c>
      <c r="C170" s="2157"/>
      <c r="D170" s="2157"/>
      <c r="E170" s="2157"/>
      <c r="F170" s="2157"/>
      <c r="G170" s="2158"/>
      <c r="H170" s="2215" t="s">
        <v>2048</v>
      </c>
      <c r="I170" s="2173"/>
      <c r="J170" s="2173"/>
      <c r="K170" s="564"/>
      <c r="L170" s="739"/>
      <c r="M170" s="577"/>
    </row>
    <row r="171" spans="1:28" ht="33" customHeight="1" x14ac:dyDescent="0.25">
      <c r="A171" s="1898"/>
      <c r="B171" s="2159"/>
      <c r="C171" s="2160"/>
      <c r="D171" s="2160"/>
      <c r="E171" s="2160"/>
      <c r="F171" s="2160"/>
      <c r="G171" s="2161"/>
      <c r="H171" s="1410" t="s">
        <v>262</v>
      </c>
      <c r="I171" s="1420" t="s">
        <v>50</v>
      </c>
      <c r="J171" s="1420" t="s">
        <v>261</v>
      </c>
      <c r="K171" s="564"/>
      <c r="L171" s="739"/>
      <c r="M171" s="577"/>
    </row>
    <row r="172" spans="1:28" x14ac:dyDescent="0.25">
      <c r="A172" s="62">
        <v>1</v>
      </c>
      <c r="B172" s="1129" t="s">
        <v>1494</v>
      </c>
      <c r="C172" s="1130"/>
      <c r="D172" s="1130"/>
      <c r="E172" s="1130"/>
      <c r="F172" s="1130"/>
      <c r="G172" s="1130"/>
      <c r="H172" s="1420">
        <f>J117</f>
        <v>80441.100000000006</v>
      </c>
      <c r="I172" s="1365">
        <v>30.2</v>
      </c>
      <c r="J172" s="1420">
        <f>H172*I172%</f>
        <v>24293.21</v>
      </c>
      <c r="K172" s="564"/>
      <c r="L172" s="739"/>
      <c r="M172" s="577"/>
    </row>
    <row r="173" spans="1:28" x14ac:dyDescent="0.25">
      <c r="A173" s="1944" t="s">
        <v>39</v>
      </c>
      <c r="B173" s="2225"/>
      <c r="C173" s="2225"/>
      <c r="D173" s="2225"/>
      <c r="E173" s="2225"/>
      <c r="F173" s="2225"/>
      <c r="G173" s="2225"/>
      <c r="H173" s="2225"/>
      <c r="I173" s="2226"/>
      <c r="J173" s="1406">
        <f>SUM(J172)</f>
        <v>24293.21</v>
      </c>
      <c r="K173" s="564"/>
      <c r="L173" s="739"/>
      <c r="M173" s="577"/>
    </row>
    <row r="174" spans="1:28" x14ac:dyDescent="0.25">
      <c r="M174" s="928"/>
      <c r="N174" s="944"/>
    </row>
    <row r="175" spans="1:28" x14ac:dyDescent="0.25">
      <c r="A175" s="652" t="s">
        <v>51</v>
      </c>
      <c r="B175" s="652"/>
      <c r="C175" s="652"/>
      <c r="D175" s="652"/>
      <c r="E175" s="652"/>
      <c r="F175" s="652"/>
      <c r="G175" s="652"/>
      <c r="H175" s="653"/>
      <c r="I175" s="654"/>
      <c r="J175" s="654">
        <f>J177</f>
        <v>48476.76</v>
      </c>
    </row>
    <row r="177" spans="1:12" ht="19.5" customHeight="1" x14ac:dyDescent="0.25">
      <c r="A177" s="507" t="s">
        <v>147</v>
      </c>
      <c r="B177" s="507"/>
      <c r="C177" s="507"/>
      <c r="D177" s="507"/>
      <c r="E177" s="587" t="s">
        <v>1704</v>
      </c>
      <c r="J177" s="511">
        <f>J179</f>
        <v>48476.76</v>
      </c>
    </row>
    <row r="178" spans="1:12" x14ac:dyDescent="0.25">
      <c r="E178" s="504"/>
    </row>
    <row r="179" spans="1:12" x14ac:dyDescent="0.25">
      <c r="A179" s="507" t="s">
        <v>63</v>
      </c>
      <c r="B179" s="507"/>
      <c r="C179" s="507"/>
      <c r="D179" s="551"/>
      <c r="E179" s="509" t="s">
        <v>90</v>
      </c>
      <c r="J179" s="511">
        <f>J180</f>
        <v>48476.76</v>
      </c>
    </row>
    <row r="180" spans="1:12" x14ac:dyDescent="0.25">
      <c r="A180" s="973" t="s">
        <v>26</v>
      </c>
      <c r="B180" s="973"/>
      <c r="C180" s="973"/>
      <c r="D180" s="974"/>
      <c r="E180" s="975" t="s">
        <v>625</v>
      </c>
      <c r="F180" s="976"/>
      <c r="G180" s="976"/>
      <c r="H180" s="977"/>
      <c r="I180" s="978"/>
      <c r="J180" s="979">
        <f>J191</f>
        <v>48476.76</v>
      </c>
    </row>
    <row r="181" spans="1:12" x14ac:dyDescent="0.25">
      <c r="A181" s="507" t="s">
        <v>27</v>
      </c>
      <c r="B181" s="507"/>
      <c r="C181" s="507"/>
      <c r="D181" s="551"/>
      <c r="E181" s="509" t="s">
        <v>1837</v>
      </c>
    </row>
    <row r="182" spans="1:12" ht="12.75" hidden="1" customHeight="1" x14ac:dyDescent="0.25">
      <c r="A182" s="1449" t="s">
        <v>1153</v>
      </c>
    </row>
    <row r="183" spans="1:12" ht="19.5" hidden="1" customHeight="1" x14ac:dyDescent="0.25">
      <c r="A183" s="2199" t="s">
        <v>8</v>
      </c>
      <c r="B183" s="2227" t="s">
        <v>35</v>
      </c>
      <c r="C183" s="2228"/>
      <c r="D183" s="2229"/>
      <c r="E183" s="2229"/>
      <c r="F183" s="2183" t="s">
        <v>735</v>
      </c>
      <c r="G183" s="2183"/>
      <c r="H183" s="2183"/>
      <c r="I183" s="2183"/>
      <c r="J183" s="2183"/>
    </row>
    <row r="184" spans="1:12" ht="47.25" hidden="1" customHeight="1" x14ac:dyDescent="0.25">
      <c r="A184" s="2200"/>
      <c r="B184" s="2230"/>
      <c r="C184" s="2231"/>
      <c r="D184" s="2231"/>
      <c r="E184" s="2231"/>
      <c r="F184" s="2232" t="s">
        <v>263</v>
      </c>
      <c r="G184" s="2233"/>
      <c r="H184" s="1434" t="s">
        <v>255</v>
      </c>
      <c r="I184" s="1434" t="s">
        <v>627</v>
      </c>
      <c r="J184" s="1434" t="s">
        <v>256</v>
      </c>
    </row>
    <row r="185" spans="1:12" ht="30.75" hidden="1" customHeight="1" x14ac:dyDescent="0.25">
      <c r="A185" s="1408">
        <v>1</v>
      </c>
      <c r="B185" s="2234" t="s">
        <v>695</v>
      </c>
      <c r="C185" s="2211"/>
      <c r="D185" s="2212"/>
      <c r="E185" s="2212"/>
      <c r="F185" s="2235"/>
      <c r="G185" s="2235"/>
      <c r="H185" s="1434"/>
      <c r="I185" s="513"/>
      <c r="J185" s="1434">
        <f>F185*H185*I185</f>
        <v>0</v>
      </c>
    </row>
    <row r="186" spans="1:12" ht="13.5" hidden="1" customHeight="1" x14ac:dyDescent="0.25">
      <c r="A186" s="2241" t="s">
        <v>39</v>
      </c>
      <c r="B186" s="2175"/>
      <c r="C186" s="2176"/>
      <c r="D186" s="2175"/>
      <c r="E186" s="2175"/>
      <c r="F186" s="2242" t="s">
        <v>5</v>
      </c>
      <c r="G186" s="2242"/>
      <c r="H186" s="1437" t="s">
        <v>5</v>
      </c>
      <c r="I186" s="1437" t="s">
        <v>5</v>
      </c>
      <c r="J186" s="1437">
        <f>SUM(J183:J185)</f>
        <v>0</v>
      </c>
    </row>
    <row r="187" spans="1:12" x14ac:dyDescent="0.25">
      <c r="A187" s="1449" t="s">
        <v>1153</v>
      </c>
    </row>
    <row r="188" spans="1:12" x14ac:dyDescent="0.25">
      <c r="A188" s="2170" t="s">
        <v>8</v>
      </c>
      <c r="B188" s="2172" t="s">
        <v>35</v>
      </c>
      <c r="C188" s="2171"/>
      <c r="D188" s="2171"/>
      <c r="E188" s="2171"/>
      <c r="F188" s="2171"/>
      <c r="G188" s="2170" t="s">
        <v>2048</v>
      </c>
      <c r="H188" s="2173"/>
      <c r="I188" s="2173"/>
      <c r="J188" s="2173"/>
    </row>
    <row r="189" spans="1:12" ht="75" x14ac:dyDescent="0.25">
      <c r="A189" s="2171"/>
      <c r="B189" s="2171"/>
      <c r="C189" s="2171"/>
      <c r="D189" s="2171"/>
      <c r="E189" s="2171"/>
      <c r="F189" s="2171"/>
      <c r="G189" s="1120" t="s">
        <v>1604</v>
      </c>
      <c r="H189" s="1410" t="s">
        <v>276</v>
      </c>
      <c r="I189" s="1441" t="s">
        <v>36</v>
      </c>
      <c r="J189" s="1434" t="s">
        <v>256</v>
      </c>
    </row>
    <row r="190" spans="1:12" ht="30" customHeight="1" x14ac:dyDescent="0.25">
      <c r="A190" s="1408">
        <v>1</v>
      </c>
      <c r="B190" s="2243" t="s">
        <v>1107</v>
      </c>
      <c r="C190" s="2163"/>
      <c r="D190" s="2163"/>
      <c r="E190" s="2163"/>
      <c r="F190" s="2244"/>
      <c r="G190" s="1115">
        <v>4039.73</v>
      </c>
      <c r="H190" s="1116">
        <v>4</v>
      </c>
      <c r="I190" s="1116">
        <v>3</v>
      </c>
      <c r="J190" s="1434">
        <f>G190*H190*I190</f>
        <v>48476.76</v>
      </c>
    </row>
    <row r="191" spans="1:12" x14ac:dyDescent="0.25">
      <c r="A191" s="2174" t="s">
        <v>39</v>
      </c>
      <c r="B191" s="2175"/>
      <c r="C191" s="2176"/>
      <c r="D191" s="2175"/>
      <c r="E191" s="2175"/>
      <c r="F191" s="2175"/>
      <c r="G191" s="2175"/>
      <c r="H191" s="2175"/>
      <c r="I191" s="2177"/>
      <c r="J191" s="1406">
        <f>SUM(J189:J190)</f>
        <v>48476.76</v>
      </c>
      <c r="K191" s="564">
        <v>0</v>
      </c>
      <c r="L191" s="739">
        <f>J191-K191</f>
        <v>48476.76</v>
      </c>
    </row>
    <row r="193" spans="1:28" x14ac:dyDescent="0.25">
      <c r="A193" s="652" t="s">
        <v>52</v>
      </c>
      <c r="B193" s="652"/>
      <c r="C193" s="652"/>
      <c r="D193" s="652"/>
      <c r="E193" s="652"/>
      <c r="F193" s="652"/>
      <c r="G193" s="652"/>
      <c r="H193" s="653"/>
      <c r="I193" s="654"/>
      <c r="J193" s="654">
        <f>J195+J207</f>
        <v>19972284</v>
      </c>
    </row>
    <row r="195" spans="1:28" s="603" customFormat="1" ht="15.75" customHeight="1" x14ac:dyDescent="0.25">
      <c r="A195" s="499" t="s">
        <v>147</v>
      </c>
      <c r="B195" s="499"/>
      <c r="C195" s="499"/>
      <c r="D195" s="499"/>
      <c r="E195" s="500" t="s">
        <v>1709</v>
      </c>
      <c r="F195" s="501"/>
      <c r="G195" s="501"/>
      <c r="H195" s="502"/>
      <c r="I195" s="503"/>
      <c r="J195" s="601">
        <f>J197</f>
        <v>19972284</v>
      </c>
      <c r="K195" s="730"/>
      <c r="L195" s="731"/>
      <c r="M195" s="731"/>
      <c r="N195" s="731"/>
      <c r="O195" s="602"/>
      <c r="P195" s="602"/>
      <c r="Q195" s="602"/>
      <c r="R195" s="602"/>
      <c r="S195" s="602"/>
      <c r="T195" s="602"/>
      <c r="U195" s="602"/>
      <c r="V195" s="602"/>
      <c r="W195" s="602"/>
      <c r="X195" s="602"/>
      <c r="Y195" s="602"/>
      <c r="Z195" s="602"/>
      <c r="AA195" s="602"/>
      <c r="AB195" s="602"/>
    </row>
    <row r="196" spans="1:28" x14ac:dyDescent="0.25">
      <c r="E196" s="504"/>
    </row>
    <row r="197" spans="1:28" x14ac:dyDescent="0.25">
      <c r="A197" s="507" t="s">
        <v>63</v>
      </c>
      <c r="D197" s="508"/>
      <c r="E197" s="509" t="s">
        <v>75</v>
      </c>
      <c r="J197" s="510">
        <f>J198</f>
        <v>19972284</v>
      </c>
    </row>
    <row r="198" spans="1:28" x14ac:dyDescent="0.25">
      <c r="A198" s="786" t="s">
        <v>26</v>
      </c>
      <c r="B198" s="787"/>
      <c r="C198" s="787"/>
      <c r="D198" s="935"/>
      <c r="E198" s="793" t="s">
        <v>624</v>
      </c>
      <c r="F198" s="787"/>
      <c r="G198" s="787"/>
      <c r="H198" s="788"/>
      <c r="I198" s="986"/>
      <c r="J198" s="789">
        <f>J205</f>
        <v>19972284</v>
      </c>
    </row>
    <row r="199" spans="1:28" x14ac:dyDescent="0.25">
      <c r="A199" s="507" t="s">
        <v>27</v>
      </c>
      <c r="D199" s="508"/>
      <c r="E199" s="71" t="s">
        <v>1830</v>
      </c>
    </row>
    <row r="200" spans="1:28" ht="16.5" customHeight="1" x14ac:dyDescent="0.25">
      <c r="A200" s="1449" t="s">
        <v>1084</v>
      </c>
      <c r="E200" s="512"/>
    </row>
    <row r="201" spans="1:28" ht="15" customHeight="1" x14ac:dyDescent="0.25">
      <c r="A201" s="2183" t="s">
        <v>8</v>
      </c>
      <c r="B201" s="2183" t="s">
        <v>35</v>
      </c>
      <c r="C201" s="2183"/>
      <c r="D201" s="2183"/>
      <c r="E201" s="2183"/>
      <c r="F201" s="2183"/>
      <c r="G201" s="2183"/>
      <c r="H201" s="2215" t="s">
        <v>2048</v>
      </c>
      <c r="I201" s="2173"/>
      <c r="J201" s="2173"/>
    </row>
    <row r="202" spans="1:28" ht="60" customHeight="1" x14ac:dyDescent="0.25">
      <c r="A202" s="2183"/>
      <c r="B202" s="2183"/>
      <c r="C202" s="2183"/>
      <c r="D202" s="2183"/>
      <c r="E202" s="2183"/>
      <c r="F202" s="2183"/>
      <c r="G202" s="2183"/>
      <c r="H202" s="1408" t="s">
        <v>257</v>
      </c>
      <c r="I202" s="1434" t="s">
        <v>53</v>
      </c>
      <c r="J202" s="1434" t="s">
        <v>1612</v>
      </c>
    </row>
    <row r="203" spans="1:28" ht="15" customHeight="1" x14ac:dyDescent="0.25">
      <c r="A203" s="1447">
        <v>1</v>
      </c>
      <c r="B203" s="1986" t="s">
        <v>2060</v>
      </c>
      <c r="C203" s="1986"/>
      <c r="D203" s="1986"/>
      <c r="E203" s="1986"/>
      <c r="F203" s="1986"/>
      <c r="G203" s="1986"/>
      <c r="H203" s="1434">
        <v>226957773</v>
      </c>
      <c r="I203" s="1434">
        <v>2.2000000000000002</v>
      </c>
      <c r="J203" s="59">
        <f>H203*I203%</f>
        <v>4993071</v>
      </c>
      <c r="K203" s="564"/>
      <c r="L203" s="739"/>
    </row>
    <row r="204" spans="1:28" ht="15" customHeight="1" x14ac:dyDescent="0.25">
      <c r="A204" s="1447">
        <v>2</v>
      </c>
      <c r="B204" s="1986" t="s">
        <v>2061</v>
      </c>
      <c r="C204" s="1986"/>
      <c r="D204" s="1986"/>
      <c r="E204" s="1986"/>
      <c r="F204" s="1986"/>
      <c r="G204" s="1986"/>
      <c r="H204" s="1434">
        <v>680873318</v>
      </c>
      <c r="I204" s="1434">
        <v>2.2000000000000002</v>
      </c>
      <c r="J204" s="59">
        <f>H204*I204%</f>
        <v>14979213</v>
      </c>
      <c r="K204" s="564"/>
      <c r="L204" s="815"/>
      <c r="M204" s="552"/>
    </row>
    <row r="205" spans="1:28" x14ac:dyDescent="0.25">
      <c r="A205" s="2181" t="s">
        <v>39</v>
      </c>
      <c r="B205" s="2181"/>
      <c r="C205" s="2181"/>
      <c r="D205" s="2181"/>
      <c r="E205" s="2181"/>
      <c r="F205" s="2181"/>
      <c r="G205" s="2181"/>
      <c r="H205" s="1437" t="s">
        <v>5</v>
      </c>
      <c r="I205" s="1437" t="s">
        <v>5</v>
      </c>
      <c r="J205" s="1406">
        <f>SUM(J203:J204)</f>
        <v>19972284</v>
      </c>
      <c r="K205" s="732">
        <f>SUM(K203:K204)</f>
        <v>0</v>
      </c>
      <c r="L205" s="859">
        <f>J205-K205</f>
        <v>19972284</v>
      </c>
      <c r="M205" s="593"/>
    </row>
    <row r="206" spans="1:28" x14ac:dyDescent="0.25">
      <c r="A206" s="733"/>
      <c r="B206" s="733"/>
      <c r="C206" s="733"/>
      <c r="D206" s="733"/>
      <c r="E206" s="733"/>
      <c r="F206" s="733"/>
      <c r="G206" s="733"/>
      <c r="H206" s="733"/>
      <c r="I206" s="733"/>
      <c r="J206" s="720"/>
    </row>
    <row r="207" spans="1:28" hidden="1" x14ac:dyDescent="0.25">
      <c r="A207" s="507" t="s">
        <v>147</v>
      </c>
      <c r="B207" s="507"/>
      <c r="C207" s="507"/>
      <c r="D207" s="507"/>
      <c r="E207" s="587" t="s">
        <v>1710</v>
      </c>
      <c r="J207" s="511">
        <f>J209</f>
        <v>0</v>
      </c>
    </row>
    <row r="208" spans="1:28" hidden="1" x14ac:dyDescent="0.25">
      <c r="E208" s="504"/>
    </row>
    <row r="209" spans="1:28" hidden="1" x14ac:dyDescent="0.25">
      <c r="A209" s="507" t="s">
        <v>63</v>
      </c>
      <c r="D209" s="508"/>
      <c r="E209" s="509" t="s">
        <v>75</v>
      </c>
      <c r="J209" s="510">
        <f>J210</f>
        <v>0</v>
      </c>
    </row>
    <row r="210" spans="1:28" hidden="1" x14ac:dyDescent="0.25">
      <c r="A210" s="786" t="s">
        <v>26</v>
      </c>
      <c r="B210" s="787"/>
      <c r="C210" s="787"/>
      <c r="D210" s="935"/>
      <c r="E210" s="793" t="s">
        <v>624</v>
      </c>
      <c r="F210" s="787"/>
      <c r="G210" s="787"/>
      <c r="H210" s="788"/>
      <c r="I210" s="986"/>
      <c r="J210" s="789">
        <f>J217</f>
        <v>0</v>
      </c>
    </row>
    <row r="211" spans="1:28" hidden="1" x14ac:dyDescent="0.25">
      <c r="A211" s="507" t="s">
        <v>27</v>
      </c>
      <c r="D211" s="508"/>
      <c r="E211" s="509" t="s">
        <v>1477</v>
      </c>
    </row>
    <row r="212" spans="1:28" ht="12.75" hidden="1" customHeight="1" x14ac:dyDescent="0.25">
      <c r="A212" s="1449" t="s">
        <v>1088</v>
      </c>
      <c r="D212" s="508"/>
      <c r="E212" s="509"/>
    </row>
    <row r="213" spans="1:28" ht="15" hidden="1" customHeight="1" x14ac:dyDescent="0.25">
      <c r="A213" s="2183" t="s">
        <v>8</v>
      </c>
      <c r="B213" s="2183" t="s">
        <v>35</v>
      </c>
      <c r="C213" s="2183"/>
      <c r="D213" s="2183"/>
      <c r="E213" s="2183"/>
      <c r="F213" s="2183"/>
      <c r="G213" s="2193" t="s">
        <v>1476</v>
      </c>
      <c r="H213" s="2168"/>
      <c r="I213" s="2168"/>
      <c r="J213" s="2169"/>
    </row>
    <row r="214" spans="1:28" ht="59.25" hidden="1" customHeight="1" x14ac:dyDescent="0.25">
      <c r="A214" s="2183"/>
      <c r="B214" s="2183"/>
      <c r="C214" s="2183"/>
      <c r="D214" s="2183"/>
      <c r="E214" s="2183"/>
      <c r="F214" s="2183"/>
      <c r="G214" s="1408" t="s">
        <v>1766</v>
      </c>
      <c r="H214" s="1408" t="s">
        <v>293</v>
      </c>
      <c r="I214" s="1434" t="s">
        <v>1768</v>
      </c>
      <c r="J214" s="1434" t="s">
        <v>1612</v>
      </c>
    </row>
    <row r="215" spans="1:28" ht="29.25" hidden="1" customHeight="1" x14ac:dyDescent="0.25">
      <c r="A215" s="1447">
        <v>1</v>
      </c>
      <c r="B215" s="2252" t="s">
        <v>338</v>
      </c>
      <c r="C215" s="2253"/>
      <c r="D215" s="2253"/>
      <c r="E215" s="2253"/>
      <c r="F215" s="2254"/>
      <c r="G215" s="513" t="s">
        <v>1765</v>
      </c>
      <c r="H215" s="1434"/>
      <c r="I215" s="513">
        <v>15</v>
      </c>
      <c r="J215" s="580">
        <f>(H215*I215)/12*9</f>
        <v>0</v>
      </c>
      <c r="K215" s="551"/>
    </row>
    <row r="216" spans="1:28" ht="30" hidden="1" x14ac:dyDescent="0.25">
      <c r="A216" s="1127">
        <v>2</v>
      </c>
      <c r="B216" s="2255"/>
      <c r="C216" s="2256"/>
      <c r="D216" s="2256"/>
      <c r="E216" s="2256"/>
      <c r="F216" s="2257"/>
      <c r="G216" s="513" t="s">
        <v>1767</v>
      </c>
      <c r="H216" s="1434"/>
      <c r="I216" s="513">
        <v>15</v>
      </c>
      <c r="J216" s="580">
        <f>(H216*I216)/12*2</f>
        <v>0</v>
      </c>
      <c r="K216" s="551"/>
    </row>
    <row r="217" spans="1:28" hidden="1" x14ac:dyDescent="0.25">
      <c r="A217" s="2181" t="s">
        <v>39</v>
      </c>
      <c r="B217" s="2181"/>
      <c r="C217" s="2181"/>
      <c r="D217" s="2181"/>
      <c r="E217" s="2181"/>
      <c r="F217" s="2181"/>
      <c r="G217" s="2181"/>
      <c r="H217" s="1437" t="s">
        <v>5</v>
      </c>
      <c r="I217" s="1437" t="s">
        <v>5</v>
      </c>
      <c r="J217" s="1406">
        <f>SUM(J215:J216)</f>
        <v>0</v>
      </c>
      <c r="K217" s="564"/>
      <c r="L217" s="739">
        <f>J217-K217</f>
        <v>0</v>
      </c>
    </row>
    <row r="218" spans="1:28" hidden="1" x14ac:dyDescent="0.25"/>
    <row r="219" spans="1:28" x14ac:dyDescent="0.25">
      <c r="A219" s="652" t="s">
        <v>1229</v>
      </c>
      <c r="B219" s="652"/>
      <c r="C219" s="652"/>
      <c r="D219" s="652"/>
      <c r="E219" s="652"/>
      <c r="F219" s="652"/>
      <c r="G219" s="652"/>
      <c r="H219" s="653"/>
      <c r="I219" s="654"/>
      <c r="J219" s="654">
        <v>0</v>
      </c>
    </row>
    <row r="220" spans="1:28" x14ac:dyDescent="0.25">
      <c r="A220" s="652" t="s">
        <v>1838</v>
      </c>
      <c r="B220" s="652"/>
      <c r="C220" s="652"/>
      <c r="D220" s="652"/>
      <c r="E220" s="652"/>
      <c r="F220" s="652"/>
      <c r="G220" s="652"/>
      <c r="H220" s="653"/>
      <c r="I220" s="654"/>
      <c r="J220" s="654">
        <v>0</v>
      </c>
    </row>
    <row r="221" spans="1:28" x14ac:dyDescent="0.25">
      <c r="A221" s="652" t="s">
        <v>1839</v>
      </c>
      <c r="B221" s="652"/>
      <c r="C221" s="652"/>
      <c r="D221" s="652"/>
      <c r="E221" s="652"/>
      <c r="F221" s="652"/>
      <c r="G221" s="652"/>
      <c r="H221" s="653"/>
      <c r="I221" s="654"/>
      <c r="J221" s="654">
        <f>J223+J880</f>
        <v>30326914.440000001</v>
      </c>
    </row>
    <row r="223" spans="1:28" s="603" customFormat="1" x14ac:dyDescent="0.25">
      <c r="A223" s="499" t="s">
        <v>147</v>
      </c>
      <c r="B223" s="499"/>
      <c r="C223" s="499"/>
      <c r="D223" s="499"/>
      <c r="E223" s="500" t="s">
        <v>71</v>
      </c>
      <c r="F223" s="501"/>
      <c r="G223" s="501"/>
      <c r="H223" s="502"/>
      <c r="I223" s="503"/>
      <c r="J223" s="601">
        <f>J225+J263+J289+J472+J584+J608+J629+J668+J643+J619+J254+J857</f>
        <v>18228737.75</v>
      </c>
      <c r="K223" s="604"/>
      <c r="L223" s="606"/>
      <c r="M223" s="602"/>
      <c r="N223" s="731"/>
      <c r="O223" s="602"/>
      <c r="P223" s="602"/>
      <c r="Q223" s="602"/>
      <c r="R223" s="602"/>
      <c r="S223" s="602"/>
      <c r="T223" s="602"/>
      <c r="U223" s="602"/>
      <c r="V223" s="602"/>
      <c r="W223" s="602"/>
      <c r="X223" s="602"/>
      <c r="Y223" s="602"/>
      <c r="Z223" s="602"/>
      <c r="AA223" s="602"/>
      <c r="AB223" s="602"/>
    </row>
    <row r="224" spans="1:28" x14ac:dyDescent="0.25">
      <c r="E224" s="504"/>
      <c r="L224" s="553"/>
      <c r="N224" s="579"/>
    </row>
    <row r="225" spans="1:15" x14ac:dyDescent="0.25">
      <c r="A225" s="507" t="s">
        <v>63</v>
      </c>
      <c r="B225" s="504"/>
      <c r="C225" s="504"/>
      <c r="D225" s="508"/>
      <c r="E225" s="509" t="s">
        <v>76</v>
      </c>
      <c r="J225" s="511">
        <f>J226</f>
        <v>102504</v>
      </c>
      <c r="L225" s="551"/>
      <c r="M225" s="552"/>
    </row>
    <row r="226" spans="1:15" x14ac:dyDescent="0.25">
      <c r="A226" s="786" t="s">
        <v>26</v>
      </c>
      <c r="B226" s="794"/>
      <c r="C226" s="794"/>
      <c r="D226" s="935"/>
      <c r="E226" s="793" t="s">
        <v>624</v>
      </c>
      <c r="F226" s="787"/>
      <c r="G226" s="787"/>
      <c r="H226" s="788"/>
      <c r="I226" s="986"/>
      <c r="J226" s="789">
        <f>J227</f>
        <v>102504</v>
      </c>
      <c r="L226" s="552"/>
      <c r="M226" s="551"/>
    </row>
    <row r="227" spans="1:15" x14ac:dyDescent="0.25">
      <c r="A227" s="507" t="s">
        <v>27</v>
      </c>
      <c r="B227" s="504"/>
      <c r="C227" s="504"/>
      <c r="D227" s="508"/>
      <c r="E227" s="71" t="s">
        <v>1830</v>
      </c>
      <c r="J227" s="511">
        <f>J234+J246</f>
        <v>102504</v>
      </c>
      <c r="K227" s="579"/>
      <c r="L227" s="734"/>
      <c r="M227" s="510"/>
      <c r="N227" s="510"/>
      <c r="O227" s="510"/>
    </row>
    <row r="228" spans="1:15" x14ac:dyDescent="0.25">
      <c r="A228" s="1449" t="s">
        <v>307</v>
      </c>
      <c r="E228" s="504"/>
      <c r="K228" s="607"/>
    </row>
    <row r="229" spans="1:15" x14ac:dyDescent="0.25">
      <c r="A229" s="2183" t="s">
        <v>8</v>
      </c>
      <c r="B229" s="2183" t="s">
        <v>35</v>
      </c>
      <c r="C229" s="2183"/>
      <c r="D229" s="2183"/>
      <c r="E229" s="2183"/>
      <c r="F229" s="2183" t="s">
        <v>272</v>
      </c>
      <c r="G229" s="2184" t="s">
        <v>2048</v>
      </c>
      <c r="H229" s="2185"/>
      <c r="I229" s="2185"/>
      <c r="J229" s="2186"/>
      <c r="K229" s="552" t="s">
        <v>1478</v>
      </c>
    </row>
    <row r="230" spans="1:15" ht="33" customHeight="1" x14ac:dyDescent="0.25">
      <c r="A230" s="2183"/>
      <c r="B230" s="2183"/>
      <c r="C230" s="2183"/>
      <c r="D230" s="2183"/>
      <c r="E230" s="2183"/>
      <c r="F230" s="2183"/>
      <c r="G230" s="1408" t="s">
        <v>248</v>
      </c>
      <c r="H230" s="1408" t="s">
        <v>274</v>
      </c>
      <c r="I230" s="1434" t="s">
        <v>264</v>
      </c>
      <c r="J230" s="1434" t="s">
        <v>256</v>
      </c>
    </row>
    <row r="231" spans="1:15" ht="15.75" customHeight="1" x14ac:dyDescent="0.25">
      <c r="A231" s="2245" t="s">
        <v>1536</v>
      </c>
      <c r="B231" s="2246"/>
      <c r="C231" s="2247"/>
      <c r="D231" s="2246"/>
      <c r="E231" s="2246"/>
      <c r="F231" s="2246"/>
      <c r="G231" s="2246"/>
      <c r="H231" s="2246"/>
      <c r="I231" s="2246"/>
      <c r="J231" s="2248"/>
    </row>
    <row r="232" spans="1:15" ht="30.75" customHeight="1" x14ac:dyDescent="0.25">
      <c r="A232" s="1409">
        <v>1</v>
      </c>
      <c r="B232" s="2249" t="s">
        <v>1840</v>
      </c>
      <c r="C232" s="2250"/>
      <c r="D232" s="2251"/>
      <c r="E232" s="2251"/>
      <c r="F232" s="1408" t="s">
        <v>750</v>
      </c>
      <c r="G232" s="735">
        <v>1</v>
      </c>
      <c r="H232" s="608">
        <f>12-5+1+1+3</f>
        <v>12</v>
      </c>
      <c r="I232" s="1436">
        <v>2592</v>
      </c>
      <c r="J232" s="1434">
        <f>H232*I232*G232</f>
        <v>31104</v>
      </c>
      <c r="K232" s="566"/>
    </row>
    <row r="233" spans="1:15" hidden="1" x14ac:dyDescent="0.25">
      <c r="A233" s="1409">
        <v>4</v>
      </c>
      <c r="B233" s="2259" t="s">
        <v>1076</v>
      </c>
      <c r="C233" s="2259"/>
      <c r="D233" s="2259"/>
      <c r="E233" s="2259"/>
      <c r="F233" s="2259"/>
      <c r="G233" s="2259"/>
      <c r="H233" s="2259"/>
      <c r="I233" s="2259"/>
      <c r="J233" s="1436"/>
      <c r="K233" s="566"/>
    </row>
    <row r="234" spans="1:15" x14ac:dyDescent="0.25">
      <c r="A234" s="2260" t="s">
        <v>39</v>
      </c>
      <c r="B234" s="2261"/>
      <c r="C234" s="2262"/>
      <c r="D234" s="2261"/>
      <c r="E234" s="2261"/>
      <c r="F234" s="2261"/>
      <c r="G234" s="2261"/>
      <c r="H234" s="2261"/>
      <c r="I234" s="2263"/>
      <c r="J234" s="1343">
        <f>SUM(J232:J233)</f>
        <v>31104</v>
      </c>
      <c r="K234" s="344">
        <v>0</v>
      </c>
      <c r="L234" s="739">
        <f>J234-K234</f>
        <v>31104</v>
      </c>
    </row>
    <row r="235" spans="1:15" ht="15" hidden="1" customHeight="1" x14ac:dyDescent="0.25">
      <c r="A235" s="2264" t="s">
        <v>514</v>
      </c>
      <c r="B235" s="2265"/>
      <c r="C235" s="2265"/>
      <c r="D235" s="2265"/>
      <c r="E235" s="2265"/>
      <c r="F235" s="2265"/>
      <c r="G235" s="2265"/>
      <c r="H235" s="2265"/>
      <c r="I235" s="2265"/>
      <c r="J235" s="2265"/>
      <c r="K235" s="577"/>
      <c r="L235" s="552"/>
    </row>
    <row r="236" spans="1:15" hidden="1" x14ac:dyDescent="0.25">
      <c r="A236" s="2266" t="s">
        <v>1134</v>
      </c>
      <c r="B236" s="2266"/>
      <c r="C236" s="2266"/>
      <c r="D236" s="2266"/>
      <c r="E236" s="2266"/>
      <c r="F236" s="2266"/>
      <c r="G236" s="2266"/>
      <c r="H236" s="2266"/>
      <c r="I236" s="2266"/>
      <c r="J236" s="1403">
        <v>0</v>
      </c>
      <c r="K236" s="344"/>
      <c r="L236" s="552"/>
    </row>
    <row r="237" spans="1:15" hidden="1" x14ac:dyDescent="0.25">
      <c r="A237" s="2266" t="s">
        <v>153</v>
      </c>
      <c r="B237" s="2266"/>
      <c r="C237" s="2266"/>
      <c r="D237" s="2266"/>
      <c r="E237" s="2266"/>
      <c r="F237" s="2266"/>
      <c r="G237" s="2266"/>
      <c r="H237" s="2266"/>
      <c r="I237" s="2266"/>
      <c r="J237" s="1403">
        <f>14400.06+2400.01</f>
        <v>16800.07</v>
      </c>
    </row>
    <row r="238" spans="1:15" hidden="1" x14ac:dyDescent="0.25">
      <c r="A238" s="2258" t="s">
        <v>619</v>
      </c>
      <c r="B238" s="2258"/>
      <c r="C238" s="2258"/>
      <c r="D238" s="2258"/>
      <c r="E238" s="2258"/>
      <c r="F238" s="2258"/>
      <c r="G238" s="2258"/>
      <c r="H238" s="2258"/>
      <c r="I238" s="2258"/>
      <c r="J238" s="624">
        <f>J234-J236-J237-J239</f>
        <v>14303.93</v>
      </c>
      <c r="K238" s="344"/>
      <c r="L238" s="552"/>
    </row>
    <row r="239" spans="1:15" hidden="1" x14ac:dyDescent="0.25">
      <c r="A239" s="2258" t="s">
        <v>1147</v>
      </c>
      <c r="B239" s="2258"/>
      <c r="C239" s="2258"/>
      <c r="D239" s="2258"/>
      <c r="E239" s="2258"/>
      <c r="F239" s="2258"/>
      <c r="G239" s="2258"/>
      <c r="H239" s="2258"/>
      <c r="I239" s="2258"/>
      <c r="J239" s="569">
        <v>0</v>
      </c>
      <c r="K239" s="87"/>
      <c r="L239" s="552"/>
    </row>
    <row r="240" spans="1:15" x14ac:dyDescent="0.25">
      <c r="A240" s="634"/>
      <c r="B240" s="635"/>
      <c r="C240" s="635"/>
      <c r="D240" s="635"/>
      <c r="E240" s="635"/>
      <c r="F240" s="635"/>
      <c r="G240" s="635"/>
      <c r="H240" s="635"/>
      <c r="I240" s="635"/>
      <c r="J240" s="554"/>
      <c r="K240" s="1442"/>
      <c r="L240" s="552"/>
    </row>
    <row r="241" spans="1:14" x14ac:dyDescent="0.25">
      <c r="A241" s="1449" t="s">
        <v>307</v>
      </c>
      <c r="I241" s="505"/>
      <c r="J241" s="505"/>
      <c r="K241" s="564"/>
    </row>
    <row r="242" spans="1:14" ht="15" customHeight="1" x14ac:dyDescent="0.25">
      <c r="A242" s="2183" t="s">
        <v>8</v>
      </c>
      <c r="B242" s="2183" t="s">
        <v>35</v>
      </c>
      <c r="C242" s="2183"/>
      <c r="D242" s="2183"/>
      <c r="E242" s="2183"/>
      <c r="F242" s="2183" t="s">
        <v>272</v>
      </c>
      <c r="G242" s="2184" t="s">
        <v>2048</v>
      </c>
      <c r="H242" s="2185"/>
      <c r="I242" s="2185"/>
      <c r="J242" s="2186"/>
      <c r="K242" s="564" t="s">
        <v>1478</v>
      </c>
    </row>
    <row r="243" spans="1:14" ht="32.25" customHeight="1" x14ac:dyDescent="0.25">
      <c r="A243" s="2183"/>
      <c r="B243" s="2183"/>
      <c r="C243" s="2183"/>
      <c r="D243" s="2183"/>
      <c r="E243" s="2183"/>
      <c r="F243" s="2183"/>
      <c r="G243" s="1408" t="s">
        <v>248</v>
      </c>
      <c r="H243" s="1408" t="s">
        <v>274</v>
      </c>
      <c r="I243" s="1434" t="s">
        <v>264</v>
      </c>
      <c r="J243" s="1434" t="s">
        <v>256</v>
      </c>
      <c r="K243" s="564"/>
    </row>
    <row r="244" spans="1:14" ht="15" customHeight="1" x14ac:dyDescent="0.25">
      <c r="A244" s="2245" t="s">
        <v>1537</v>
      </c>
      <c r="B244" s="2246"/>
      <c r="C244" s="2247"/>
      <c r="D244" s="2246"/>
      <c r="E244" s="2246"/>
      <c r="F244" s="2246"/>
      <c r="G244" s="2246"/>
      <c r="H244" s="2246"/>
      <c r="I244" s="2246"/>
      <c r="J244" s="2248"/>
      <c r="K244" s="564"/>
    </row>
    <row r="245" spans="1:14" x14ac:dyDescent="0.25">
      <c r="A245" s="1408">
        <v>1</v>
      </c>
      <c r="B245" s="2270" t="s">
        <v>497</v>
      </c>
      <c r="C245" s="2250"/>
      <c r="D245" s="2250"/>
      <c r="E245" s="2250"/>
      <c r="F245" s="1408" t="s">
        <v>750</v>
      </c>
      <c r="G245" s="513">
        <v>7</v>
      </c>
      <c r="H245" s="513">
        <f>12-5+1+1+3</f>
        <v>12</v>
      </c>
      <c r="I245" s="1434">
        <v>850</v>
      </c>
      <c r="J245" s="1434">
        <f>G245*H245*I245</f>
        <v>71400</v>
      </c>
      <c r="K245" s="564"/>
    </row>
    <row r="246" spans="1:14" x14ac:dyDescent="0.25">
      <c r="A246" s="2271" t="s">
        <v>39</v>
      </c>
      <c r="B246" s="2261"/>
      <c r="C246" s="2262"/>
      <c r="D246" s="2261"/>
      <c r="E246" s="2261"/>
      <c r="F246" s="2261"/>
      <c r="G246" s="2261"/>
      <c r="H246" s="2261"/>
      <c r="I246" s="2263"/>
      <c r="J246" s="1343">
        <f>SUM(J245:J245)</f>
        <v>71400</v>
      </c>
      <c r="K246" s="564">
        <v>0</v>
      </c>
      <c r="L246" s="739">
        <f>J246-K246</f>
        <v>71400</v>
      </c>
    </row>
    <row r="247" spans="1:14" ht="15.75" hidden="1" customHeight="1" x14ac:dyDescent="0.25">
      <c r="A247" s="2264" t="s">
        <v>514</v>
      </c>
      <c r="B247" s="2265"/>
      <c r="C247" s="2265"/>
      <c r="D247" s="2265"/>
      <c r="E247" s="2265"/>
      <c r="F247" s="2265"/>
      <c r="G247" s="2265"/>
      <c r="H247" s="2265"/>
      <c r="I247" s="2265"/>
      <c r="J247" s="2265"/>
      <c r="K247" s="564"/>
    </row>
    <row r="248" spans="1:14" hidden="1" x14ac:dyDescent="0.25">
      <c r="A248" s="2266" t="s">
        <v>1134</v>
      </c>
      <c r="B248" s="2266"/>
      <c r="C248" s="2266"/>
      <c r="D248" s="2266"/>
      <c r="E248" s="2266"/>
      <c r="F248" s="2266"/>
      <c r="G248" s="2266"/>
      <c r="H248" s="2266"/>
      <c r="I248" s="2266"/>
      <c r="J248" s="1403">
        <v>0</v>
      </c>
      <c r="K248" s="564"/>
    </row>
    <row r="249" spans="1:14" hidden="1" x14ac:dyDescent="0.25">
      <c r="A249" s="2266" t="s">
        <v>153</v>
      </c>
      <c r="B249" s="2266"/>
      <c r="C249" s="2266"/>
      <c r="D249" s="2266"/>
      <c r="E249" s="2266"/>
      <c r="F249" s="2266"/>
      <c r="G249" s="2266"/>
      <c r="H249" s="2266"/>
      <c r="I249" s="2266"/>
      <c r="J249" s="1403">
        <f>35700+5950</f>
        <v>41650</v>
      </c>
    </row>
    <row r="250" spans="1:14" hidden="1" x14ac:dyDescent="0.25">
      <c r="A250" s="2258" t="s">
        <v>619</v>
      </c>
      <c r="B250" s="2258"/>
      <c r="C250" s="2258"/>
      <c r="D250" s="2258"/>
      <c r="E250" s="2258"/>
      <c r="F250" s="2258"/>
      <c r="G250" s="2258"/>
      <c r="H250" s="2258"/>
      <c r="I250" s="2258"/>
      <c r="J250" s="624">
        <f>J246-J248-J249-J251</f>
        <v>29750</v>
      </c>
      <c r="K250" s="564"/>
    </row>
    <row r="251" spans="1:14" ht="15" hidden="1" customHeight="1" x14ac:dyDescent="0.25">
      <c r="A251" s="2267" t="s">
        <v>1147</v>
      </c>
      <c r="B251" s="2268"/>
      <c r="C251" s="2268"/>
      <c r="D251" s="2268"/>
      <c r="E251" s="2268"/>
      <c r="F251" s="2268"/>
      <c r="G251" s="2268"/>
      <c r="H251" s="2268"/>
      <c r="I251" s="2269"/>
      <c r="J251" s="569">
        <v>0</v>
      </c>
      <c r="K251" s="564"/>
    </row>
    <row r="252" spans="1:14" x14ac:dyDescent="0.25">
      <c r="K252" s="732"/>
    </row>
    <row r="253" spans="1:14" hidden="1" x14ac:dyDescent="0.25">
      <c r="A253" s="1449" t="s">
        <v>54</v>
      </c>
    </row>
    <row r="254" spans="1:14" x14ac:dyDescent="0.25">
      <c r="A254" s="507" t="s">
        <v>63</v>
      </c>
      <c r="B254" s="504"/>
      <c r="C254" s="504"/>
      <c r="D254" s="508"/>
      <c r="E254" s="563" t="s">
        <v>1845</v>
      </c>
      <c r="J254" s="511">
        <f>J255</f>
        <v>155400</v>
      </c>
      <c r="K254" s="553"/>
      <c r="L254" s="553"/>
      <c r="N254" s="567"/>
    </row>
    <row r="255" spans="1:14" x14ac:dyDescent="0.25">
      <c r="A255" s="786" t="s">
        <v>26</v>
      </c>
      <c r="B255" s="794"/>
      <c r="C255" s="794"/>
      <c r="D255" s="935"/>
      <c r="E255" s="793" t="s">
        <v>624</v>
      </c>
      <c r="F255" s="787"/>
      <c r="G255" s="787"/>
      <c r="H255" s="788"/>
      <c r="I255" s="986"/>
      <c r="J255" s="789">
        <f>J261</f>
        <v>155400</v>
      </c>
      <c r="K255" s="553"/>
      <c r="L255" s="553"/>
      <c r="N255" s="567"/>
    </row>
    <row r="256" spans="1:14" x14ac:dyDescent="0.25">
      <c r="A256" s="507" t="s">
        <v>27</v>
      </c>
      <c r="B256" s="504"/>
      <c r="C256" s="504"/>
      <c r="D256" s="508"/>
      <c r="E256" s="587" t="s">
        <v>1830</v>
      </c>
      <c r="K256" s="553"/>
      <c r="L256" s="553"/>
      <c r="N256" s="567"/>
    </row>
    <row r="257" spans="1:28" x14ac:dyDescent="0.25">
      <c r="A257" s="1449" t="s">
        <v>1846</v>
      </c>
      <c r="K257" s="553"/>
      <c r="L257" s="553"/>
      <c r="N257" s="567"/>
    </row>
    <row r="258" spans="1:28" ht="15" customHeight="1" x14ac:dyDescent="0.25">
      <c r="A258" s="2170" t="s">
        <v>8</v>
      </c>
      <c r="B258" s="2192" t="s">
        <v>35</v>
      </c>
      <c r="C258" s="2157"/>
      <c r="D258" s="2158"/>
      <c r="E258" s="2170" t="s">
        <v>1847</v>
      </c>
      <c r="F258" s="2170" t="s">
        <v>1848</v>
      </c>
      <c r="G258" s="2184" t="s">
        <v>2048</v>
      </c>
      <c r="H258" s="2185"/>
      <c r="I258" s="2185"/>
      <c r="J258" s="2186"/>
      <c r="K258" s="553"/>
      <c r="L258" s="553"/>
      <c r="N258" s="567"/>
    </row>
    <row r="259" spans="1:28" ht="75" x14ac:dyDescent="0.25">
      <c r="A259" s="2170"/>
      <c r="B259" s="2159"/>
      <c r="C259" s="2160"/>
      <c r="D259" s="2161"/>
      <c r="E259" s="2170"/>
      <c r="F259" s="2170"/>
      <c r="G259" s="1410" t="s">
        <v>1853</v>
      </c>
      <c r="H259" s="1410" t="s">
        <v>1849</v>
      </c>
      <c r="I259" s="1410" t="s">
        <v>1850</v>
      </c>
      <c r="J259" s="1420" t="s">
        <v>256</v>
      </c>
      <c r="K259" s="553"/>
      <c r="L259" s="553"/>
      <c r="N259" s="567"/>
    </row>
    <row r="260" spans="1:28" ht="30" x14ac:dyDescent="0.25">
      <c r="A260" s="1410">
        <v>1</v>
      </c>
      <c r="B260" s="2277" t="s">
        <v>1851</v>
      </c>
      <c r="C260" s="2163"/>
      <c r="D260" s="2163"/>
      <c r="E260" s="1370" t="s">
        <v>1852</v>
      </c>
      <c r="F260" s="1410">
        <v>148</v>
      </c>
      <c r="G260" s="1371">
        <v>3</v>
      </c>
      <c r="H260" s="1371">
        <f>F260*G260</f>
        <v>444</v>
      </c>
      <c r="I260" s="1372">
        <v>350</v>
      </c>
      <c r="J260" s="1420">
        <f>H260*I260</f>
        <v>155400</v>
      </c>
      <c r="K260" s="553"/>
      <c r="L260" s="553"/>
      <c r="N260" s="567"/>
    </row>
    <row r="261" spans="1:28" x14ac:dyDescent="0.25">
      <c r="A261" s="2278" t="s">
        <v>39</v>
      </c>
      <c r="B261" s="2278"/>
      <c r="C261" s="2278"/>
      <c r="D261" s="2278"/>
      <c r="E261" s="2278"/>
      <c r="F261" s="2278"/>
      <c r="G261" s="1373" t="s">
        <v>847</v>
      </c>
      <c r="H261" s="1373" t="s">
        <v>847</v>
      </c>
      <c r="I261" s="1373" t="s">
        <v>847</v>
      </c>
      <c r="J261" s="1190">
        <f>SUM(J260:J260)</f>
        <v>155400</v>
      </c>
      <c r="K261" s="553"/>
      <c r="L261" s="553"/>
      <c r="N261" s="567"/>
    </row>
    <row r="262" spans="1:28" x14ac:dyDescent="0.25">
      <c r="K262" s="553"/>
      <c r="L262" s="553"/>
      <c r="N262" s="567"/>
    </row>
    <row r="263" spans="1:28" x14ac:dyDescent="0.25">
      <c r="A263" s="507" t="s">
        <v>63</v>
      </c>
      <c r="B263" s="504"/>
      <c r="C263" s="504"/>
      <c r="D263" s="508"/>
      <c r="E263" s="509" t="s">
        <v>77</v>
      </c>
      <c r="J263" s="511">
        <f>J264</f>
        <v>513759.73</v>
      </c>
      <c r="L263" s="551"/>
      <c r="M263" s="552"/>
    </row>
    <row r="264" spans="1:28" x14ac:dyDescent="0.25">
      <c r="A264" s="786" t="s">
        <v>26</v>
      </c>
      <c r="B264" s="794"/>
      <c r="C264" s="794"/>
      <c r="D264" s="935"/>
      <c r="E264" s="793" t="s">
        <v>624</v>
      </c>
      <c r="F264" s="787"/>
      <c r="G264" s="787"/>
      <c r="H264" s="788"/>
      <c r="I264" s="986"/>
      <c r="J264" s="789">
        <f>J272</f>
        <v>513759.73</v>
      </c>
      <c r="L264" s="582"/>
      <c r="M264" s="552"/>
    </row>
    <row r="265" spans="1:28" x14ac:dyDescent="0.25">
      <c r="A265" s="507" t="s">
        <v>27</v>
      </c>
      <c r="B265" s="504"/>
      <c r="C265" s="504"/>
      <c r="D265" s="508"/>
      <c r="E265" s="71" t="s">
        <v>1830</v>
      </c>
      <c r="K265" s="582"/>
      <c r="L265" s="552"/>
      <c r="M265" s="552"/>
      <c r="N265" s="510"/>
    </row>
    <row r="266" spans="1:28" x14ac:dyDescent="0.25">
      <c r="A266" s="1449" t="s">
        <v>306</v>
      </c>
      <c r="K266" s="582"/>
      <c r="L266" s="552"/>
      <c r="M266" s="552"/>
    </row>
    <row r="267" spans="1:28" ht="15" customHeight="1" x14ac:dyDescent="0.25">
      <c r="A267" s="2183" t="s">
        <v>8</v>
      </c>
      <c r="B267" s="2183" t="s">
        <v>35</v>
      </c>
      <c r="C267" s="2183"/>
      <c r="D267" s="2183"/>
      <c r="E267" s="2183"/>
      <c r="F267" s="2183" t="s">
        <v>272</v>
      </c>
      <c r="G267" s="2184" t="s">
        <v>2048</v>
      </c>
      <c r="H267" s="2185"/>
      <c r="I267" s="2185"/>
      <c r="J267" s="2186"/>
      <c r="K267" s="552" t="s">
        <v>1478</v>
      </c>
    </row>
    <row r="268" spans="1:28" ht="47.25" customHeight="1" x14ac:dyDescent="0.25">
      <c r="A268" s="2183"/>
      <c r="B268" s="2183"/>
      <c r="C268" s="2183"/>
      <c r="D268" s="2183"/>
      <c r="E268" s="2183"/>
      <c r="F268" s="2183"/>
      <c r="G268" s="1408" t="s">
        <v>515</v>
      </c>
      <c r="H268" s="1408" t="s">
        <v>55</v>
      </c>
      <c r="I268" s="1434" t="s">
        <v>265</v>
      </c>
      <c r="J268" s="1434" t="s">
        <v>256</v>
      </c>
    </row>
    <row r="269" spans="1:28" ht="30" customHeight="1" x14ac:dyDescent="0.25">
      <c r="A269" s="2042">
        <v>1</v>
      </c>
      <c r="B269" s="2108" t="s">
        <v>1841</v>
      </c>
      <c r="C269" s="2272"/>
      <c r="D269" s="2272"/>
      <c r="E269" s="2272"/>
      <c r="F269" s="1175" t="s">
        <v>1646</v>
      </c>
      <c r="G269" s="1417" t="s">
        <v>2062</v>
      </c>
      <c r="H269" s="1363">
        <v>80.599999999999994</v>
      </c>
      <c r="I269" s="1366">
        <v>946.84799999999996</v>
      </c>
      <c r="J269" s="1367">
        <f>H269*I269</f>
        <v>76315.95</v>
      </c>
      <c r="K269" s="555"/>
      <c r="L269" s="1044" t="s">
        <v>1486</v>
      </c>
      <c r="M269" s="1045">
        <v>0</v>
      </c>
      <c r="N269" s="567"/>
      <c r="P269" s="551"/>
      <c r="Q269" s="551"/>
      <c r="R269" s="551"/>
      <c r="S269" s="551"/>
      <c r="T269" s="551"/>
      <c r="U269" s="551"/>
      <c r="V269" s="551"/>
      <c r="W269" s="551"/>
      <c r="X269" s="551"/>
      <c r="Y269" s="551"/>
      <c r="Z269" s="551"/>
      <c r="AA269" s="551"/>
      <c r="AB269" s="551"/>
    </row>
    <row r="270" spans="1:28" ht="30" customHeight="1" x14ac:dyDescent="0.25">
      <c r="A270" s="2042"/>
      <c r="B270" s="2273"/>
      <c r="C270" s="2274"/>
      <c r="D270" s="2274"/>
      <c r="E270" s="2274"/>
      <c r="F270" s="1175" t="s">
        <v>1646</v>
      </c>
      <c r="G270" s="1417" t="s">
        <v>2063</v>
      </c>
      <c r="H270" s="1363">
        <v>462</v>
      </c>
      <c r="I270" s="1366">
        <v>946.84799999999996</v>
      </c>
      <c r="J270" s="1367">
        <f>H270*I270</f>
        <v>437443.78</v>
      </c>
      <c r="K270" s="555"/>
      <c r="L270" s="987"/>
      <c r="M270" s="122"/>
      <c r="N270" s="567"/>
      <c r="P270" s="551"/>
      <c r="Q270" s="551"/>
      <c r="R270" s="551"/>
      <c r="S270" s="551"/>
      <c r="T270" s="551"/>
      <c r="U270" s="551"/>
      <c r="V270" s="551"/>
      <c r="W270" s="551"/>
      <c r="X270" s="551"/>
      <c r="Y270" s="551"/>
      <c r="Z270" s="551"/>
      <c r="AA270" s="551"/>
      <c r="AB270" s="551"/>
    </row>
    <row r="271" spans="1:28" ht="30" hidden="1" customHeight="1" x14ac:dyDescent="0.25">
      <c r="A271" s="2043"/>
      <c r="B271" s="2275"/>
      <c r="C271" s="2276"/>
      <c r="D271" s="2276"/>
      <c r="E271" s="2276"/>
      <c r="F271" s="1175" t="s">
        <v>1646</v>
      </c>
      <c r="G271" s="1417" t="s">
        <v>1844</v>
      </c>
      <c r="H271" s="1363"/>
      <c r="I271" s="1368">
        <v>1062.9359999999999</v>
      </c>
      <c r="J271" s="1363">
        <f>H271*I271</f>
        <v>0</v>
      </c>
      <c r="K271" s="555"/>
      <c r="L271" s="1217"/>
      <c r="M271" s="122"/>
      <c r="N271" s="567"/>
      <c r="P271" s="551"/>
      <c r="Q271" s="551"/>
      <c r="R271" s="551"/>
      <c r="S271" s="551"/>
      <c r="T271" s="551"/>
      <c r="U271" s="551"/>
      <c r="V271" s="551"/>
      <c r="W271" s="551"/>
      <c r="X271" s="551"/>
      <c r="Y271" s="551"/>
      <c r="Z271" s="551"/>
      <c r="AA271" s="551"/>
      <c r="AB271" s="551"/>
    </row>
    <row r="272" spans="1:28" x14ac:dyDescent="0.25">
      <c r="A272" s="2035" t="s">
        <v>39</v>
      </c>
      <c r="B272" s="2035"/>
      <c r="C272" s="2035"/>
      <c r="D272" s="2035"/>
      <c r="E272" s="2035"/>
      <c r="F272" s="2035"/>
      <c r="G272" s="2035"/>
      <c r="H272" s="2035"/>
      <c r="I272" s="2035"/>
      <c r="J272" s="1369">
        <f>SUM(J269:J271)</f>
        <v>513759.73</v>
      </c>
      <c r="K272" s="604"/>
      <c r="N272" s="1021"/>
      <c r="O272" s="825"/>
      <c r="P272" s="551"/>
      <c r="Q272" s="551"/>
      <c r="R272" s="551"/>
      <c r="S272" s="551"/>
      <c r="T272" s="551"/>
      <c r="U272" s="551"/>
      <c r="V272" s="551"/>
      <c r="W272" s="551"/>
      <c r="X272" s="551"/>
      <c r="Y272" s="551"/>
      <c r="Z272" s="551"/>
      <c r="AA272" s="551"/>
      <c r="AB272" s="551"/>
    </row>
    <row r="273" spans="1:28" hidden="1" x14ac:dyDescent="0.25">
      <c r="A273" s="2264" t="s">
        <v>514</v>
      </c>
      <c r="B273" s="2265"/>
      <c r="C273" s="2265"/>
      <c r="D273" s="2265"/>
      <c r="E273" s="2265"/>
      <c r="F273" s="2265"/>
      <c r="G273" s="2265"/>
      <c r="H273" s="2265"/>
      <c r="I273" s="2265"/>
      <c r="J273" s="2265"/>
      <c r="K273" s="570"/>
      <c r="L273" s="570"/>
      <c r="M273" s="828"/>
      <c r="N273" s="508"/>
      <c r="O273" s="508"/>
      <c r="P273" s="551"/>
      <c r="Q273" s="551"/>
      <c r="R273" s="551"/>
      <c r="S273" s="551"/>
      <c r="T273" s="551"/>
      <c r="U273" s="551"/>
      <c r="V273" s="551"/>
      <c r="W273" s="551"/>
      <c r="X273" s="551"/>
      <c r="Y273" s="551"/>
      <c r="Z273" s="551"/>
      <c r="AA273" s="551"/>
      <c r="AB273" s="551"/>
    </row>
    <row r="274" spans="1:28" ht="29.25" hidden="1" customHeight="1" x14ac:dyDescent="0.25">
      <c r="A274" s="1953" t="s">
        <v>1789</v>
      </c>
      <c r="B274" s="1953"/>
      <c r="C274" s="1953"/>
      <c r="D274" s="1953"/>
      <c r="E274" s="1953"/>
      <c r="F274" s="1953"/>
      <c r="G274" s="1953"/>
      <c r="H274" s="1953"/>
      <c r="I274" s="1953"/>
      <c r="J274" s="1432"/>
      <c r="K274" s="564"/>
      <c r="L274" s="739">
        <f>J274-K274</f>
        <v>0</v>
      </c>
      <c r="N274" s="508"/>
      <c r="O274" s="508"/>
      <c r="P274" s="551"/>
      <c r="Q274" s="551"/>
      <c r="R274" s="551"/>
      <c r="S274" s="551"/>
      <c r="T274" s="551"/>
      <c r="U274" s="551"/>
      <c r="V274" s="551"/>
      <c r="W274" s="551"/>
      <c r="X274" s="551"/>
      <c r="Y274" s="551"/>
      <c r="Z274" s="551"/>
      <c r="AA274" s="551"/>
      <c r="AB274" s="551"/>
    </row>
    <row r="275" spans="1:28" ht="29.25" hidden="1" customHeight="1" x14ac:dyDescent="0.25">
      <c r="A275" s="1953" t="s">
        <v>1790</v>
      </c>
      <c r="B275" s="1953"/>
      <c r="C275" s="1953"/>
      <c r="D275" s="1953"/>
      <c r="E275" s="1953"/>
      <c r="F275" s="1953"/>
      <c r="G275" s="1953"/>
      <c r="H275" s="1953"/>
      <c r="I275" s="1953"/>
      <c r="J275" s="1432"/>
      <c r="K275" s="564"/>
      <c r="L275" s="739">
        <f>J275-K275</f>
        <v>0</v>
      </c>
      <c r="M275" s="1298"/>
      <c r="N275" s="600"/>
      <c r="O275" s="508"/>
      <c r="P275" s="551"/>
      <c r="Q275" s="551"/>
      <c r="R275" s="551"/>
      <c r="S275" s="551"/>
      <c r="T275" s="551"/>
      <c r="U275" s="551"/>
      <c r="V275" s="551"/>
      <c r="W275" s="551"/>
      <c r="X275" s="551"/>
      <c r="Y275" s="551"/>
      <c r="Z275" s="551"/>
      <c r="AA275" s="551"/>
      <c r="AB275" s="551"/>
    </row>
    <row r="276" spans="1:28" hidden="1" x14ac:dyDescent="0.25">
      <c r="A276" s="2258" t="s">
        <v>619</v>
      </c>
      <c r="B276" s="2258"/>
      <c r="C276" s="2258"/>
      <c r="D276" s="2258"/>
      <c r="E276" s="2258"/>
      <c r="F276" s="2258"/>
      <c r="G276" s="2258"/>
      <c r="H276" s="2258"/>
      <c r="I276" s="2258"/>
      <c r="J276" s="1024"/>
      <c r="K276" s="564">
        <v>0</v>
      </c>
      <c r="L276" s="739">
        <f>J276-K276</f>
        <v>0</v>
      </c>
      <c r="M276" s="1022"/>
      <c r="N276" s="508"/>
      <c r="O276" s="508"/>
      <c r="P276" s="551"/>
      <c r="Q276" s="551"/>
      <c r="R276" s="551"/>
      <c r="S276" s="551"/>
      <c r="T276" s="551"/>
      <c r="U276" s="551"/>
      <c r="V276" s="551"/>
      <c r="W276" s="551"/>
      <c r="X276" s="551"/>
      <c r="Y276" s="551"/>
      <c r="Z276" s="551"/>
      <c r="AA276" s="551"/>
      <c r="AB276" s="551"/>
    </row>
    <row r="277" spans="1:28" hidden="1" x14ac:dyDescent="0.25">
      <c r="A277" s="2258" t="s">
        <v>1147</v>
      </c>
      <c r="B277" s="2258"/>
      <c r="C277" s="2258"/>
      <c r="D277" s="2258"/>
      <c r="E277" s="2258"/>
      <c r="F277" s="2258"/>
      <c r="G277" s="2258"/>
      <c r="H277" s="2258"/>
      <c r="I277" s="2258"/>
      <c r="J277" s="360"/>
      <c r="K277" s="953"/>
      <c r="L277" s="553"/>
      <c r="M277" s="1023"/>
      <c r="N277" s="1021"/>
      <c r="O277" s="508"/>
      <c r="P277" s="551"/>
      <c r="Q277" s="551"/>
      <c r="R277" s="551"/>
      <c r="S277" s="551"/>
      <c r="T277" s="551"/>
      <c r="U277" s="551"/>
      <c r="V277" s="551"/>
      <c r="W277" s="551"/>
      <c r="X277" s="551"/>
      <c r="Y277" s="551"/>
      <c r="Z277" s="551"/>
      <c r="AA277" s="551"/>
      <c r="AB277" s="551"/>
    </row>
    <row r="278" spans="1:28" x14ac:dyDescent="0.25">
      <c r="A278" s="560"/>
      <c r="B278" s="560"/>
      <c r="C278" s="560"/>
      <c r="D278" s="560"/>
      <c r="E278" s="560"/>
      <c r="F278" s="560"/>
      <c r="G278" s="560"/>
      <c r="H278" s="554"/>
      <c r="I278" s="554"/>
      <c r="J278" s="554"/>
      <c r="K278" s="553"/>
      <c r="L278" s="553"/>
      <c r="M278" s="122"/>
      <c r="N278" s="567"/>
      <c r="O278" s="551"/>
      <c r="P278" s="551"/>
      <c r="Q278" s="551"/>
      <c r="R278" s="551"/>
      <c r="S278" s="551"/>
      <c r="T278" s="551"/>
      <c r="U278" s="551"/>
      <c r="V278" s="551"/>
      <c r="W278" s="551"/>
      <c r="X278" s="551"/>
      <c r="Y278" s="551"/>
      <c r="Z278" s="551"/>
      <c r="AA278" s="551"/>
      <c r="AB278" s="551"/>
    </row>
    <row r="279" spans="1:28" ht="30" hidden="1" x14ac:dyDescent="0.25">
      <c r="A279" s="1447">
        <v>20</v>
      </c>
      <c r="B279" s="2283" t="s">
        <v>1711</v>
      </c>
      <c r="C279" s="2219"/>
      <c r="D279" s="2219"/>
      <c r="E279" s="2219"/>
      <c r="F279" s="1175" t="s">
        <v>750</v>
      </c>
      <c r="G279" s="1417" t="s">
        <v>1645</v>
      </c>
      <c r="H279" s="1239"/>
      <c r="I279" s="1237">
        <v>55.86</v>
      </c>
      <c r="J279" s="1434">
        <f>H279*I279</f>
        <v>0</v>
      </c>
      <c r="K279" s="553"/>
      <c r="L279" s="1238"/>
      <c r="M279" s="122"/>
      <c r="N279" s="567"/>
      <c r="O279" s="551"/>
      <c r="P279" s="551"/>
      <c r="Q279" s="551"/>
      <c r="R279" s="551"/>
      <c r="S279" s="551"/>
      <c r="T279" s="551"/>
      <c r="U279" s="551"/>
      <c r="V279" s="551"/>
      <c r="W279" s="551"/>
      <c r="X279" s="551"/>
      <c r="Y279" s="551"/>
      <c r="Z279" s="551"/>
      <c r="AA279" s="551"/>
      <c r="AB279" s="551"/>
    </row>
    <row r="280" spans="1:28" hidden="1" x14ac:dyDescent="0.25">
      <c r="A280" s="2284" t="s">
        <v>39</v>
      </c>
      <c r="B280" s="2284"/>
      <c r="C280" s="2284"/>
      <c r="D280" s="2284"/>
      <c r="E280" s="2284"/>
      <c r="F280" s="2284"/>
      <c r="G280" s="2173" t="s">
        <v>82</v>
      </c>
      <c r="H280" s="1191" t="s">
        <v>82</v>
      </c>
      <c r="I280" s="1190" t="s">
        <v>82</v>
      </c>
      <c r="J280" s="1192">
        <f>SUM(J279:J279)</f>
        <v>0</v>
      </c>
      <c r="K280" s="553"/>
      <c r="L280" s="553"/>
      <c r="M280" s="122"/>
      <c r="N280" s="567"/>
      <c r="O280" s="551"/>
      <c r="P280" s="551"/>
      <c r="Q280" s="551"/>
      <c r="R280" s="551"/>
      <c r="S280" s="551"/>
      <c r="T280" s="551"/>
      <c r="U280" s="551"/>
      <c r="V280" s="551"/>
      <c r="W280" s="551"/>
      <c r="X280" s="551"/>
      <c r="Y280" s="551"/>
      <c r="Z280" s="551"/>
      <c r="AA280" s="551"/>
      <c r="AB280" s="551"/>
    </row>
    <row r="281" spans="1:28" hidden="1" x14ac:dyDescent="0.25">
      <c r="A281" s="2264" t="s">
        <v>514</v>
      </c>
      <c r="B281" s="2265"/>
      <c r="C281" s="2265"/>
      <c r="D281" s="2265"/>
      <c r="E281" s="2265"/>
      <c r="F281" s="2265"/>
      <c r="G281" s="2265"/>
      <c r="H281" s="2265"/>
      <c r="I281" s="2265"/>
      <c r="J281" s="2265"/>
      <c r="K281" s="553"/>
      <c r="L281" s="553"/>
      <c r="M281" s="122"/>
      <c r="N281" s="567"/>
      <c r="O281" s="551"/>
      <c r="P281" s="551"/>
      <c r="Q281" s="551"/>
      <c r="R281" s="551"/>
      <c r="S281" s="551"/>
      <c r="T281" s="551"/>
      <c r="U281" s="551"/>
      <c r="V281" s="551"/>
      <c r="W281" s="551"/>
      <c r="X281" s="551"/>
      <c r="Y281" s="551"/>
      <c r="Z281" s="551"/>
      <c r="AA281" s="551"/>
      <c r="AB281" s="551"/>
    </row>
    <row r="282" spans="1:28" hidden="1" x14ac:dyDescent="0.25">
      <c r="A282" s="2266" t="s">
        <v>1134</v>
      </c>
      <c r="B282" s="2266"/>
      <c r="C282" s="2266"/>
      <c r="D282" s="2266"/>
      <c r="E282" s="2266"/>
      <c r="F282" s="2266"/>
      <c r="G282" s="2266"/>
      <c r="H282" s="2266"/>
      <c r="I282" s="2266"/>
      <c r="J282" s="1435">
        <v>0</v>
      </c>
      <c r="K282" s="553"/>
      <c r="L282" s="553"/>
      <c r="M282" s="122"/>
      <c r="N282" s="567"/>
      <c r="O282" s="551"/>
      <c r="P282" s="551"/>
      <c r="Q282" s="551"/>
      <c r="R282" s="551"/>
      <c r="S282" s="551"/>
      <c r="T282" s="551"/>
      <c r="U282" s="551"/>
      <c r="V282" s="551"/>
      <c r="W282" s="551"/>
      <c r="X282" s="551"/>
      <c r="Y282" s="551"/>
      <c r="Z282" s="551"/>
      <c r="AA282" s="551"/>
      <c r="AB282" s="551"/>
    </row>
    <row r="283" spans="1:28" hidden="1" x14ac:dyDescent="0.25">
      <c r="A283" s="2266" t="s">
        <v>153</v>
      </c>
      <c r="B283" s="2266"/>
      <c r="C283" s="2266"/>
      <c r="D283" s="2266"/>
      <c r="E283" s="2266"/>
      <c r="F283" s="2266"/>
      <c r="G283" s="2266"/>
      <c r="H283" s="2266"/>
      <c r="I283" s="2266"/>
      <c r="J283" s="1435">
        <v>29878.15</v>
      </c>
      <c r="K283" s="553"/>
      <c r="L283" s="553"/>
      <c r="M283" s="122"/>
      <c r="N283" s="567"/>
      <c r="O283" s="551"/>
      <c r="P283" s="551"/>
      <c r="Q283" s="551"/>
      <c r="R283" s="551"/>
      <c r="S283" s="551"/>
      <c r="T283" s="551"/>
      <c r="U283" s="551"/>
      <c r="V283" s="551"/>
      <c r="W283" s="551"/>
      <c r="X283" s="551"/>
      <c r="Y283" s="551"/>
      <c r="Z283" s="551"/>
      <c r="AA283" s="551"/>
      <c r="AB283" s="551"/>
    </row>
    <row r="284" spans="1:28" hidden="1" x14ac:dyDescent="0.25">
      <c r="A284" s="2258" t="s">
        <v>619</v>
      </c>
      <c r="B284" s="2258"/>
      <c r="C284" s="2258"/>
      <c r="D284" s="2258"/>
      <c r="E284" s="2258"/>
      <c r="F284" s="2258"/>
      <c r="G284" s="2258"/>
      <c r="H284" s="2258"/>
      <c r="I284" s="2258"/>
      <c r="J284" s="624">
        <v>0</v>
      </c>
      <c r="K284" s="553"/>
      <c r="L284" s="553"/>
      <c r="M284" s="122"/>
      <c r="N284" s="567"/>
      <c r="O284" s="551"/>
      <c r="P284" s="551"/>
      <c r="Q284" s="551"/>
      <c r="R284" s="551"/>
      <c r="S284" s="551"/>
      <c r="T284" s="551"/>
      <c r="U284" s="551"/>
      <c r="V284" s="551"/>
      <c r="W284" s="551"/>
      <c r="X284" s="551"/>
      <c r="Y284" s="551"/>
      <c r="Z284" s="551"/>
      <c r="AA284" s="551"/>
      <c r="AB284" s="551"/>
    </row>
    <row r="285" spans="1:28" hidden="1" x14ac:dyDescent="0.25">
      <c r="A285" s="2258" t="s">
        <v>1147</v>
      </c>
      <c r="B285" s="2281"/>
      <c r="C285" s="2281"/>
      <c r="D285" s="2281"/>
      <c r="E285" s="2281"/>
      <c r="F285" s="2281"/>
      <c r="G285" s="2281"/>
      <c r="H285" s="2281"/>
      <c r="I285" s="2281"/>
      <c r="J285" s="1240">
        <f>J280-J282-J283-J284</f>
        <v>-29878.15</v>
      </c>
      <c r="K285" s="553"/>
      <c r="L285" s="553"/>
      <c r="M285" s="822"/>
      <c r="N285" s="567"/>
      <c r="O285" s="551"/>
      <c r="P285" s="551"/>
      <c r="Q285" s="551"/>
      <c r="R285" s="551"/>
      <c r="S285" s="551"/>
      <c r="T285" s="551"/>
      <c r="U285" s="551"/>
      <c r="V285" s="551"/>
      <c r="W285" s="551"/>
      <c r="X285" s="551"/>
      <c r="Y285" s="551"/>
      <c r="Z285" s="551"/>
      <c r="AA285" s="551"/>
      <c r="AB285" s="551"/>
    </row>
    <row r="286" spans="1:28" hidden="1" x14ac:dyDescent="0.25">
      <c r="A286" s="1241"/>
      <c r="B286" s="779"/>
      <c r="C286" s="779"/>
      <c r="D286" s="779"/>
      <c r="E286" s="779"/>
      <c r="F286" s="779"/>
      <c r="G286" s="779"/>
      <c r="H286" s="779"/>
      <c r="I286" s="779"/>
      <c r="J286" s="720"/>
      <c r="K286" s="553"/>
      <c r="L286" s="553"/>
      <c r="M286" s="822"/>
      <c r="N286" s="567"/>
      <c r="O286" s="551"/>
      <c r="P286" s="551"/>
      <c r="Q286" s="551"/>
      <c r="R286" s="551"/>
      <c r="S286" s="551"/>
      <c r="T286" s="551"/>
      <c r="U286" s="551"/>
      <c r="V286" s="551"/>
      <c r="W286" s="551"/>
      <c r="X286" s="551"/>
      <c r="Y286" s="551"/>
      <c r="Z286" s="551"/>
      <c r="AA286" s="551"/>
      <c r="AB286" s="551"/>
    </row>
    <row r="287" spans="1:28" s="556" customFormat="1" hidden="1" x14ac:dyDescent="0.25">
      <c r="A287" s="2282" t="s">
        <v>619</v>
      </c>
      <c r="B287" s="2282"/>
      <c r="C287" s="2282"/>
      <c r="D287" s="2282"/>
      <c r="E287" s="2282"/>
      <c r="F287" s="2282"/>
      <c r="G287" s="2282"/>
      <c r="H287" s="2282"/>
      <c r="I287" s="2282"/>
      <c r="J287" s="627" t="e">
        <f>#REF!+J276+J284</f>
        <v>#REF!</v>
      </c>
      <c r="K287" s="510"/>
      <c r="L287" s="553">
        <v>100000</v>
      </c>
      <c r="M287" s="552" t="e">
        <f>J287-L287</f>
        <v>#REF!</v>
      </c>
      <c r="N287" s="1043"/>
    </row>
    <row r="288" spans="1:28" s="556" customFormat="1" hidden="1" x14ac:dyDescent="0.25">
      <c r="A288" s="2282" t="s">
        <v>1147</v>
      </c>
      <c r="B288" s="2282"/>
      <c r="C288" s="2282"/>
      <c r="D288" s="2282"/>
      <c r="E288" s="2282"/>
      <c r="F288" s="2282"/>
      <c r="G288" s="2282"/>
      <c r="H288" s="2282"/>
      <c r="I288" s="2282"/>
      <c r="J288" s="571" t="e">
        <f>#REF!+J277+J285</f>
        <v>#REF!</v>
      </c>
      <c r="K288" s="510"/>
      <c r="L288" s="553">
        <v>636028.56000000006</v>
      </c>
      <c r="M288" s="552" t="e">
        <f>J288-L288</f>
        <v>#REF!</v>
      </c>
      <c r="N288" s="1043"/>
    </row>
    <row r="289" spans="1:28" x14ac:dyDescent="0.25">
      <c r="A289" s="507" t="s">
        <v>63</v>
      </c>
      <c r="B289" s="504"/>
      <c r="C289" s="504"/>
      <c r="D289" s="508"/>
      <c r="E289" s="509" t="s">
        <v>78</v>
      </c>
      <c r="J289" s="511">
        <f>J290</f>
        <v>1778005.41</v>
      </c>
      <c r="K289" s="341"/>
      <c r="L289" s="2" t="s">
        <v>1284</v>
      </c>
      <c r="M289" s="75"/>
      <c r="N289" s="75"/>
      <c r="O289" s="551"/>
      <c r="P289" s="551"/>
      <c r="Q289" s="551"/>
      <c r="R289" s="551"/>
      <c r="S289" s="551"/>
      <c r="T289" s="551"/>
      <c r="U289" s="551"/>
      <c r="V289" s="551"/>
      <c r="W289" s="551"/>
      <c r="X289" s="551"/>
      <c r="Y289" s="551"/>
      <c r="Z289" s="551"/>
      <c r="AA289" s="551"/>
      <c r="AB289" s="551"/>
    </row>
    <row r="290" spans="1:28" x14ac:dyDescent="0.25">
      <c r="A290" s="786" t="s">
        <v>26</v>
      </c>
      <c r="B290" s="794"/>
      <c r="C290" s="794"/>
      <c r="D290" s="935"/>
      <c r="E290" s="793" t="s">
        <v>624</v>
      </c>
      <c r="F290" s="787"/>
      <c r="G290" s="787"/>
      <c r="H290" s="788"/>
      <c r="I290" s="986"/>
      <c r="J290" s="789">
        <f>J291</f>
        <v>1778005.41</v>
      </c>
      <c r="K290" s="341"/>
      <c r="L290" s="2" t="s">
        <v>1285</v>
      </c>
      <c r="M290" s="81"/>
      <c r="N290" s="341"/>
      <c r="O290" s="551"/>
      <c r="P290" s="551"/>
      <c r="Q290" s="551"/>
      <c r="R290" s="551"/>
      <c r="S290" s="551"/>
      <c r="T290" s="551"/>
      <c r="U290" s="551"/>
      <c r="V290" s="551"/>
      <c r="W290" s="551"/>
      <c r="X290" s="551"/>
      <c r="Y290" s="551"/>
      <c r="Z290" s="551"/>
      <c r="AA290" s="551"/>
      <c r="AB290" s="551"/>
    </row>
    <row r="291" spans="1:28" x14ac:dyDescent="0.25">
      <c r="A291" s="507" t="s">
        <v>27</v>
      </c>
      <c r="B291" s="504"/>
      <c r="C291" s="504"/>
      <c r="D291" s="508"/>
      <c r="E291" s="71" t="s">
        <v>1830</v>
      </c>
      <c r="J291" s="506">
        <f>J304+J314+J321+J327+J333+J345+J366+J377+J389+J396+J410+J424+J444+J464+J470</f>
        <v>1778005.41</v>
      </c>
      <c r="K291" s="341"/>
      <c r="L291" s="828" t="s">
        <v>1286</v>
      </c>
      <c r="M291" s="573"/>
      <c r="N291" s="829" t="s">
        <v>1287</v>
      </c>
      <c r="O291" s="565">
        <f>K290+M291</f>
        <v>0</v>
      </c>
      <c r="P291" s="551"/>
      <c r="Q291" s="551"/>
      <c r="R291" s="551"/>
      <c r="S291" s="551"/>
      <c r="T291" s="551"/>
      <c r="U291" s="551"/>
      <c r="V291" s="551"/>
      <c r="W291" s="551"/>
      <c r="X291" s="551"/>
      <c r="Y291" s="551"/>
      <c r="Z291" s="551"/>
      <c r="AA291" s="551"/>
      <c r="AB291" s="551"/>
    </row>
    <row r="292" spans="1:28" x14ac:dyDescent="0.25">
      <c r="A292" s="1449" t="s">
        <v>1080</v>
      </c>
      <c r="B292" s="504"/>
      <c r="C292" s="504"/>
      <c r="D292" s="508"/>
      <c r="E292" s="509"/>
      <c r="K292" s="565"/>
      <c r="M292" s="551"/>
      <c r="N292" s="551"/>
      <c r="O292" s="551"/>
      <c r="P292" s="551"/>
      <c r="Q292" s="551"/>
      <c r="R292" s="551"/>
      <c r="S292" s="551"/>
      <c r="T292" s="551"/>
      <c r="U292" s="551"/>
      <c r="V292" s="551"/>
      <c r="W292" s="551"/>
      <c r="X292" s="551"/>
      <c r="Y292" s="551"/>
      <c r="Z292" s="551"/>
      <c r="AA292" s="551"/>
      <c r="AB292" s="551"/>
    </row>
    <row r="293" spans="1:28" x14ac:dyDescent="0.25">
      <c r="A293" s="2183" t="s">
        <v>8</v>
      </c>
      <c r="B293" s="2201" t="s">
        <v>1</v>
      </c>
      <c r="C293" s="2202"/>
      <c r="D293" s="2203"/>
      <c r="E293" s="2203"/>
      <c r="F293" s="2183" t="s">
        <v>2048</v>
      </c>
      <c r="G293" s="2183"/>
      <c r="H293" s="2183"/>
      <c r="I293" s="2183"/>
      <c r="J293" s="2183"/>
      <c r="K293" s="565" t="s">
        <v>1478</v>
      </c>
      <c r="L293" s="551"/>
      <c r="M293" s="551"/>
      <c r="N293" s="551"/>
      <c r="O293" s="551"/>
      <c r="P293" s="551"/>
      <c r="Q293" s="551"/>
      <c r="R293" s="551"/>
      <c r="S293" s="551"/>
      <c r="T293" s="551"/>
      <c r="U293" s="551"/>
      <c r="V293" s="551"/>
      <c r="W293" s="551"/>
      <c r="X293" s="551"/>
      <c r="Y293" s="551"/>
      <c r="Z293" s="551"/>
      <c r="AA293" s="551"/>
      <c r="AB293" s="551"/>
    </row>
    <row r="294" spans="1:28" ht="34.5" customHeight="1" x14ac:dyDescent="0.25">
      <c r="A294" s="2183"/>
      <c r="B294" s="2206"/>
      <c r="C294" s="2207"/>
      <c r="D294" s="2207"/>
      <c r="E294" s="2207"/>
      <c r="F294" s="1408" t="s">
        <v>736</v>
      </c>
      <c r="G294" s="1408" t="s">
        <v>737</v>
      </c>
      <c r="H294" s="1408" t="s">
        <v>738</v>
      </c>
      <c r="I294" s="1434" t="s">
        <v>254</v>
      </c>
      <c r="J294" s="1434" t="s">
        <v>256</v>
      </c>
      <c r="K294" s="551"/>
      <c r="L294" s="551"/>
      <c r="M294" s="551"/>
      <c r="N294" s="551"/>
      <c r="O294" s="551"/>
      <c r="P294" s="551"/>
      <c r="Q294" s="551"/>
      <c r="R294" s="551"/>
      <c r="S294" s="551"/>
      <c r="T294" s="551"/>
      <c r="U294" s="551"/>
      <c r="V294" s="551"/>
      <c r="W294" s="551"/>
      <c r="X294" s="551"/>
      <c r="Y294" s="551"/>
      <c r="Z294" s="551"/>
      <c r="AA294" s="551"/>
      <c r="AB294" s="551"/>
    </row>
    <row r="295" spans="1:28" x14ac:dyDescent="0.25">
      <c r="A295" s="1902" t="s">
        <v>1168</v>
      </c>
      <c r="B295" s="2104"/>
      <c r="C295" s="2105"/>
      <c r="D295" s="2104"/>
      <c r="E295" s="2104"/>
      <c r="F295" s="2104"/>
      <c r="G295" s="2104"/>
      <c r="H295" s="2104"/>
      <c r="I295" s="2104"/>
      <c r="J295" s="2106"/>
      <c r="K295" s="551"/>
      <c r="L295" s="551"/>
      <c r="M295" s="551"/>
      <c r="N295" s="551"/>
      <c r="O295" s="551"/>
      <c r="P295" s="551"/>
      <c r="Q295" s="551"/>
      <c r="R295" s="551"/>
      <c r="S295" s="551"/>
      <c r="T295" s="551"/>
      <c r="U295" s="551"/>
      <c r="V295" s="551"/>
      <c r="W295" s="551"/>
      <c r="X295" s="551"/>
      <c r="Y295" s="551"/>
      <c r="Z295" s="551"/>
      <c r="AA295" s="551"/>
      <c r="AB295" s="551"/>
    </row>
    <row r="296" spans="1:28" x14ac:dyDescent="0.25">
      <c r="A296" s="1447">
        <v>1</v>
      </c>
      <c r="B296" s="2210" t="s">
        <v>1079</v>
      </c>
      <c r="C296" s="2211"/>
      <c r="D296" s="2212"/>
      <c r="E296" s="2212"/>
      <c r="F296" s="1434" t="s">
        <v>739</v>
      </c>
      <c r="G296" s="1434">
        <v>4428.8</v>
      </c>
      <c r="H296" s="572">
        <v>3.5999999999999997E-2</v>
      </c>
      <c r="I296" s="513">
        <v>12</v>
      </c>
      <c r="J296" s="1434">
        <f>G296*H296*I296</f>
        <v>1913.24</v>
      </c>
      <c r="K296" s="610"/>
      <c r="M296" s="551"/>
      <c r="N296" s="551"/>
      <c r="O296" s="551"/>
      <c r="P296" s="551"/>
      <c r="Q296" s="551"/>
      <c r="R296" s="551"/>
      <c r="S296" s="551"/>
      <c r="T296" s="551"/>
      <c r="U296" s="551"/>
      <c r="V296" s="551"/>
      <c r="W296" s="551"/>
      <c r="X296" s="551"/>
      <c r="Y296" s="551"/>
      <c r="Z296" s="551"/>
      <c r="AA296" s="551"/>
      <c r="AB296" s="551"/>
    </row>
    <row r="297" spans="1:28" x14ac:dyDescent="0.25">
      <c r="A297" s="991">
        <v>2</v>
      </c>
      <c r="B297" s="1428" t="s">
        <v>740</v>
      </c>
      <c r="C297" s="1430"/>
      <c r="D297" s="1430"/>
      <c r="E297" s="1430"/>
      <c r="F297" s="1434" t="s">
        <v>739</v>
      </c>
      <c r="G297" s="992">
        <v>4428.8</v>
      </c>
      <c r="H297" s="1197">
        <v>3.5999999999999997E-2</v>
      </c>
      <c r="I297" s="1229">
        <v>11</v>
      </c>
      <c r="J297" s="1434">
        <f>G297*H297*I297</f>
        <v>1753.8</v>
      </c>
      <c r="K297" s="610"/>
      <c r="M297" s="551"/>
      <c r="N297" s="551"/>
      <c r="O297" s="551"/>
      <c r="P297" s="551"/>
      <c r="Q297" s="551"/>
      <c r="R297" s="551"/>
      <c r="S297" s="551"/>
      <c r="T297" s="551"/>
      <c r="U297" s="551"/>
      <c r="V297" s="551"/>
      <c r="W297" s="551"/>
      <c r="X297" s="551"/>
      <c r="Y297" s="551"/>
      <c r="Z297" s="551"/>
      <c r="AA297" s="551"/>
      <c r="AB297" s="551"/>
    </row>
    <row r="298" spans="1:28" x14ac:dyDescent="0.25">
      <c r="A298" s="991">
        <v>3</v>
      </c>
      <c r="B298" s="1428" t="s">
        <v>740</v>
      </c>
      <c r="C298" s="1430"/>
      <c r="D298" s="1430"/>
      <c r="E298" s="1430"/>
      <c r="F298" s="992" t="s">
        <v>739</v>
      </c>
      <c r="G298" s="992">
        <v>4427.8</v>
      </c>
      <c r="H298" s="572">
        <v>3.5999999999999997E-2</v>
      </c>
      <c r="I298" s="513">
        <v>1</v>
      </c>
      <c r="J298" s="1434">
        <f>G298*H298*I298</f>
        <v>159.4</v>
      </c>
      <c r="K298" s="610"/>
      <c r="M298" s="551"/>
      <c r="N298" s="551"/>
      <c r="O298" s="551"/>
      <c r="P298" s="551"/>
      <c r="Q298" s="551"/>
      <c r="R298" s="551"/>
      <c r="S298" s="551"/>
      <c r="T298" s="551"/>
      <c r="U298" s="551"/>
      <c r="V298" s="551"/>
      <c r="W298" s="551"/>
      <c r="X298" s="551"/>
      <c r="Y298" s="551"/>
      <c r="Z298" s="551"/>
      <c r="AA298" s="551"/>
      <c r="AB298" s="551"/>
    </row>
    <row r="299" spans="1:28" x14ac:dyDescent="0.25">
      <c r="A299" s="2285">
        <v>4</v>
      </c>
      <c r="B299" s="2029" t="s">
        <v>740</v>
      </c>
      <c r="C299" s="2030"/>
      <c r="D299" s="2030"/>
      <c r="E299" s="2031"/>
      <c r="F299" s="2290" t="s">
        <v>739</v>
      </c>
      <c r="G299" s="2290">
        <v>1</v>
      </c>
      <c r="H299" s="1404">
        <v>39.96</v>
      </c>
      <c r="I299" s="513">
        <v>1</v>
      </c>
      <c r="J299" s="1434">
        <f>G299*H299*I299</f>
        <v>39.96</v>
      </c>
      <c r="K299" s="967"/>
      <c r="L299" s="551"/>
      <c r="M299" s="551"/>
      <c r="N299" s="551"/>
      <c r="O299" s="551"/>
      <c r="P299" s="551"/>
      <c r="Q299" s="551"/>
      <c r="R299" s="551"/>
      <c r="S299" s="551"/>
      <c r="T299" s="551"/>
      <c r="U299" s="551"/>
      <c r="V299" s="551"/>
      <c r="W299" s="551"/>
      <c r="X299" s="551"/>
      <c r="Y299" s="551"/>
      <c r="Z299" s="551"/>
      <c r="AA299" s="551"/>
      <c r="AB299" s="551"/>
    </row>
    <row r="300" spans="1:28" hidden="1" x14ac:dyDescent="0.25">
      <c r="A300" s="2162"/>
      <c r="B300" s="2287"/>
      <c r="C300" s="2288"/>
      <c r="D300" s="2288"/>
      <c r="E300" s="2289"/>
      <c r="F300" s="2291"/>
      <c r="G300" s="2291"/>
      <c r="H300" s="723">
        <v>9.3437999999999993E-2</v>
      </c>
      <c r="I300" s="513"/>
      <c r="J300" s="1434">
        <f>G299*H300*I300</f>
        <v>0</v>
      </c>
      <c r="K300" s="610"/>
      <c r="L300" s="551"/>
      <c r="M300" s="551"/>
      <c r="N300" s="551"/>
      <c r="O300" s="551"/>
      <c r="P300" s="551"/>
      <c r="Q300" s="551"/>
      <c r="R300" s="551"/>
      <c r="S300" s="551"/>
      <c r="T300" s="551"/>
      <c r="U300" s="551"/>
      <c r="V300" s="551"/>
      <c r="W300" s="551"/>
      <c r="X300" s="551"/>
      <c r="Y300" s="551"/>
      <c r="Z300" s="551"/>
      <c r="AA300" s="551"/>
      <c r="AB300" s="551"/>
    </row>
    <row r="301" spans="1:28" x14ac:dyDescent="0.25">
      <c r="A301" s="2245" t="s">
        <v>1854</v>
      </c>
      <c r="B301" s="2246"/>
      <c r="C301" s="2247"/>
      <c r="D301" s="2246"/>
      <c r="E301" s="2246"/>
      <c r="F301" s="2246"/>
      <c r="G301" s="2246"/>
      <c r="H301" s="2246"/>
      <c r="I301" s="2246"/>
      <c r="J301" s="2248"/>
      <c r="K301" s="551"/>
      <c r="L301" s="551"/>
      <c r="M301" s="551"/>
      <c r="N301" s="551"/>
      <c r="O301" s="551"/>
      <c r="P301" s="551"/>
      <c r="Q301" s="551"/>
      <c r="R301" s="551"/>
      <c r="S301" s="551"/>
      <c r="T301" s="551"/>
      <c r="U301" s="551"/>
      <c r="V301" s="551"/>
      <c r="W301" s="551"/>
      <c r="X301" s="551"/>
      <c r="Y301" s="551"/>
      <c r="Z301" s="551"/>
      <c r="AA301" s="551"/>
      <c r="AB301" s="551"/>
    </row>
    <row r="302" spans="1:28" x14ac:dyDescent="0.25">
      <c r="A302" s="1447">
        <v>5</v>
      </c>
      <c r="B302" s="2210" t="s">
        <v>1079</v>
      </c>
      <c r="C302" s="2211"/>
      <c r="D302" s="2212"/>
      <c r="E302" s="2212"/>
      <c r="F302" s="1434" t="s">
        <v>739</v>
      </c>
      <c r="G302" s="1434">
        <v>20806.900000000001</v>
      </c>
      <c r="H302" s="572">
        <v>3.5999999999999997E-2</v>
      </c>
      <c r="I302" s="513">
        <v>12</v>
      </c>
      <c r="J302" s="1434">
        <f>G302*H302*I302</f>
        <v>8988.58</v>
      </c>
      <c r="K302" s="610"/>
      <c r="M302" s="551"/>
      <c r="N302" s="551"/>
      <c r="O302" s="551"/>
      <c r="P302" s="551"/>
      <c r="Q302" s="551"/>
      <c r="R302" s="551"/>
      <c r="S302" s="551"/>
      <c r="T302" s="551"/>
      <c r="U302" s="551"/>
      <c r="V302" s="551"/>
      <c r="W302" s="551"/>
      <c r="X302" s="551"/>
      <c r="Y302" s="551"/>
      <c r="Z302" s="551"/>
      <c r="AA302" s="551"/>
      <c r="AB302" s="551"/>
    </row>
    <row r="303" spans="1:28" x14ac:dyDescent="0.25">
      <c r="A303" s="1447">
        <v>6</v>
      </c>
      <c r="B303" s="2210" t="s">
        <v>740</v>
      </c>
      <c r="C303" s="2211"/>
      <c r="D303" s="2212"/>
      <c r="E303" s="2212"/>
      <c r="F303" s="1434" t="s">
        <v>739</v>
      </c>
      <c r="G303" s="1434">
        <v>20806.900000000001</v>
      </c>
      <c r="H303" s="572">
        <v>3.5999999999999997E-2</v>
      </c>
      <c r="I303" s="513">
        <v>12</v>
      </c>
      <c r="J303" s="1434">
        <f>G303*H303*I303</f>
        <v>8988.58</v>
      </c>
      <c r="K303" s="610"/>
      <c r="M303" s="551"/>
      <c r="N303" s="551"/>
      <c r="O303" s="551"/>
      <c r="P303" s="551"/>
      <c r="Q303" s="551"/>
      <c r="R303" s="551"/>
      <c r="S303" s="551"/>
      <c r="T303" s="551"/>
      <c r="U303" s="551"/>
      <c r="V303" s="551"/>
      <c r="W303" s="551"/>
      <c r="X303" s="551"/>
      <c r="Y303" s="551"/>
      <c r="Z303" s="551"/>
      <c r="AA303" s="551"/>
      <c r="AB303" s="551"/>
    </row>
    <row r="304" spans="1:28" x14ac:dyDescent="0.25">
      <c r="A304" s="2181" t="s">
        <v>39</v>
      </c>
      <c r="B304" s="2181"/>
      <c r="C304" s="2181"/>
      <c r="D304" s="2181"/>
      <c r="E304" s="2181"/>
      <c r="F304" s="2181"/>
      <c r="G304" s="2181"/>
      <c r="H304" s="2181"/>
      <c r="I304" s="2181"/>
      <c r="J304" s="1406">
        <f>SUM(J296:J303)</f>
        <v>21843.56</v>
      </c>
      <c r="K304" s="1442"/>
      <c r="L304" s="739"/>
      <c r="M304" s="610"/>
      <c r="N304" s="551"/>
      <c r="O304" s="551"/>
      <c r="P304" s="551"/>
      <c r="Q304" s="551"/>
      <c r="R304" s="551"/>
      <c r="S304" s="551"/>
      <c r="T304" s="551"/>
      <c r="U304" s="551"/>
      <c r="V304" s="551"/>
      <c r="W304" s="551"/>
      <c r="X304" s="551"/>
      <c r="Y304" s="551"/>
      <c r="Z304" s="551"/>
      <c r="AA304" s="551"/>
      <c r="AB304" s="551"/>
    </row>
    <row r="305" spans="1:28" x14ac:dyDescent="0.25">
      <c r="A305" s="657"/>
      <c r="B305" s="657"/>
      <c r="C305" s="657"/>
      <c r="D305" s="657"/>
      <c r="E305" s="657"/>
      <c r="F305" s="657"/>
      <c r="G305" s="657"/>
      <c r="H305" s="657"/>
      <c r="I305" s="657"/>
      <c r="J305" s="596"/>
      <c r="K305" s="551"/>
      <c r="L305" s="551"/>
      <c r="M305" s="551"/>
      <c r="N305" s="551"/>
      <c r="O305" s="551"/>
      <c r="P305" s="551"/>
      <c r="Q305" s="551"/>
      <c r="R305" s="551"/>
      <c r="S305" s="551"/>
      <c r="T305" s="551"/>
      <c r="U305" s="551"/>
      <c r="V305" s="551"/>
      <c r="W305" s="551"/>
      <c r="X305" s="551"/>
      <c r="Y305" s="551"/>
      <c r="Z305" s="551"/>
      <c r="AA305" s="551"/>
      <c r="AB305" s="551"/>
    </row>
    <row r="306" spans="1:28" ht="13.5" customHeight="1" x14ac:dyDescent="0.25">
      <c r="A306" s="622" t="s">
        <v>309</v>
      </c>
      <c r="B306" s="622"/>
      <c r="C306" s="622"/>
      <c r="D306" s="622"/>
      <c r="E306" s="622"/>
      <c r="F306" s="622"/>
      <c r="G306" s="622"/>
      <c r="H306" s="626"/>
      <c r="I306" s="626"/>
      <c r="J306" s="626"/>
      <c r="K306" s="551"/>
      <c r="L306" s="551"/>
      <c r="M306" s="551"/>
      <c r="N306" s="551"/>
      <c r="O306" s="551"/>
      <c r="P306" s="551"/>
      <c r="Q306" s="551"/>
      <c r="R306" s="551"/>
      <c r="S306" s="551"/>
      <c r="T306" s="551"/>
      <c r="U306" s="551"/>
      <c r="V306" s="551"/>
      <c r="W306" s="551"/>
      <c r="X306" s="551"/>
      <c r="Y306" s="551"/>
      <c r="Z306" s="551"/>
      <c r="AA306" s="551"/>
      <c r="AB306" s="551"/>
    </row>
    <row r="307" spans="1:28" x14ac:dyDescent="0.25">
      <c r="A307" s="2285" t="s">
        <v>8</v>
      </c>
      <c r="B307" s="2201" t="s">
        <v>1</v>
      </c>
      <c r="C307" s="2202"/>
      <c r="D307" s="2203"/>
      <c r="E307" s="2203"/>
      <c r="F307" s="2286"/>
      <c r="G307" s="2183" t="s">
        <v>2048</v>
      </c>
      <c r="H307" s="2183"/>
      <c r="I307" s="2183"/>
      <c r="J307" s="2183"/>
      <c r="K307" s="551"/>
      <c r="L307" s="551"/>
      <c r="M307" s="551"/>
      <c r="N307" s="551"/>
      <c r="O307" s="551"/>
      <c r="P307" s="551"/>
      <c r="Q307" s="551"/>
      <c r="R307" s="551"/>
      <c r="S307" s="551"/>
      <c r="T307" s="551"/>
      <c r="U307" s="551"/>
      <c r="V307" s="551"/>
      <c r="W307" s="551"/>
      <c r="X307" s="551"/>
      <c r="Y307" s="551"/>
      <c r="Z307" s="551"/>
      <c r="AA307" s="551"/>
      <c r="AB307" s="551"/>
    </row>
    <row r="308" spans="1:28" ht="31.5" customHeight="1" x14ac:dyDescent="0.25">
      <c r="A308" s="2200"/>
      <c r="B308" s="2206"/>
      <c r="C308" s="2207"/>
      <c r="D308" s="2207"/>
      <c r="E308" s="2207"/>
      <c r="F308" s="2221"/>
      <c r="G308" s="1408" t="s">
        <v>736</v>
      </c>
      <c r="H308" s="1408" t="s">
        <v>741</v>
      </c>
      <c r="I308" s="1434" t="s">
        <v>296</v>
      </c>
      <c r="J308" s="1434" t="s">
        <v>256</v>
      </c>
      <c r="K308" s="551"/>
      <c r="L308" s="551"/>
      <c r="M308" s="551"/>
      <c r="N308" s="551"/>
      <c r="O308" s="551"/>
      <c r="P308" s="551"/>
      <c r="Q308" s="551"/>
      <c r="R308" s="551"/>
      <c r="S308" s="551"/>
      <c r="T308" s="551"/>
      <c r="U308" s="551"/>
      <c r="V308" s="551"/>
      <c r="W308" s="551"/>
      <c r="X308" s="551"/>
      <c r="Y308" s="551"/>
      <c r="Z308" s="551"/>
      <c r="AA308" s="551"/>
      <c r="AB308" s="551"/>
    </row>
    <row r="309" spans="1:28" hidden="1" x14ac:dyDescent="0.25">
      <c r="A309" s="1447">
        <v>1</v>
      </c>
      <c r="B309" s="2267" t="s">
        <v>1155</v>
      </c>
      <c r="C309" s="2268"/>
      <c r="D309" s="2294"/>
      <c r="E309" s="2294"/>
      <c r="F309" s="2294"/>
      <c r="G309" s="1411" t="s">
        <v>742</v>
      </c>
      <c r="H309" s="623"/>
      <c r="I309" s="624">
        <v>160</v>
      </c>
      <c r="J309" s="624">
        <f>H309*I309</f>
        <v>0</v>
      </c>
      <c r="K309" s="551"/>
      <c r="L309" s="551"/>
      <c r="M309" s="551"/>
      <c r="N309" s="551"/>
      <c r="O309" s="551"/>
      <c r="P309" s="551"/>
      <c r="Q309" s="551"/>
      <c r="R309" s="551"/>
      <c r="S309" s="551"/>
      <c r="T309" s="551"/>
      <c r="U309" s="551"/>
      <c r="V309" s="551"/>
      <c r="W309" s="551"/>
      <c r="X309" s="551"/>
      <c r="Y309" s="551"/>
      <c r="Z309" s="551"/>
      <c r="AA309" s="551"/>
      <c r="AB309" s="551"/>
    </row>
    <row r="310" spans="1:28" x14ac:dyDescent="0.25">
      <c r="A310" s="1447">
        <v>1</v>
      </c>
      <c r="B310" s="2267" t="s">
        <v>1156</v>
      </c>
      <c r="C310" s="2268"/>
      <c r="D310" s="2294"/>
      <c r="E310" s="2294"/>
      <c r="F310" s="2294"/>
      <c r="G310" s="1411" t="s">
        <v>742</v>
      </c>
      <c r="H310" s="623">
        <v>108</v>
      </c>
      <c r="I310" s="624">
        <v>230</v>
      </c>
      <c r="J310" s="624">
        <f>H310*I310</f>
        <v>24840</v>
      </c>
      <c r="K310" s="551"/>
      <c r="M310" s="551"/>
      <c r="N310" s="551"/>
      <c r="O310" s="551"/>
      <c r="P310" s="551"/>
      <c r="Q310" s="551"/>
      <c r="R310" s="551"/>
      <c r="S310" s="551"/>
      <c r="T310" s="551"/>
      <c r="U310" s="551"/>
      <c r="V310" s="551"/>
      <c r="W310" s="551"/>
      <c r="X310" s="551"/>
      <c r="Y310" s="551"/>
      <c r="Z310" s="551"/>
      <c r="AA310" s="551"/>
      <c r="AB310" s="551"/>
    </row>
    <row r="311" spans="1:28" hidden="1" x14ac:dyDescent="0.25">
      <c r="A311" s="1447">
        <v>3</v>
      </c>
      <c r="B311" s="2267" t="s">
        <v>1157</v>
      </c>
      <c r="C311" s="2268"/>
      <c r="D311" s="2294"/>
      <c r="E311" s="2294"/>
      <c r="F311" s="2294"/>
      <c r="G311" s="1411" t="s">
        <v>742</v>
      </c>
      <c r="H311" s="623"/>
      <c r="I311" s="624">
        <v>153</v>
      </c>
      <c r="J311" s="624">
        <f>H311*I311</f>
        <v>0</v>
      </c>
      <c r="K311" s="551"/>
      <c r="L311" s="551"/>
      <c r="M311" s="551"/>
      <c r="N311" s="551"/>
      <c r="O311" s="551"/>
      <c r="P311" s="551"/>
      <c r="Q311" s="551"/>
      <c r="R311" s="551"/>
      <c r="S311" s="551"/>
      <c r="T311" s="551"/>
      <c r="U311" s="551"/>
      <c r="V311" s="551"/>
      <c r="W311" s="551"/>
      <c r="X311" s="551"/>
      <c r="Y311" s="551"/>
      <c r="Z311" s="551"/>
      <c r="AA311" s="551"/>
      <c r="AB311" s="551"/>
    </row>
    <row r="312" spans="1:28" hidden="1" x14ac:dyDescent="0.25">
      <c r="A312" s="1447">
        <v>4</v>
      </c>
      <c r="B312" s="2267" t="s">
        <v>1158</v>
      </c>
      <c r="C312" s="2268"/>
      <c r="D312" s="2294"/>
      <c r="E312" s="2294"/>
      <c r="F312" s="2294"/>
      <c r="G312" s="1411" t="s">
        <v>742</v>
      </c>
      <c r="H312" s="623"/>
      <c r="I312" s="624">
        <v>188</v>
      </c>
      <c r="J312" s="624">
        <f>H312*I312</f>
        <v>0</v>
      </c>
      <c r="K312" s="551"/>
      <c r="L312" s="551"/>
      <c r="M312" s="551"/>
      <c r="N312" s="551"/>
      <c r="O312" s="551"/>
      <c r="P312" s="551"/>
      <c r="Q312" s="551"/>
      <c r="R312" s="551"/>
      <c r="S312" s="551"/>
      <c r="T312" s="551"/>
      <c r="U312" s="551"/>
      <c r="V312" s="551"/>
      <c r="W312" s="551"/>
      <c r="X312" s="551"/>
      <c r="Y312" s="551"/>
      <c r="Z312" s="551"/>
      <c r="AA312" s="551"/>
      <c r="AB312" s="551"/>
    </row>
    <row r="313" spans="1:28" hidden="1" x14ac:dyDescent="0.25">
      <c r="A313" s="1447">
        <v>5</v>
      </c>
      <c r="B313" s="2267" t="s">
        <v>1159</v>
      </c>
      <c r="C313" s="2268"/>
      <c r="D313" s="2294"/>
      <c r="E313" s="2294"/>
      <c r="F313" s="2294"/>
      <c r="G313" s="1411" t="s">
        <v>742</v>
      </c>
      <c r="H313" s="623"/>
      <c r="I313" s="624">
        <v>205</v>
      </c>
      <c r="J313" s="624">
        <f>H313*I313</f>
        <v>0</v>
      </c>
      <c r="K313" s="551"/>
      <c r="L313" s="551"/>
      <c r="M313" s="551"/>
      <c r="N313" s="551"/>
      <c r="O313" s="551"/>
      <c r="P313" s="551"/>
      <c r="Q313" s="551"/>
      <c r="R313" s="551"/>
      <c r="S313" s="551"/>
      <c r="T313" s="551"/>
      <c r="U313" s="551"/>
      <c r="V313" s="551"/>
      <c r="W313" s="551"/>
      <c r="X313" s="551"/>
      <c r="Y313" s="551"/>
      <c r="Z313" s="551"/>
      <c r="AA313" s="551"/>
      <c r="AB313" s="551"/>
    </row>
    <row r="314" spans="1:28" x14ac:dyDescent="0.25">
      <c r="A314" s="2181" t="s">
        <v>39</v>
      </c>
      <c r="B314" s="2181"/>
      <c r="C314" s="2181"/>
      <c r="D314" s="2181"/>
      <c r="E314" s="2181"/>
      <c r="F314" s="2181"/>
      <c r="G314" s="2181"/>
      <c r="H314" s="2181"/>
      <c r="I314" s="2181"/>
      <c r="J314" s="1437">
        <f>J310</f>
        <v>24840</v>
      </c>
      <c r="K314" s="551"/>
      <c r="L314" s="551"/>
      <c r="M314" s="551"/>
      <c r="N314" s="551"/>
      <c r="O314" s="551"/>
      <c r="P314" s="551"/>
      <c r="Q314" s="551"/>
      <c r="R314" s="551"/>
      <c r="S314" s="551"/>
      <c r="T314" s="551"/>
      <c r="U314" s="551"/>
      <c r="V314" s="551"/>
      <c r="W314" s="551"/>
      <c r="X314" s="551"/>
      <c r="Y314" s="551"/>
      <c r="Z314" s="551"/>
      <c r="AA314" s="551"/>
      <c r="AB314" s="551"/>
    </row>
    <row r="315" spans="1:28" x14ac:dyDescent="0.25">
      <c r="A315" s="657"/>
      <c r="B315" s="657"/>
      <c r="C315" s="657"/>
      <c r="D315" s="657"/>
      <c r="E315" s="657"/>
      <c r="F315" s="657"/>
      <c r="G315" s="657"/>
      <c r="H315" s="657"/>
      <c r="I315" s="657"/>
      <c r="J315" s="596"/>
      <c r="K315" s="551"/>
      <c r="L315" s="551"/>
      <c r="M315" s="551"/>
      <c r="N315" s="551"/>
      <c r="O315" s="551"/>
      <c r="P315" s="551"/>
      <c r="Q315" s="551"/>
      <c r="R315" s="551"/>
      <c r="S315" s="551"/>
      <c r="T315" s="551"/>
      <c r="U315" s="551"/>
      <c r="V315" s="551"/>
      <c r="W315" s="551"/>
      <c r="X315" s="551"/>
      <c r="Y315" s="551"/>
      <c r="Z315" s="551"/>
      <c r="AA315" s="551"/>
      <c r="AB315" s="551"/>
    </row>
    <row r="316" spans="1:28" x14ac:dyDescent="0.25">
      <c r="A316" s="1457" t="s">
        <v>1872</v>
      </c>
      <c r="B316" s="1457"/>
      <c r="C316" s="1457"/>
      <c r="D316" s="1457"/>
      <c r="E316" s="1457"/>
      <c r="F316" s="1457"/>
      <c r="G316" s="60"/>
      <c r="H316" s="69"/>
      <c r="I316" s="69"/>
      <c r="J316" s="4"/>
      <c r="K316" s="551"/>
      <c r="L316" s="551"/>
      <c r="M316" s="551"/>
      <c r="N316" s="551"/>
      <c r="O316" s="551"/>
      <c r="P316" s="551"/>
      <c r="Q316" s="551"/>
      <c r="R316" s="551"/>
      <c r="S316" s="551"/>
      <c r="T316" s="551"/>
      <c r="U316" s="551"/>
      <c r="V316" s="551"/>
      <c r="W316" s="551"/>
      <c r="X316" s="551"/>
      <c r="Y316" s="551"/>
      <c r="Z316" s="551"/>
      <c r="AA316" s="551"/>
      <c r="AB316" s="551"/>
    </row>
    <row r="317" spans="1:28" x14ac:dyDescent="0.25">
      <c r="A317" s="2019" t="s">
        <v>8</v>
      </c>
      <c r="B317" s="1926" t="s">
        <v>35</v>
      </c>
      <c r="C317" s="2171"/>
      <c r="D317" s="2171"/>
      <c r="E317" s="2171"/>
      <c r="F317" s="2171"/>
      <c r="G317" s="2171"/>
      <c r="H317" s="1926" t="s">
        <v>2049</v>
      </c>
      <c r="I317" s="2173"/>
      <c r="J317" s="2173"/>
      <c r="K317" s="564"/>
      <c r="L317" s="551"/>
      <c r="M317" s="551"/>
      <c r="N317" s="551"/>
      <c r="O317" s="551"/>
      <c r="P317" s="551"/>
      <c r="Q317" s="551"/>
      <c r="R317" s="551"/>
      <c r="S317" s="551"/>
      <c r="T317" s="551"/>
      <c r="U317" s="551"/>
      <c r="V317" s="551"/>
      <c r="W317" s="551"/>
      <c r="X317" s="551"/>
      <c r="Y317" s="551"/>
      <c r="Z317" s="551"/>
      <c r="AA317" s="551"/>
      <c r="AB317" s="551"/>
    </row>
    <row r="318" spans="1:28" ht="48.75" customHeight="1" x14ac:dyDescent="0.25">
      <c r="A318" s="2161"/>
      <c r="B318" s="2171"/>
      <c r="C318" s="2171"/>
      <c r="D318" s="2171"/>
      <c r="E318" s="2171"/>
      <c r="F318" s="2171"/>
      <c r="G318" s="2171"/>
      <c r="H318" s="1418" t="s">
        <v>1873</v>
      </c>
      <c r="I318" s="1426" t="s">
        <v>1874</v>
      </c>
      <c r="J318" s="1426" t="s">
        <v>256</v>
      </c>
      <c r="K318" s="564"/>
      <c r="L318" s="594"/>
      <c r="M318" s="551"/>
      <c r="N318" s="551"/>
      <c r="O318" s="551"/>
      <c r="P318" s="551"/>
      <c r="Q318" s="551"/>
      <c r="R318" s="551"/>
      <c r="S318" s="551"/>
      <c r="T318" s="551"/>
      <c r="U318" s="551"/>
      <c r="V318" s="551"/>
      <c r="W318" s="551"/>
      <c r="X318" s="551"/>
      <c r="Y318" s="551"/>
      <c r="Z318" s="551"/>
      <c r="AA318" s="551"/>
      <c r="AB318" s="551"/>
    </row>
    <row r="319" spans="1:28" ht="15" hidden="1" customHeight="1" x14ac:dyDescent="0.25">
      <c r="A319" s="1331" t="s">
        <v>244</v>
      </c>
      <c r="B319" s="2066" t="s">
        <v>1875</v>
      </c>
      <c r="C319" s="2067"/>
      <c r="D319" s="2067"/>
      <c r="E319" s="2067"/>
      <c r="F319" s="2067"/>
      <c r="G319" s="2292"/>
      <c r="H319" s="1376"/>
      <c r="I319" s="1426">
        <v>5.43</v>
      </c>
      <c r="J319" s="1426">
        <f>H319*I319</f>
        <v>0</v>
      </c>
      <c r="K319" s="551"/>
      <c r="L319" s="551"/>
      <c r="M319" s="551"/>
      <c r="N319" s="551"/>
      <c r="O319" s="551"/>
      <c r="P319" s="551"/>
      <c r="Q319" s="551"/>
      <c r="R319" s="551"/>
      <c r="S319" s="551"/>
      <c r="T319" s="551"/>
      <c r="U319" s="551"/>
      <c r="V319" s="551"/>
      <c r="W319" s="551"/>
      <c r="X319" s="551"/>
      <c r="Y319" s="551"/>
      <c r="Z319" s="551"/>
      <c r="AA319" s="551"/>
      <c r="AB319" s="551"/>
    </row>
    <row r="320" spans="1:28" x14ac:dyDescent="0.25">
      <c r="A320" s="1331" t="s">
        <v>244</v>
      </c>
      <c r="B320" s="2066" t="s">
        <v>631</v>
      </c>
      <c r="C320" s="2067"/>
      <c r="D320" s="2067"/>
      <c r="E320" s="2067"/>
      <c r="F320" s="2067"/>
      <c r="G320" s="2292"/>
      <c r="H320" s="1230">
        <v>150</v>
      </c>
      <c r="I320" s="1426">
        <v>55</v>
      </c>
      <c r="J320" s="1426">
        <f>H320*I320</f>
        <v>8250</v>
      </c>
      <c r="K320" s="551"/>
      <c r="L320" s="551"/>
      <c r="M320" s="551"/>
      <c r="N320" s="551"/>
      <c r="O320" s="551"/>
      <c r="P320" s="551"/>
      <c r="Q320" s="551"/>
      <c r="R320" s="551"/>
      <c r="S320" s="551"/>
      <c r="T320" s="551"/>
      <c r="U320" s="551"/>
      <c r="V320" s="551"/>
      <c r="W320" s="551"/>
      <c r="X320" s="551"/>
      <c r="Y320" s="551"/>
      <c r="Z320" s="551"/>
      <c r="AA320" s="551"/>
      <c r="AB320" s="551"/>
    </row>
    <row r="321" spans="1:28" x14ac:dyDescent="0.25">
      <c r="A321" s="2069" t="s">
        <v>39</v>
      </c>
      <c r="B321" s="2069"/>
      <c r="C321" s="2069"/>
      <c r="D321" s="2069"/>
      <c r="E321" s="2069"/>
      <c r="F321" s="2069"/>
      <c r="G321" s="2069"/>
      <c r="H321" s="2069"/>
      <c r="I321" s="2293"/>
      <c r="J321" s="1192">
        <f>SUM(J319:J320)</f>
        <v>8250</v>
      </c>
      <c r="K321" s="551"/>
      <c r="L321" s="551"/>
      <c r="M321" s="551"/>
      <c r="N321" s="551"/>
      <c r="O321" s="551"/>
      <c r="P321" s="551"/>
      <c r="Q321" s="551"/>
      <c r="R321" s="551"/>
      <c r="S321" s="551"/>
      <c r="T321" s="551"/>
      <c r="U321" s="551"/>
      <c r="V321" s="551"/>
      <c r="W321" s="551"/>
      <c r="X321" s="551"/>
      <c r="Y321" s="551"/>
      <c r="Z321" s="551"/>
      <c r="AA321" s="551"/>
      <c r="AB321" s="551"/>
    </row>
    <row r="322" spans="1:28" x14ac:dyDescent="0.25">
      <c r="A322" s="1374"/>
      <c r="B322" s="1374"/>
      <c r="C322" s="1374"/>
      <c r="D322" s="1374"/>
      <c r="E322" s="1374"/>
      <c r="F322" s="1374"/>
      <c r="G322" s="1374"/>
      <c r="H322" s="1374"/>
      <c r="I322" s="1374"/>
      <c r="J322" s="1375"/>
      <c r="K322" s="551"/>
      <c r="L322" s="551"/>
      <c r="M322" s="551"/>
      <c r="N322" s="551"/>
      <c r="O322" s="551"/>
      <c r="P322" s="551"/>
      <c r="Q322" s="551"/>
      <c r="R322" s="551"/>
      <c r="S322" s="551"/>
      <c r="T322" s="551"/>
      <c r="U322" s="551"/>
      <c r="V322" s="551"/>
      <c r="W322" s="551"/>
      <c r="X322" s="551"/>
      <c r="Y322" s="551"/>
      <c r="Z322" s="551"/>
      <c r="AA322" s="551"/>
      <c r="AB322" s="551"/>
    </row>
    <row r="323" spans="1:28" x14ac:dyDescent="0.25">
      <c r="A323" s="625" t="s">
        <v>308</v>
      </c>
      <c r="B323" s="655"/>
      <c r="C323" s="655"/>
      <c r="D323" s="655"/>
      <c r="E323" s="655"/>
      <c r="F323" s="655"/>
      <c r="G323" s="655"/>
      <c r="H323" s="655"/>
      <c r="I323" s="626"/>
      <c r="J323" s="626"/>
      <c r="K323" s="551"/>
      <c r="L323" s="551"/>
      <c r="M323" s="551"/>
      <c r="N323" s="551"/>
      <c r="O323" s="551"/>
      <c r="P323" s="551"/>
      <c r="Q323" s="551"/>
      <c r="R323" s="551"/>
      <c r="S323" s="551"/>
      <c r="T323" s="551"/>
      <c r="U323" s="551"/>
      <c r="V323" s="551"/>
      <c r="W323" s="551"/>
      <c r="X323" s="551"/>
      <c r="Y323" s="551"/>
      <c r="Z323" s="551"/>
      <c r="AA323" s="551"/>
      <c r="AB323" s="551"/>
    </row>
    <row r="324" spans="1:28" x14ac:dyDescent="0.25">
      <c r="A324" s="2183" t="s">
        <v>8</v>
      </c>
      <c r="B324" s="2183" t="s">
        <v>1</v>
      </c>
      <c r="C324" s="2183"/>
      <c r="D324" s="2183"/>
      <c r="E324" s="2183"/>
      <c r="F324" s="2295" t="s">
        <v>736</v>
      </c>
      <c r="G324" s="2183" t="s">
        <v>2048</v>
      </c>
      <c r="H324" s="2183" t="s">
        <v>735</v>
      </c>
      <c r="I324" s="2183"/>
      <c r="J324" s="2183"/>
      <c r="K324" s="551" t="s">
        <v>1478</v>
      </c>
      <c r="L324" s="551"/>
      <c r="M324" s="551"/>
      <c r="N324" s="551"/>
      <c r="O324" s="551"/>
      <c r="P324" s="551"/>
      <c r="Q324" s="551"/>
      <c r="R324" s="551"/>
      <c r="S324" s="551"/>
      <c r="T324" s="551"/>
      <c r="U324" s="551"/>
      <c r="V324" s="551"/>
      <c r="W324" s="551"/>
      <c r="X324" s="551"/>
      <c r="Y324" s="551"/>
      <c r="Z324" s="551"/>
      <c r="AA324" s="551"/>
      <c r="AB324" s="551"/>
    </row>
    <row r="325" spans="1:28" ht="46.5" customHeight="1" x14ac:dyDescent="0.25">
      <c r="A325" s="2183"/>
      <c r="B325" s="2183"/>
      <c r="C325" s="2183"/>
      <c r="D325" s="2183"/>
      <c r="E325" s="2183"/>
      <c r="F325" s="2295"/>
      <c r="G325" s="1411" t="s">
        <v>741</v>
      </c>
      <c r="H325" s="1411" t="s">
        <v>748</v>
      </c>
      <c r="I325" s="1411" t="s">
        <v>268</v>
      </c>
      <c r="J325" s="1411" t="s">
        <v>256</v>
      </c>
      <c r="K325" s="616"/>
      <c r="M325" s="551"/>
      <c r="N325" s="551"/>
      <c r="O325" s="551"/>
      <c r="P325" s="551"/>
      <c r="Q325" s="551"/>
      <c r="R325" s="551"/>
      <c r="S325" s="551"/>
      <c r="T325" s="551"/>
      <c r="U325" s="551"/>
      <c r="V325" s="551"/>
      <c r="W325" s="551"/>
      <c r="X325" s="551"/>
      <c r="Y325" s="551"/>
      <c r="Z325" s="551"/>
      <c r="AA325" s="551"/>
      <c r="AB325" s="551"/>
    </row>
    <row r="326" spans="1:28" ht="30" customHeight="1" x14ac:dyDescent="0.25">
      <c r="A326" s="1411">
        <v>1</v>
      </c>
      <c r="B326" s="2258" t="s">
        <v>1855</v>
      </c>
      <c r="C326" s="2258"/>
      <c r="D326" s="2258"/>
      <c r="E326" s="2258"/>
      <c r="F326" s="630" t="s">
        <v>750</v>
      </c>
      <c r="G326" s="1411">
        <v>2</v>
      </c>
      <c r="H326" s="628">
        <f>12-5+1+1+3</f>
        <v>12</v>
      </c>
      <c r="I326" s="624">
        <v>1400</v>
      </c>
      <c r="J326" s="624">
        <f>G326*H326*I326</f>
        <v>33600</v>
      </c>
      <c r="K326" s="551"/>
      <c r="L326" s="551"/>
      <c r="M326" s="551"/>
      <c r="N326" s="551"/>
      <c r="O326" s="551"/>
      <c r="P326" s="551"/>
      <c r="Q326" s="551"/>
      <c r="R326" s="551"/>
      <c r="S326" s="551"/>
      <c r="T326" s="551"/>
      <c r="U326" s="551"/>
      <c r="V326" s="551"/>
      <c r="W326" s="551"/>
      <c r="X326" s="551"/>
      <c r="Y326" s="551"/>
      <c r="Z326" s="551"/>
      <c r="AA326" s="551"/>
      <c r="AB326" s="551"/>
    </row>
    <row r="327" spans="1:28" x14ac:dyDescent="0.25">
      <c r="A327" s="2297" t="s">
        <v>39</v>
      </c>
      <c r="B327" s="2298"/>
      <c r="C327" s="2299"/>
      <c r="D327" s="2298"/>
      <c r="E327" s="2298"/>
      <c r="F327" s="2298"/>
      <c r="G327" s="2298"/>
      <c r="H327" s="2298"/>
      <c r="I327" s="2300"/>
      <c r="J327" s="1020">
        <f>J326</f>
        <v>33600</v>
      </c>
      <c r="K327" s="1442">
        <v>0</v>
      </c>
      <c r="L327" s="739">
        <f>J327-K327</f>
        <v>33600</v>
      </c>
      <c r="M327" s="551"/>
      <c r="N327" s="551"/>
      <c r="O327" s="551"/>
      <c r="P327" s="551"/>
      <c r="Q327" s="551"/>
      <c r="R327" s="551"/>
      <c r="S327" s="551"/>
      <c r="T327" s="551"/>
      <c r="U327" s="551"/>
      <c r="V327" s="551"/>
      <c r="W327" s="551"/>
      <c r="X327" s="551"/>
      <c r="Y327" s="551"/>
      <c r="Z327" s="551"/>
      <c r="AA327" s="551"/>
      <c r="AB327" s="551"/>
    </row>
    <row r="328" spans="1:28" x14ac:dyDescent="0.25">
      <c r="A328" s="779"/>
      <c r="B328" s="779"/>
      <c r="C328" s="779"/>
      <c r="D328" s="779"/>
      <c r="E328" s="779"/>
      <c r="F328" s="779"/>
      <c r="G328" s="779"/>
      <c r="H328" s="779"/>
      <c r="I328" s="779"/>
      <c r="J328" s="629"/>
      <c r="K328" s="551"/>
      <c r="L328" s="551"/>
      <c r="M328" s="551"/>
      <c r="N328" s="551"/>
      <c r="O328" s="551"/>
      <c r="P328" s="551"/>
      <c r="Q328" s="551"/>
      <c r="R328" s="551"/>
      <c r="S328" s="551"/>
      <c r="T328" s="551"/>
      <c r="U328" s="551"/>
      <c r="V328" s="551"/>
      <c r="W328" s="551"/>
      <c r="X328" s="551"/>
      <c r="Y328" s="551"/>
      <c r="Z328" s="551"/>
      <c r="AA328" s="551"/>
      <c r="AB328" s="551"/>
    </row>
    <row r="329" spans="1:28" x14ac:dyDescent="0.25">
      <c r="A329" s="625" t="s">
        <v>308</v>
      </c>
      <c r="B329" s="655"/>
      <c r="C329" s="655"/>
      <c r="D329" s="655"/>
      <c r="E329" s="655"/>
      <c r="F329" s="655"/>
      <c r="G329" s="655"/>
      <c r="H329" s="655"/>
      <c r="I329" s="779"/>
      <c r="J329" s="629"/>
      <c r="K329" s="609"/>
      <c r="L329" s="573"/>
      <c r="M329" s="551"/>
      <c r="N329" s="551"/>
      <c r="O329" s="551"/>
      <c r="P329" s="551"/>
      <c r="Q329" s="551"/>
      <c r="R329" s="551"/>
      <c r="S329" s="551"/>
      <c r="T329" s="551"/>
      <c r="U329" s="551"/>
      <c r="V329" s="551"/>
      <c r="W329" s="551"/>
      <c r="X329" s="551"/>
      <c r="Y329" s="551"/>
      <c r="Z329" s="551"/>
      <c r="AA329" s="551"/>
      <c r="AB329" s="551"/>
    </row>
    <row r="330" spans="1:28" ht="15" customHeight="1" x14ac:dyDescent="0.25">
      <c r="A330" s="2183" t="s">
        <v>8</v>
      </c>
      <c r="B330" s="2183" t="s">
        <v>1</v>
      </c>
      <c r="C330" s="2183"/>
      <c r="D330" s="2183"/>
      <c r="E330" s="2183"/>
      <c r="F330" s="2295" t="s">
        <v>736</v>
      </c>
      <c r="G330" s="2183" t="s">
        <v>2048</v>
      </c>
      <c r="H330" s="2183" t="s">
        <v>735</v>
      </c>
      <c r="I330" s="2183"/>
      <c r="J330" s="2183"/>
      <c r="K330" s="564" t="s">
        <v>1478</v>
      </c>
      <c r="L330" s="573"/>
      <c r="M330" s="551"/>
      <c r="N330" s="610"/>
      <c r="O330" s="610"/>
      <c r="P330" s="551"/>
      <c r="Q330" s="551"/>
      <c r="R330" s="551"/>
      <c r="S330" s="551"/>
      <c r="T330" s="551"/>
      <c r="U330" s="551"/>
      <c r="V330" s="551"/>
      <c r="W330" s="551"/>
      <c r="X330" s="551"/>
      <c r="Y330" s="551"/>
      <c r="Z330" s="551"/>
      <c r="AA330" s="551"/>
      <c r="AB330" s="551"/>
    </row>
    <row r="331" spans="1:28" ht="45" x14ac:dyDescent="0.25">
      <c r="A331" s="2183"/>
      <c r="B331" s="2183"/>
      <c r="C331" s="2183"/>
      <c r="D331" s="2183"/>
      <c r="E331" s="2183"/>
      <c r="F331" s="2295"/>
      <c r="G331" s="1411" t="s">
        <v>741</v>
      </c>
      <c r="H331" s="1411" t="s">
        <v>748</v>
      </c>
      <c r="I331" s="1411" t="s">
        <v>268</v>
      </c>
      <c r="J331" s="1411" t="s">
        <v>256</v>
      </c>
      <c r="M331" s="551"/>
      <c r="N331" s="551"/>
      <c r="O331" s="551"/>
      <c r="P331" s="551"/>
      <c r="Q331" s="551"/>
      <c r="R331" s="551"/>
      <c r="S331" s="551"/>
      <c r="T331" s="551"/>
      <c r="U331" s="551"/>
      <c r="V331" s="551"/>
      <c r="W331" s="551"/>
      <c r="X331" s="551"/>
      <c r="Y331" s="551"/>
      <c r="Z331" s="551"/>
      <c r="AA331" s="551"/>
      <c r="AB331" s="551"/>
    </row>
    <row r="332" spans="1:28" ht="45" customHeight="1" x14ac:dyDescent="0.25">
      <c r="A332" s="1411">
        <v>1</v>
      </c>
      <c r="B332" s="2243" t="s">
        <v>1856</v>
      </c>
      <c r="C332" s="2163"/>
      <c r="D332" s="2163"/>
      <c r="E332" s="2163"/>
      <c r="F332" s="630" t="s">
        <v>750</v>
      </c>
      <c r="G332" s="1229">
        <v>2</v>
      </c>
      <c r="H332" s="1229">
        <v>12</v>
      </c>
      <c r="I332" s="1420">
        <v>2167.6999999999998</v>
      </c>
      <c r="J332" s="1426">
        <f t="shared" ref="J332" si="2">G332*H332*I332</f>
        <v>52024.800000000003</v>
      </c>
      <c r="K332" s="551"/>
      <c r="L332" s="551"/>
      <c r="M332" s="551"/>
      <c r="N332" s="551"/>
      <c r="O332" s="551"/>
      <c r="P332" s="551"/>
      <c r="Q332" s="551"/>
      <c r="R332" s="551"/>
      <c r="S332" s="551"/>
      <c r="T332" s="551"/>
      <c r="U332" s="551"/>
      <c r="V332" s="551"/>
      <c r="W332" s="551"/>
      <c r="X332" s="551"/>
      <c r="Y332" s="551"/>
      <c r="Z332" s="551"/>
      <c r="AA332" s="551"/>
      <c r="AB332" s="551"/>
    </row>
    <row r="333" spans="1:28" x14ac:dyDescent="0.25">
      <c r="A333" s="2296" t="s">
        <v>39</v>
      </c>
      <c r="B333" s="2296"/>
      <c r="C333" s="2296"/>
      <c r="D333" s="2296"/>
      <c r="E333" s="2296"/>
      <c r="F333" s="2296"/>
      <c r="G333" s="2296"/>
      <c r="H333" s="2296"/>
      <c r="I333" s="2296"/>
      <c r="J333" s="1020">
        <f>J332</f>
        <v>52024.800000000003</v>
      </c>
      <c r="K333" s="564">
        <v>0</v>
      </c>
      <c r="L333" s="739">
        <f>J333-K333</f>
        <v>52024.800000000003</v>
      </c>
      <c r="M333" s="551"/>
      <c r="N333" s="551"/>
      <c r="O333" s="551"/>
      <c r="P333" s="551"/>
      <c r="Q333" s="551"/>
      <c r="R333" s="551"/>
      <c r="S333" s="551"/>
      <c r="T333" s="551"/>
      <c r="U333" s="551"/>
      <c r="V333" s="551"/>
      <c r="W333" s="551"/>
      <c r="X333" s="551"/>
      <c r="Y333" s="551"/>
      <c r="Z333" s="551"/>
      <c r="AA333" s="551"/>
      <c r="AB333" s="551"/>
    </row>
    <row r="334" spans="1:28" hidden="1" x14ac:dyDescent="0.25">
      <c r="A334" s="2264" t="s">
        <v>514</v>
      </c>
      <c r="B334" s="2265"/>
      <c r="C334" s="2265"/>
      <c r="D334" s="2265"/>
      <c r="E334" s="2265"/>
      <c r="F334" s="2265"/>
      <c r="G334" s="2265"/>
      <c r="H334" s="2265"/>
      <c r="I334" s="2265"/>
      <c r="J334" s="2265"/>
      <c r="K334" s="551"/>
      <c r="L334" s="551"/>
      <c r="M334" s="551"/>
      <c r="N334" s="551"/>
      <c r="O334" s="551"/>
      <c r="P334" s="551"/>
      <c r="Q334" s="551"/>
      <c r="R334" s="551"/>
      <c r="S334" s="551"/>
      <c r="T334" s="551"/>
      <c r="U334" s="551"/>
      <c r="V334" s="551"/>
      <c r="W334" s="551"/>
      <c r="X334" s="551"/>
      <c r="Y334" s="551"/>
      <c r="Z334" s="551"/>
      <c r="AA334" s="551"/>
      <c r="AB334" s="551"/>
    </row>
    <row r="335" spans="1:28" hidden="1" x14ac:dyDescent="0.25">
      <c r="A335" s="2266" t="s">
        <v>1134</v>
      </c>
      <c r="B335" s="2266"/>
      <c r="C335" s="2266"/>
      <c r="D335" s="2266"/>
      <c r="E335" s="2266"/>
      <c r="F335" s="2266"/>
      <c r="G335" s="2266"/>
      <c r="H335" s="2266"/>
      <c r="I335" s="2266"/>
      <c r="J335" s="1435">
        <v>0</v>
      </c>
      <c r="K335" s="551"/>
      <c r="L335" s="551"/>
      <c r="M335" s="551"/>
      <c r="N335" s="551"/>
      <c r="O335" s="551"/>
      <c r="P335" s="551"/>
      <c r="Q335" s="551"/>
      <c r="R335" s="551"/>
      <c r="S335" s="551"/>
      <c r="T335" s="551"/>
      <c r="U335" s="551"/>
      <c r="V335" s="551"/>
      <c r="W335" s="551"/>
      <c r="X335" s="551"/>
      <c r="Y335" s="551"/>
      <c r="Z335" s="551"/>
      <c r="AA335" s="551"/>
      <c r="AB335" s="551"/>
    </row>
    <row r="336" spans="1:28" ht="13.5" hidden="1" customHeight="1" x14ac:dyDescent="0.25">
      <c r="A336" s="2266" t="s">
        <v>153</v>
      </c>
      <c r="B336" s="2266"/>
      <c r="C336" s="2266"/>
      <c r="D336" s="2266"/>
      <c r="E336" s="2266"/>
      <c r="F336" s="2266"/>
      <c r="G336" s="2266"/>
      <c r="H336" s="2266"/>
      <c r="I336" s="2266"/>
      <c r="J336" s="1403">
        <f>3284.4*6+3284.4</f>
        <v>22990.799999999999</v>
      </c>
      <c r="M336" s="551"/>
      <c r="N336" s="551"/>
      <c r="O336" s="551"/>
      <c r="P336" s="551"/>
      <c r="Q336" s="551"/>
      <c r="R336" s="551"/>
      <c r="S336" s="551"/>
      <c r="T336" s="551"/>
      <c r="U336" s="551"/>
      <c r="V336" s="551"/>
      <c r="W336" s="551"/>
      <c r="X336" s="551"/>
      <c r="Y336" s="551"/>
      <c r="Z336" s="551"/>
      <c r="AA336" s="551"/>
      <c r="AB336" s="551"/>
    </row>
    <row r="337" spans="1:28" ht="13.5" hidden="1" customHeight="1" x14ac:dyDescent="0.25">
      <c r="A337" s="2258" t="s">
        <v>619</v>
      </c>
      <c r="B337" s="2258"/>
      <c r="C337" s="2258"/>
      <c r="D337" s="2258"/>
      <c r="E337" s="2258"/>
      <c r="F337" s="2258"/>
      <c r="G337" s="2258"/>
      <c r="H337" s="2258"/>
      <c r="I337" s="2258"/>
      <c r="J337" s="624">
        <f>J333-J335-J336-J338</f>
        <v>29034</v>
      </c>
      <c r="K337" s="551"/>
      <c r="L337" s="551"/>
      <c r="M337" s="551"/>
      <c r="N337" s="551"/>
      <c r="O337" s="551"/>
      <c r="P337" s="551"/>
      <c r="Q337" s="551"/>
      <c r="R337" s="551"/>
      <c r="S337" s="551"/>
      <c r="T337" s="551"/>
      <c r="U337" s="551"/>
      <c r="V337" s="551"/>
      <c r="W337" s="551"/>
      <c r="X337" s="551"/>
      <c r="Y337" s="551"/>
      <c r="Z337" s="551"/>
      <c r="AA337" s="551"/>
      <c r="AB337" s="551"/>
    </row>
    <row r="338" spans="1:28" ht="13.5" hidden="1" customHeight="1" x14ac:dyDescent="0.25">
      <c r="A338" s="2258" t="s">
        <v>1147</v>
      </c>
      <c r="B338" s="2258"/>
      <c r="C338" s="2258"/>
      <c r="D338" s="2258"/>
      <c r="E338" s="2258"/>
      <c r="F338" s="2258"/>
      <c r="G338" s="2258"/>
      <c r="H338" s="2258"/>
      <c r="I338" s="2258"/>
      <c r="J338" s="569">
        <v>0</v>
      </c>
      <c r="K338" s="551"/>
      <c r="L338" s="551"/>
      <c r="M338" s="551"/>
      <c r="N338" s="551"/>
      <c r="O338" s="551"/>
      <c r="P338" s="551"/>
      <c r="Q338" s="551"/>
      <c r="R338" s="551"/>
      <c r="S338" s="551"/>
      <c r="T338" s="551"/>
      <c r="U338" s="551"/>
      <c r="V338" s="551"/>
      <c r="W338" s="551"/>
      <c r="X338" s="551"/>
      <c r="Y338" s="551"/>
      <c r="Z338" s="551"/>
      <c r="AA338" s="551"/>
      <c r="AB338" s="551"/>
    </row>
    <row r="339" spans="1:28" x14ac:dyDescent="0.25">
      <c r="A339" s="779"/>
      <c r="B339" s="779"/>
      <c r="C339" s="779"/>
      <c r="D339" s="779"/>
      <c r="E339" s="779"/>
      <c r="F339" s="779"/>
      <c r="G339" s="779"/>
      <c r="H339" s="779"/>
      <c r="I339" s="779"/>
      <c r="J339" s="629"/>
      <c r="K339" s="551"/>
      <c r="L339" s="551"/>
      <c r="M339" s="551"/>
      <c r="N339" s="551"/>
      <c r="O339" s="551"/>
      <c r="P339" s="551"/>
      <c r="Q339" s="551"/>
      <c r="R339" s="551"/>
      <c r="S339" s="551"/>
      <c r="T339" s="551"/>
      <c r="U339" s="551"/>
      <c r="V339" s="551"/>
      <c r="W339" s="551"/>
      <c r="X339" s="551"/>
      <c r="Y339" s="551"/>
      <c r="Z339" s="551"/>
      <c r="AA339" s="551"/>
      <c r="AB339" s="551"/>
    </row>
    <row r="340" spans="1:28" x14ac:dyDescent="0.25">
      <c r="A340" s="2302" t="s">
        <v>308</v>
      </c>
      <c r="B340" s="2302"/>
      <c r="C340" s="2302"/>
      <c r="D340" s="2302"/>
      <c r="E340" s="2302"/>
      <c r="F340" s="2302"/>
      <c r="G340" s="2302"/>
      <c r="H340" s="2302"/>
      <c r="I340" s="779"/>
      <c r="J340" s="629"/>
      <c r="K340" s="551"/>
      <c r="L340" s="551"/>
      <c r="M340" s="551"/>
      <c r="N340" s="551"/>
      <c r="O340" s="551"/>
      <c r="P340" s="551"/>
      <c r="Q340" s="551"/>
      <c r="R340" s="551"/>
      <c r="S340" s="551"/>
      <c r="T340" s="551"/>
      <c r="U340" s="551"/>
      <c r="V340" s="551"/>
      <c r="W340" s="551"/>
      <c r="X340" s="551"/>
      <c r="Y340" s="551"/>
      <c r="Z340" s="551"/>
      <c r="AA340" s="551"/>
      <c r="AB340" s="551"/>
    </row>
    <row r="341" spans="1:28" ht="15" customHeight="1" x14ac:dyDescent="0.25">
      <c r="A341" s="2183" t="s">
        <v>8</v>
      </c>
      <c r="B341" s="2183" t="s">
        <v>1</v>
      </c>
      <c r="C341" s="2183"/>
      <c r="D341" s="2183"/>
      <c r="E341" s="2183"/>
      <c r="F341" s="2295" t="s">
        <v>736</v>
      </c>
      <c r="G341" s="2183" t="s">
        <v>2048</v>
      </c>
      <c r="H341" s="2183" t="s">
        <v>735</v>
      </c>
      <c r="I341" s="2183"/>
      <c r="J341" s="2183"/>
      <c r="K341" s="565" t="s">
        <v>1478</v>
      </c>
      <c r="L341" s="551"/>
      <c r="M341" s="551"/>
      <c r="N341" s="551"/>
      <c r="O341" s="551"/>
      <c r="P341" s="551"/>
      <c r="Q341" s="551"/>
      <c r="R341" s="551"/>
      <c r="S341" s="551"/>
      <c r="T341" s="551"/>
      <c r="U341" s="551"/>
      <c r="V341" s="551"/>
      <c r="W341" s="551"/>
      <c r="X341" s="551"/>
      <c r="Y341" s="551"/>
      <c r="Z341" s="551"/>
      <c r="AA341" s="551"/>
      <c r="AB341" s="551"/>
    </row>
    <row r="342" spans="1:28" ht="42.75" customHeight="1" x14ac:dyDescent="0.25">
      <c r="A342" s="2183"/>
      <c r="B342" s="2183"/>
      <c r="C342" s="2183"/>
      <c r="D342" s="2183"/>
      <c r="E342" s="2183"/>
      <c r="F342" s="2295"/>
      <c r="G342" s="1411" t="s">
        <v>741</v>
      </c>
      <c r="H342" s="1411" t="s">
        <v>748</v>
      </c>
      <c r="I342" s="1411" t="s">
        <v>268</v>
      </c>
      <c r="J342" s="1411" t="s">
        <v>256</v>
      </c>
      <c r="K342" s="551"/>
      <c r="N342" s="551"/>
      <c r="O342" s="551"/>
      <c r="P342" s="551"/>
      <c r="Q342" s="551"/>
      <c r="R342" s="551"/>
      <c r="S342" s="551"/>
      <c r="T342" s="551"/>
      <c r="U342" s="551"/>
      <c r="V342" s="551"/>
      <c r="W342" s="551"/>
      <c r="X342" s="551"/>
      <c r="Y342" s="551"/>
      <c r="Z342" s="551"/>
      <c r="AA342" s="551"/>
      <c r="AB342" s="551"/>
    </row>
    <row r="343" spans="1:28" ht="30" customHeight="1" x14ac:dyDescent="0.25">
      <c r="A343" s="630">
        <v>1</v>
      </c>
      <c r="B343" s="2301" t="s">
        <v>1857</v>
      </c>
      <c r="C343" s="2302"/>
      <c r="D343" s="2302"/>
      <c r="E343" s="2302"/>
      <c r="F343" s="630" t="s">
        <v>750</v>
      </c>
      <c r="G343" s="630">
        <v>1</v>
      </c>
      <c r="H343" s="631">
        <v>12</v>
      </c>
      <c r="I343" s="632">
        <v>3000</v>
      </c>
      <c r="J343" s="633">
        <f>G343*H343*I343</f>
        <v>36000</v>
      </c>
      <c r="K343" s="551"/>
      <c r="L343" s="551"/>
      <c r="M343" s="551"/>
      <c r="N343" s="551"/>
      <c r="O343" s="551"/>
      <c r="P343" s="551"/>
      <c r="Q343" s="551"/>
      <c r="R343" s="551"/>
      <c r="S343" s="551"/>
      <c r="T343" s="551"/>
      <c r="U343" s="551"/>
      <c r="V343" s="551"/>
      <c r="W343" s="551"/>
      <c r="X343" s="551"/>
      <c r="Y343" s="551"/>
      <c r="Z343" s="551"/>
      <c r="AA343" s="551"/>
      <c r="AB343" s="551"/>
    </row>
    <row r="344" spans="1:28" ht="29.25" customHeight="1" x14ac:dyDescent="0.25">
      <c r="A344" s="630">
        <v>2</v>
      </c>
      <c r="B344" s="2301" t="s">
        <v>1858</v>
      </c>
      <c r="C344" s="2302"/>
      <c r="D344" s="2302"/>
      <c r="E344" s="2302"/>
      <c r="F344" s="630" t="s">
        <v>750</v>
      </c>
      <c r="G344" s="630">
        <v>1</v>
      </c>
      <c r="H344" s="631">
        <v>12</v>
      </c>
      <c r="I344" s="632">
        <v>7000</v>
      </c>
      <c r="J344" s="633">
        <f>G344*H344*I344</f>
        <v>84000</v>
      </c>
      <c r="K344" s="551"/>
      <c r="L344" s="551"/>
      <c r="M344" s="551"/>
      <c r="N344" s="551"/>
      <c r="O344" s="551"/>
      <c r="P344" s="551"/>
      <c r="Q344" s="551"/>
      <c r="R344" s="551"/>
      <c r="S344" s="551"/>
      <c r="T344" s="551"/>
      <c r="U344" s="551"/>
      <c r="V344" s="551"/>
      <c r="W344" s="551"/>
      <c r="X344" s="551"/>
      <c r="Y344" s="551"/>
      <c r="Z344" s="551"/>
      <c r="AA344" s="551"/>
      <c r="AB344" s="551"/>
    </row>
    <row r="345" spans="1:28" ht="14.25" customHeight="1" x14ac:dyDescent="0.25">
      <c r="A345" s="2297" t="s">
        <v>39</v>
      </c>
      <c r="B345" s="2298"/>
      <c r="C345" s="2299"/>
      <c r="D345" s="2298"/>
      <c r="E345" s="2298"/>
      <c r="F345" s="2298"/>
      <c r="G345" s="2298"/>
      <c r="H345" s="2298"/>
      <c r="I345" s="2300"/>
      <c r="J345" s="1020">
        <f>SUM(J343:J344)</f>
        <v>120000</v>
      </c>
      <c r="K345" s="564">
        <v>0</v>
      </c>
      <c r="L345" s="739">
        <f>J345-K345</f>
        <v>120000</v>
      </c>
      <c r="M345" s="551"/>
      <c r="N345" s="551"/>
      <c r="O345" s="551"/>
      <c r="P345" s="551"/>
      <c r="Q345" s="551"/>
      <c r="R345" s="551"/>
      <c r="S345" s="551"/>
      <c r="T345" s="551"/>
      <c r="U345" s="551"/>
      <c r="V345" s="551"/>
      <c r="W345" s="551"/>
      <c r="X345" s="551"/>
      <c r="Y345" s="551"/>
      <c r="Z345" s="551"/>
      <c r="AA345" s="551"/>
      <c r="AB345" s="551"/>
    </row>
    <row r="346" spans="1:28" hidden="1" x14ac:dyDescent="0.25">
      <c r="A346" s="2264" t="s">
        <v>514</v>
      </c>
      <c r="B346" s="2265"/>
      <c r="C346" s="2265"/>
      <c r="D346" s="2265"/>
      <c r="E346" s="2265"/>
      <c r="F346" s="2265"/>
      <c r="G346" s="2265"/>
      <c r="H346" s="2265"/>
      <c r="I346" s="2265"/>
      <c r="J346" s="2265"/>
      <c r="K346" s="561"/>
      <c r="M346" s="551"/>
      <c r="N346" s="551"/>
      <c r="O346" s="551"/>
      <c r="P346" s="551"/>
      <c r="Q346" s="551"/>
      <c r="R346" s="551"/>
      <c r="S346" s="551"/>
      <c r="T346" s="551"/>
      <c r="U346" s="551"/>
      <c r="V346" s="551"/>
      <c r="W346" s="551"/>
      <c r="X346" s="551"/>
      <c r="Y346" s="551"/>
      <c r="Z346" s="551"/>
      <c r="AA346" s="551"/>
      <c r="AB346" s="551"/>
    </row>
    <row r="347" spans="1:28" hidden="1" x14ac:dyDescent="0.25">
      <c r="A347" s="2266" t="s">
        <v>1134</v>
      </c>
      <c r="B347" s="2266"/>
      <c r="C347" s="2266"/>
      <c r="D347" s="2266"/>
      <c r="E347" s="2266"/>
      <c r="F347" s="2266"/>
      <c r="G347" s="2266"/>
      <c r="H347" s="2266"/>
      <c r="I347" s="2266"/>
      <c r="J347" s="1403">
        <v>0</v>
      </c>
      <c r="K347" s="564">
        <v>0</v>
      </c>
      <c r="L347" s="739">
        <f>J347-K347</f>
        <v>0</v>
      </c>
      <c r="M347" s="551"/>
      <c r="N347" s="551"/>
      <c r="O347" s="551"/>
      <c r="P347" s="551"/>
      <c r="Q347" s="551"/>
      <c r="R347" s="551"/>
      <c r="S347" s="551"/>
      <c r="T347" s="551"/>
      <c r="U347" s="551"/>
      <c r="V347" s="551"/>
      <c r="W347" s="551"/>
      <c r="X347" s="551"/>
      <c r="Y347" s="551"/>
      <c r="Z347" s="551"/>
      <c r="AA347" s="551"/>
      <c r="AB347" s="551"/>
    </row>
    <row r="348" spans="1:28" hidden="1" x14ac:dyDescent="0.25">
      <c r="A348" s="2266" t="s">
        <v>153</v>
      </c>
      <c r="B348" s="2266"/>
      <c r="C348" s="2266"/>
      <c r="D348" s="2266"/>
      <c r="E348" s="2266"/>
      <c r="F348" s="2266"/>
      <c r="G348" s="2266"/>
      <c r="H348" s="2266"/>
      <c r="I348" s="2266"/>
      <c r="J348" s="1403" t="e">
        <f>#REF!+12000*5+12000</f>
        <v>#REF!</v>
      </c>
      <c r="M348" s="551"/>
      <c r="N348" s="551"/>
      <c r="O348" s="551"/>
      <c r="P348" s="551"/>
      <c r="Q348" s="551"/>
      <c r="R348" s="551"/>
      <c r="S348" s="551"/>
      <c r="T348" s="551"/>
      <c r="U348" s="551"/>
      <c r="V348" s="551"/>
      <c r="W348" s="551"/>
      <c r="X348" s="551"/>
      <c r="Y348" s="551"/>
      <c r="Z348" s="551"/>
      <c r="AA348" s="551"/>
      <c r="AB348" s="551"/>
    </row>
    <row r="349" spans="1:28" hidden="1" x14ac:dyDescent="0.25">
      <c r="A349" s="2258" t="s">
        <v>619</v>
      </c>
      <c r="B349" s="2258"/>
      <c r="C349" s="2258"/>
      <c r="D349" s="2258"/>
      <c r="E349" s="2258"/>
      <c r="F349" s="2258"/>
      <c r="G349" s="2258"/>
      <c r="H349" s="2258"/>
      <c r="I349" s="2258"/>
      <c r="J349" s="821" t="e">
        <f>J345-J347-J348-J350</f>
        <v>#REF!</v>
      </c>
      <c r="K349" s="561"/>
      <c r="M349" s="551"/>
      <c r="N349" s="551"/>
      <c r="O349" s="551"/>
      <c r="P349" s="551"/>
      <c r="Q349" s="551"/>
      <c r="R349" s="551"/>
      <c r="S349" s="551"/>
      <c r="T349" s="551"/>
      <c r="U349" s="551"/>
      <c r="V349" s="551"/>
      <c r="W349" s="551"/>
      <c r="X349" s="551"/>
      <c r="Y349" s="551"/>
      <c r="Z349" s="551"/>
      <c r="AA349" s="551"/>
      <c r="AB349" s="551"/>
    </row>
    <row r="350" spans="1:28" hidden="1" x14ac:dyDescent="0.25">
      <c r="A350" s="2258" t="s">
        <v>1147</v>
      </c>
      <c r="B350" s="2258"/>
      <c r="C350" s="2258"/>
      <c r="D350" s="2258"/>
      <c r="E350" s="2258"/>
      <c r="F350" s="2258"/>
      <c r="G350" s="2258"/>
      <c r="H350" s="2258"/>
      <c r="I350" s="2258"/>
      <c r="J350" s="569">
        <v>0</v>
      </c>
      <c r="K350" s="551"/>
      <c r="L350" s="551"/>
      <c r="M350" s="551"/>
      <c r="N350" s="551"/>
      <c r="O350" s="551"/>
      <c r="P350" s="551"/>
      <c r="Q350" s="551"/>
      <c r="R350" s="551"/>
      <c r="S350" s="551"/>
      <c r="T350" s="551"/>
      <c r="U350" s="551"/>
      <c r="V350" s="551"/>
      <c r="W350" s="551"/>
      <c r="X350" s="551"/>
      <c r="Y350" s="551"/>
      <c r="Z350" s="551"/>
      <c r="AA350" s="551"/>
      <c r="AB350" s="551"/>
    </row>
    <row r="351" spans="1:28" x14ac:dyDescent="0.25">
      <c r="A351" s="779"/>
      <c r="B351" s="779"/>
      <c r="C351" s="779"/>
      <c r="D351" s="779"/>
      <c r="E351" s="779"/>
      <c r="F351" s="779"/>
      <c r="G351" s="779"/>
      <c r="H351" s="779"/>
      <c r="I351" s="779"/>
      <c r="J351" s="629"/>
      <c r="K351" s="551"/>
      <c r="L351" s="551"/>
      <c r="M351" s="551"/>
      <c r="N351" s="551"/>
      <c r="O351" s="551"/>
      <c r="P351" s="551"/>
      <c r="Q351" s="551"/>
      <c r="R351" s="551"/>
      <c r="S351" s="551"/>
      <c r="T351" s="551"/>
      <c r="U351" s="551"/>
      <c r="V351" s="551"/>
      <c r="W351" s="551"/>
      <c r="X351" s="551"/>
      <c r="Y351" s="551"/>
      <c r="Z351" s="551"/>
      <c r="AA351" s="551"/>
      <c r="AB351" s="551"/>
    </row>
    <row r="352" spans="1:28" hidden="1" x14ac:dyDescent="0.25">
      <c r="A352" s="2302" t="s">
        <v>1068</v>
      </c>
      <c r="B352" s="2302"/>
      <c r="C352" s="2302"/>
      <c r="D352" s="2302"/>
      <c r="E352" s="2302"/>
      <c r="F352" s="2302"/>
      <c r="G352" s="2302"/>
      <c r="H352" s="2302"/>
      <c r="I352" s="779"/>
      <c r="J352" s="629"/>
      <c r="K352" s="551"/>
      <c r="L352" s="551"/>
      <c r="M352" s="551"/>
      <c r="N352" s="551"/>
      <c r="O352" s="551"/>
      <c r="P352" s="551"/>
      <c r="Q352" s="551"/>
      <c r="R352" s="551"/>
      <c r="S352" s="551"/>
      <c r="T352" s="551"/>
      <c r="U352" s="551"/>
      <c r="V352" s="551"/>
      <c r="W352" s="551"/>
      <c r="X352" s="551"/>
      <c r="Y352" s="551"/>
      <c r="Z352" s="551"/>
      <c r="AA352" s="551"/>
      <c r="AB352" s="551"/>
    </row>
    <row r="353" spans="1:28" hidden="1" x14ac:dyDescent="0.25">
      <c r="A353" s="2183" t="s">
        <v>8</v>
      </c>
      <c r="B353" s="2183" t="s">
        <v>1</v>
      </c>
      <c r="C353" s="2183"/>
      <c r="D353" s="2183"/>
      <c r="E353" s="2183"/>
      <c r="F353" s="2295" t="s">
        <v>736</v>
      </c>
      <c r="G353" s="2183" t="s">
        <v>735</v>
      </c>
      <c r="H353" s="2183" t="s">
        <v>735</v>
      </c>
      <c r="I353" s="2183"/>
      <c r="J353" s="2183"/>
      <c r="K353" s="551"/>
      <c r="L353" s="551"/>
      <c r="M353" s="551"/>
      <c r="N353" s="551"/>
      <c r="O353" s="551"/>
      <c r="P353" s="551"/>
      <c r="Q353" s="551"/>
      <c r="R353" s="551"/>
      <c r="S353" s="551"/>
      <c r="T353" s="551"/>
      <c r="U353" s="551"/>
      <c r="V353" s="551"/>
      <c r="W353" s="551"/>
      <c r="X353" s="551"/>
      <c r="Y353" s="551"/>
      <c r="Z353" s="551"/>
      <c r="AA353" s="551"/>
      <c r="AB353" s="551"/>
    </row>
    <row r="354" spans="1:28" ht="75" hidden="1" customHeight="1" x14ac:dyDescent="0.25">
      <c r="A354" s="2183"/>
      <c r="B354" s="2183"/>
      <c r="C354" s="2183"/>
      <c r="D354" s="2183"/>
      <c r="E354" s="2183"/>
      <c r="F354" s="2295"/>
      <c r="G354" s="2303" t="s">
        <v>753</v>
      </c>
      <c r="H354" s="2304"/>
      <c r="I354" s="1411" t="s">
        <v>752</v>
      </c>
      <c r="J354" s="1411" t="s">
        <v>256</v>
      </c>
      <c r="K354" s="551"/>
      <c r="L354" s="551"/>
      <c r="M354" s="551"/>
      <c r="N354" s="551"/>
      <c r="O354" s="551"/>
      <c r="P354" s="551"/>
      <c r="Q354" s="551"/>
      <c r="R354" s="551"/>
      <c r="S354" s="551"/>
      <c r="T354" s="551"/>
      <c r="U354" s="551"/>
      <c r="V354" s="551"/>
      <c r="W354" s="551"/>
      <c r="X354" s="551"/>
      <c r="Y354" s="551"/>
      <c r="Z354" s="551"/>
      <c r="AA354" s="551"/>
      <c r="AB354" s="551"/>
    </row>
    <row r="355" spans="1:28" ht="15" hidden="1" customHeight="1" x14ac:dyDescent="0.25">
      <c r="A355" s="630">
        <v>1</v>
      </c>
      <c r="B355" s="2305" t="s">
        <v>754</v>
      </c>
      <c r="C355" s="2306"/>
      <c r="D355" s="2307"/>
      <c r="E355" s="2308"/>
      <c r="F355" s="630" t="s">
        <v>108</v>
      </c>
      <c r="G355" s="2303"/>
      <c r="H355" s="2304"/>
      <c r="I355" s="624"/>
      <c r="J355" s="624">
        <f>G355*I355</f>
        <v>0</v>
      </c>
      <c r="K355" s="551"/>
      <c r="L355" s="551"/>
      <c r="M355" s="551"/>
      <c r="N355" s="551"/>
      <c r="O355" s="551"/>
      <c r="P355" s="551"/>
      <c r="Q355" s="551"/>
      <c r="R355" s="551"/>
      <c r="S355" s="551"/>
      <c r="T355" s="551"/>
      <c r="U355" s="551"/>
      <c r="V355" s="551"/>
      <c r="W355" s="551"/>
      <c r="X355" s="551"/>
      <c r="Y355" s="551"/>
      <c r="Z355" s="551"/>
      <c r="AA355" s="551"/>
      <c r="AB355" s="551"/>
    </row>
    <row r="356" spans="1:28" ht="16.5" hidden="1" customHeight="1" x14ac:dyDescent="0.25">
      <c r="A356" s="2297" t="s">
        <v>39</v>
      </c>
      <c r="B356" s="2298"/>
      <c r="C356" s="2299"/>
      <c r="D356" s="2298"/>
      <c r="E356" s="2298"/>
      <c r="F356" s="2298"/>
      <c r="G356" s="2298"/>
      <c r="H356" s="2298"/>
      <c r="I356" s="2300"/>
      <c r="J356" s="627">
        <f>J355</f>
        <v>0</v>
      </c>
      <c r="K356" s="551"/>
      <c r="L356" s="551"/>
      <c r="M356" s="551"/>
      <c r="N356" s="551"/>
      <c r="O356" s="551"/>
      <c r="P356" s="551"/>
      <c r="Q356" s="551"/>
      <c r="R356" s="551"/>
      <c r="S356" s="551"/>
      <c r="T356" s="551"/>
      <c r="U356" s="551"/>
      <c r="V356" s="551"/>
      <c r="W356" s="551"/>
      <c r="X356" s="551"/>
      <c r="Y356" s="551"/>
      <c r="Z356" s="551"/>
      <c r="AA356" s="551"/>
      <c r="AB356" s="551"/>
    </row>
    <row r="357" spans="1:28" ht="15" hidden="1" customHeight="1" x14ac:dyDescent="0.25">
      <c r="A357" s="2264" t="s">
        <v>514</v>
      </c>
      <c r="B357" s="2265"/>
      <c r="C357" s="2309"/>
      <c r="D357" s="2265"/>
      <c r="E357" s="2265"/>
      <c r="F357" s="2265"/>
      <c r="G357" s="2265"/>
      <c r="H357" s="2265"/>
      <c r="I357" s="2265"/>
      <c r="J357" s="2265"/>
      <c r="K357" s="564"/>
      <c r="L357" s="594"/>
      <c r="M357" s="551"/>
      <c r="N357" s="551"/>
      <c r="O357" s="551"/>
      <c r="P357" s="551"/>
      <c r="Q357" s="551"/>
      <c r="R357" s="551"/>
      <c r="S357" s="551"/>
      <c r="T357" s="551"/>
      <c r="U357" s="551"/>
      <c r="V357" s="551"/>
      <c r="W357" s="551"/>
      <c r="X357" s="551"/>
      <c r="Y357" s="551"/>
      <c r="Z357" s="551"/>
      <c r="AA357" s="551"/>
      <c r="AB357" s="551"/>
    </row>
    <row r="358" spans="1:28" ht="32.25" hidden="1" customHeight="1" x14ac:dyDescent="0.25">
      <c r="A358" s="2310" t="s">
        <v>834</v>
      </c>
      <c r="B358" s="2310"/>
      <c r="C358" s="2310"/>
      <c r="D358" s="2310"/>
      <c r="E358" s="2310"/>
      <c r="F358" s="2310"/>
      <c r="G358" s="2310"/>
      <c r="H358" s="2310"/>
      <c r="I358" s="2310"/>
      <c r="J358" s="620">
        <f>J355</f>
        <v>0</v>
      </c>
      <c r="K358" s="564"/>
      <c r="L358" s="594"/>
      <c r="M358" s="552"/>
      <c r="N358" s="551"/>
      <c r="O358" s="551"/>
      <c r="P358" s="551"/>
      <c r="Q358" s="551"/>
      <c r="R358" s="551"/>
      <c r="S358" s="551"/>
      <c r="T358" s="551"/>
      <c r="U358" s="551"/>
      <c r="V358" s="551"/>
      <c r="W358" s="551"/>
      <c r="X358" s="551"/>
      <c r="Y358" s="551"/>
      <c r="Z358" s="551"/>
      <c r="AA358" s="551"/>
      <c r="AB358" s="551"/>
    </row>
    <row r="359" spans="1:28" ht="15" hidden="1" customHeight="1" x14ac:dyDescent="0.25">
      <c r="A359" s="2258" t="s">
        <v>155</v>
      </c>
      <c r="B359" s="2258"/>
      <c r="C359" s="2258"/>
      <c r="D359" s="2258"/>
      <c r="E359" s="2258"/>
      <c r="F359" s="2258"/>
      <c r="G359" s="2258"/>
      <c r="H359" s="2258"/>
      <c r="I359" s="2258"/>
      <c r="J359" s="624"/>
      <c r="K359" s="564"/>
      <c r="L359" s="594"/>
      <c r="M359" s="611"/>
      <c r="N359" s="551"/>
      <c r="O359" s="551"/>
      <c r="P359" s="551"/>
      <c r="Q359" s="551"/>
      <c r="R359" s="551"/>
      <c r="S359" s="551"/>
      <c r="T359" s="551"/>
      <c r="U359" s="551"/>
      <c r="V359" s="551"/>
      <c r="W359" s="551"/>
      <c r="X359" s="551"/>
      <c r="Y359" s="551"/>
      <c r="Z359" s="551"/>
      <c r="AA359" s="551"/>
      <c r="AB359" s="551"/>
    </row>
    <row r="360" spans="1:28" hidden="1" x14ac:dyDescent="0.25">
      <c r="A360" s="1412"/>
      <c r="B360" s="1412"/>
      <c r="C360" s="1412"/>
      <c r="D360" s="1412"/>
      <c r="E360" s="1412"/>
      <c r="F360" s="1412"/>
      <c r="G360" s="1412"/>
      <c r="H360" s="1412"/>
      <c r="I360" s="779"/>
      <c r="J360" s="629"/>
      <c r="K360" s="564"/>
      <c r="L360" s="594"/>
      <c r="M360" s="611"/>
      <c r="N360" s="551"/>
      <c r="O360" s="551"/>
      <c r="P360" s="551"/>
      <c r="Q360" s="551"/>
      <c r="R360" s="551"/>
      <c r="S360" s="551"/>
      <c r="T360" s="551"/>
      <c r="U360" s="551"/>
      <c r="V360" s="551"/>
      <c r="W360" s="551"/>
      <c r="X360" s="551"/>
      <c r="Y360" s="551"/>
      <c r="Z360" s="551"/>
      <c r="AA360" s="551"/>
      <c r="AB360" s="551"/>
    </row>
    <row r="361" spans="1:28" ht="15" customHeight="1" x14ac:dyDescent="0.25">
      <c r="A361" s="2302" t="s">
        <v>308</v>
      </c>
      <c r="B361" s="2302"/>
      <c r="C361" s="2302"/>
      <c r="D361" s="2302"/>
      <c r="E361" s="2302"/>
      <c r="F361" s="2302"/>
      <c r="G361" s="2302"/>
      <c r="H361" s="2302"/>
      <c r="I361" s="779"/>
      <c r="J361" s="629"/>
      <c r="K361" s="1442"/>
      <c r="L361" s="612"/>
      <c r="N361" s="551"/>
      <c r="O361" s="551"/>
      <c r="P361" s="551"/>
      <c r="Q361" s="551"/>
      <c r="R361" s="551"/>
      <c r="S361" s="551"/>
      <c r="T361" s="551"/>
      <c r="U361" s="551"/>
      <c r="V361" s="551"/>
      <c r="W361" s="551"/>
      <c r="X361" s="551"/>
      <c r="Y361" s="551"/>
      <c r="Z361" s="551"/>
      <c r="AA361" s="551"/>
      <c r="AB361" s="551"/>
    </row>
    <row r="362" spans="1:28" ht="15" customHeight="1" x14ac:dyDescent="0.25">
      <c r="A362" s="2183" t="s">
        <v>8</v>
      </c>
      <c r="B362" s="2183" t="s">
        <v>1</v>
      </c>
      <c r="C362" s="2183"/>
      <c r="D362" s="2183"/>
      <c r="E362" s="2183"/>
      <c r="F362" s="2295" t="s">
        <v>736</v>
      </c>
      <c r="G362" s="2183" t="s">
        <v>2048</v>
      </c>
      <c r="H362" s="2183" t="s">
        <v>735</v>
      </c>
      <c r="I362" s="2183"/>
      <c r="J362" s="2183"/>
      <c r="K362" s="564" t="s">
        <v>1478</v>
      </c>
      <c r="L362" s="594"/>
      <c r="M362" s="551"/>
      <c r="N362" s="551"/>
      <c r="O362" s="551"/>
      <c r="P362" s="551"/>
      <c r="Q362" s="551"/>
      <c r="R362" s="551"/>
      <c r="S362" s="551"/>
      <c r="T362" s="551"/>
      <c r="U362" s="551"/>
      <c r="V362" s="551"/>
      <c r="W362" s="551"/>
      <c r="X362" s="551"/>
      <c r="Y362" s="551"/>
      <c r="Z362" s="551"/>
      <c r="AA362" s="551"/>
      <c r="AB362" s="551"/>
    </row>
    <row r="363" spans="1:28" ht="45.75" customHeight="1" x14ac:dyDescent="0.25">
      <c r="A363" s="2183"/>
      <c r="B363" s="2183"/>
      <c r="C363" s="2183"/>
      <c r="D363" s="2183"/>
      <c r="E363" s="2183"/>
      <c r="F363" s="2295"/>
      <c r="G363" s="1411" t="s">
        <v>741</v>
      </c>
      <c r="H363" s="1411" t="s">
        <v>748</v>
      </c>
      <c r="I363" s="1411" t="s">
        <v>268</v>
      </c>
      <c r="J363" s="1411" t="s">
        <v>256</v>
      </c>
      <c r="K363" s="564"/>
      <c r="L363" s="594"/>
      <c r="M363" s="551"/>
      <c r="N363" s="551"/>
      <c r="O363" s="551"/>
      <c r="P363" s="551"/>
      <c r="Q363" s="551"/>
      <c r="R363" s="551"/>
      <c r="S363" s="551"/>
      <c r="T363" s="551"/>
      <c r="U363" s="551"/>
      <c r="V363" s="551"/>
      <c r="W363" s="551"/>
      <c r="X363" s="551"/>
      <c r="Y363" s="551"/>
      <c r="Z363" s="551"/>
      <c r="AA363" s="551"/>
      <c r="AB363" s="551"/>
    </row>
    <row r="364" spans="1:28" ht="44.25" customHeight="1" x14ac:dyDescent="0.25">
      <c r="A364" s="630">
        <v>1</v>
      </c>
      <c r="B364" s="2301" t="s">
        <v>1859</v>
      </c>
      <c r="C364" s="2302"/>
      <c r="D364" s="2302"/>
      <c r="E364" s="2302"/>
      <c r="F364" s="630" t="s">
        <v>750</v>
      </c>
      <c r="G364" s="630">
        <v>1</v>
      </c>
      <c r="H364" s="631">
        <v>12</v>
      </c>
      <c r="I364" s="632">
        <v>3779</v>
      </c>
      <c r="J364" s="633">
        <f>G364*H364*I364</f>
        <v>45348</v>
      </c>
      <c r="K364" s="564"/>
      <c r="L364" s="594"/>
      <c r="O364" s="551"/>
      <c r="P364" s="551"/>
      <c r="Q364" s="551"/>
      <c r="R364" s="551"/>
      <c r="S364" s="551"/>
      <c r="T364" s="551"/>
      <c r="U364" s="551"/>
      <c r="V364" s="551"/>
      <c r="W364" s="551"/>
      <c r="X364" s="551"/>
      <c r="Y364" s="551"/>
      <c r="Z364" s="551"/>
      <c r="AA364" s="551"/>
      <c r="AB364" s="551"/>
    </row>
    <row r="365" spans="1:28" ht="47.25" customHeight="1" x14ac:dyDescent="0.25">
      <c r="A365" s="630">
        <v>2</v>
      </c>
      <c r="B365" s="2301" t="s">
        <v>1860</v>
      </c>
      <c r="C365" s="2302"/>
      <c r="D365" s="2302"/>
      <c r="E365" s="2302"/>
      <c r="F365" s="630" t="s">
        <v>750</v>
      </c>
      <c r="G365" s="630">
        <v>1</v>
      </c>
      <c r="H365" s="631">
        <v>12</v>
      </c>
      <c r="I365" s="632">
        <v>3759</v>
      </c>
      <c r="J365" s="633">
        <f>G365*H365*I365</f>
        <v>45108</v>
      </c>
      <c r="K365" s="564"/>
      <c r="L365" s="594"/>
      <c r="O365" s="551"/>
      <c r="P365" s="551"/>
      <c r="Q365" s="551"/>
      <c r="R365" s="551"/>
      <c r="S365" s="551"/>
      <c r="T365" s="551"/>
      <c r="U365" s="551"/>
      <c r="V365" s="551"/>
      <c r="W365" s="551"/>
      <c r="X365" s="551"/>
      <c r="Y365" s="551"/>
      <c r="Z365" s="551"/>
      <c r="AA365" s="551"/>
      <c r="AB365" s="551"/>
    </row>
    <row r="366" spans="1:28" x14ac:dyDescent="0.25">
      <c r="A366" s="2297" t="s">
        <v>39</v>
      </c>
      <c r="B366" s="2298"/>
      <c r="C366" s="2299"/>
      <c r="D366" s="2298"/>
      <c r="E366" s="2298"/>
      <c r="F366" s="2298"/>
      <c r="G366" s="2298"/>
      <c r="H366" s="2298"/>
      <c r="I366" s="2300"/>
      <c r="J366" s="1020">
        <f>SUM(J364:J365)</f>
        <v>90456</v>
      </c>
      <c r="K366" s="564">
        <v>0</v>
      </c>
      <c r="L366" s="739">
        <f>J366-K366</f>
        <v>90456</v>
      </c>
      <c r="O366" s="551"/>
      <c r="P366" s="551"/>
      <c r="Q366" s="551"/>
      <c r="R366" s="551"/>
      <c r="S366" s="551"/>
      <c r="T366" s="551"/>
      <c r="U366" s="551"/>
      <c r="V366" s="551"/>
      <c r="W366" s="551"/>
      <c r="X366" s="551"/>
      <c r="Y366" s="551"/>
      <c r="Z366" s="551"/>
      <c r="AA366" s="551"/>
      <c r="AB366" s="551"/>
    </row>
    <row r="367" spans="1:28" hidden="1" x14ac:dyDescent="0.25">
      <c r="A367" s="2264" t="s">
        <v>514</v>
      </c>
      <c r="B367" s="2265"/>
      <c r="C367" s="2265"/>
      <c r="D367" s="2265"/>
      <c r="E367" s="2265"/>
      <c r="F367" s="2265"/>
      <c r="G367" s="2265"/>
      <c r="H367" s="2265"/>
      <c r="I367" s="2265"/>
      <c r="J367" s="2265"/>
      <c r="K367" s="564"/>
      <c r="L367" s="594"/>
      <c r="M367" s="595"/>
      <c r="N367" s="551"/>
      <c r="O367" s="551"/>
      <c r="P367" s="551"/>
      <c r="Q367" s="551"/>
      <c r="R367" s="551"/>
      <c r="S367" s="551"/>
      <c r="T367" s="551"/>
      <c r="U367" s="551"/>
      <c r="V367" s="551"/>
      <c r="W367" s="551"/>
      <c r="X367" s="551"/>
      <c r="Y367" s="551"/>
      <c r="Z367" s="551"/>
      <c r="AA367" s="551"/>
      <c r="AB367" s="551"/>
    </row>
    <row r="368" spans="1:28" hidden="1" x14ac:dyDescent="0.25">
      <c r="A368" s="2266" t="s">
        <v>1134</v>
      </c>
      <c r="B368" s="2266"/>
      <c r="C368" s="2266"/>
      <c r="D368" s="2266"/>
      <c r="E368" s="2266"/>
      <c r="F368" s="2266"/>
      <c r="G368" s="2266"/>
      <c r="H368" s="2266"/>
      <c r="I368" s="2266"/>
      <c r="J368" s="1435">
        <v>0</v>
      </c>
      <c r="K368" s="551"/>
      <c r="M368" s="551"/>
      <c r="N368" s="551"/>
      <c r="O368" s="551"/>
      <c r="P368" s="551"/>
      <c r="Q368" s="551"/>
      <c r="R368" s="551"/>
      <c r="S368" s="551"/>
      <c r="T368" s="551"/>
      <c r="U368" s="551"/>
      <c r="V368" s="551"/>
      <c r="W368" s="551"/>
      <c r="X368" s="551"/>
      <c r="Y368" s="551"/>
      <c r="Z368" s="551"/>
      <c r="AA368" s="551"/>
      <c r="AB368" s="551"/>
    </row>
    <row r="369" spans="1:28" hidden="1" x14ac:dyDescent="0.25">
      <c r="A369" s="2266" t="s">
        <v>153</v>
      </c>
      <c r="B369" s="2266"/>
      <c r="C369" s="2266"/>
      <c r="D369" s="2266"/>
      <c r="E369" s="2266"/>
      <c r="F369" s="2266"/>
      <c r="G369" s="2266"/>
      <c r="H369" s="2266"/>
      <c r="I369" s="2266"/>
      <c r="J369" s="1403">
        <f>8000*6+8000</f>
        <v>56000</v>
      </c>
      <c r="M369" s="551"/>
      <c r="N369" s="551"/>
      <c r="O369" s="551"/>
      <c r="P369" s="551"/>
      <c r="Q369" s="551"/>
      <c r="R369" s="551"/>
      <c r="S369" s="551"/>
      <c r="T369" s="551"/>
      <c r="U369" s="551"/>
      <c r="V369" s="551"/>
      <c r="W369" s="551"/>
      <c r="X369" s="551"/>
      <c r="Y369" s="551"/>
      <c r="Z369" s="551"/>
      <c r="AA369" s="551"/>
      <c r="AB369" s="551"/>
    </row>
    <row r="370" spans="1:28" hidden="1" x14ac:dyDescent="0.25">
      <c r="A370" s="2258" t="s">
        <v>619</v>
      </c>
      <c r="B370" s="2258"/>
      <c r="C370" s="2258"/>
      <c r="D370" s="2258"/>
      <c r="E370" s="2258"/>
      <c r="F370" s="2258"/>
      <c r="G370" s="2258"/>
      <c r="H370" s="2258"/>
      <c r="I370" s="2258"/>
      <c r="J370" s="624">
        <f>J366-J368-J369-J371</f>
        <v>34456</v>
      </c>
      <c r="K370" s="551"/>
      <c r="L370" s="551"/>
      <c r="M370" s="551"/>
      <c r="N370" s="551"/>
      <c r="O370" s="551"/>
      <c r="P370" s="551"/>
      <c r="Q370" s="551"/>
      <c r="R370" s="551"/>
      <c r="S370" s="551"/>
      <c r="T370" s="551"/>
      <c r="U370" s="551"/>
      <c r="V370" s="551"/>
      <c r="W370" s="551"/>
      <c r="X370" s="551"/>
      <c r="Y370" s="551"/>
      <c r="Z370" s="551"/>
      <c r="AA370" s="551"/>
      <c r="AB370" s="551"/>
    </row>
    <row r="371" spans="1:28" hidden="1" x14ac:dyDescent="0.25">
      <c r="A371" s="2258" t="s">
        <v>1147</v>
      </c>
      <c r="B371" s="2258"/>
      <c r="C371" s="2258"/>
      <c r="D371" s="2258"/>
      <c r="E371" s="2258"/>
      <c r="F371" s="2258"/>
      <c r="G371" s="2258"/>
      <c r="H371" s="2258"/>
      <c r="I371" s="2258"/>
      <c r="J371" s="569">
        <v>0</v>
      </c>
      <c r="K371" s="551"/>
      <c r="L371" s="551"/>
      <c r="M371" s="551"/>
      <c r="N371" s="551"/>
      <c r="O371" s="551"/>
      <c r="P371" s="551"/>
      <c r="Q371" s="551"/>
      <c r="R371" s="551"/>
      <c r="S371" s="551"/>
      <c r="T371" s="551"/>
      <c r="U371" s="551"/>
      <c r="V371" s="551"/>
      <c r="W371" s="551"/>
      <c r="X371" s="551"/>
      <c r="Y371" s="551"/>
      <c r="Z371" s="551"/>
      <c r="AA371" s="551"/>
      <c r="AB371" s="551"/>
    </row>
    <row r="372" spans="1:28" x14ac:dyDescent="0.25">
      <c r="A372" s="779"/>
      <c r="B372" s="779"/>
      <c r="C372" s="779"/>
      <c r="D372" s="779"/>
      <c r="E372" s="779"/>
      <c r="F372" s="779"/>
      <c r="G372" s="779"/>
      <c r="H372" s="779"/>
      <c r="I372" s="779"/>
      <c r="J372" s="629"/>
      <c r="K372" s="551"/>
      <c r="L372" s="551"/>
      <c r="M372" s="551"/>
      <c r="N372" s="551"/>
      <c r="O372" s="551"/>
      <c r="P372" s="551"/>
      <c r="Q372" s="551"/>
      <c r="R372" s="551"/>
      <c r="S372" s="551"/>
      <c r="T372" s="551"/>
      <c r="U372" s="551"/>
      <c r="V372" s="551"/>
      <c r="W372" s="551"/>
      <c r="X372" s="551"/>
      <c r="Y372" s="551"/>
      <c r="Z372" s="551"/>
      <c r="AA372" s="551"/>
      <c r="AB372" s="551"/>
    </row>
    <row r="373" spans="1:28" x14ac:dyDescent="0.25">
      <c r="A373" s="2302" t="s">
        <v>308</v>
      </c>
      <c r="B373" s="2302"/>
      <c r="C373" s="2302"/>
      <c r="D373" s="2302"/>
      <c r="E373" s="2302"/>
      <c r="F373" s="2302"/>
      <c r="G373" s="2302"/>
      <c r="H373" s="2302"/>
      <c r="I373" s="779"/>
      <c r="J373" s="629"/>
      <c r="K373" s="551"/>
      <c r="L373" s="551"/>
      <c r="M373" s="551"/>
      <c r="N373" s="551"/>
      <c r="O373" s="551"/>
      <c r="P373" s="551"/>
      <c r="Q373" s="551"/>
      <c r="R373" s="551"/>
      <c r="S373" s="551"/>
      <c r="T373" s="551"/>
      <c r="U373" s="551"/>
      <c r="V373" s="551"/>
      <c r="W373" s="551"/>
      <c r="X373" s="551"/>
      <c r="Y373" s="551"/>
      <c r="Z373" s="551"/>
      <c r="AA373" s="551"/>
      <c r="AB373" s="551"/>
    </row>
    <row r="374" spans="1:28" ht="15" customHeight="1" x14ac:dyDescent="0.25">
      <c r="A374" s="2183" t="s">
        <v>8</v>
      </c>
      <c r="B374" s="2183" t="s">
        <v>1</v>
      </c>
      <c r="C374" s="2183"/>
      <c r="D374" s="2183"/>
      <c r="E374" s="2183"/>
      <c r="F374" s="2295" t="s">
        <v>736</v>
      </c>
      <c r="G374" s="2183" t="s">
        <v>2048</v>
      </c>
      <c r="H374" s="2183" t="s">
        <v>735</v>
      </c>
      <c r="I374" s="2183"/>
      <c r="J374" s="2183"/>
      <c r="K374" s="551" t="s">
        <v>1478</v>
      </c>
      <c r="L374" s="551"/>
      <c r="M374" s="551"/>
      <c r="N374" s="551"/>
      <c r="O374" s="551"/>
      <c r="P374" s="551"/>
      <c r="Q374" s="551"/>
      <c r="R374" s="551"/>
      <c r="S374" s="551"/>
      <c r="T374" s="551"/>
      <c r="U374" s="551"/>
      <c r="V374" s="551"/>
      <c r="W374" s="551"/>
      <c r="X374" s="551"/>
      <c r="Y374" s="551"/>
      <c r="Z374" s="551"/>
      <c r="AA374" s="551"/>
      <c r="AB374" s="551"/>
    </row>
    <row r="375" spans="1:28" ht="45.75" customHeight="1" x14ac:dyDescent="0.25">
      <c r="A375" s="2183"/>
      <c r="B375" s="2183"/>
      <c r="C375" s="2183"/>
      <c r="D375" s="2183"/>
      <c r="E375" s="2183"/>
      <c r="F375" s="2295"/>
      <c r="G375" s="1411" t="s">
        <v>741</v>
      </c>
      <c r="H375" s="1411" t="s">
        <v>748</v>
      </c>
      <c r="I375" s="1411" t="s">
        <v>268</v>
      </c>
      <c r="J375" s="1411" t="s">
        <v>256</v>
      </c>
      <c r="K375" s="564"/>
      <c r="M375" s="551"/>
      <c r="N375" s="551"/>
      <c r="O375" s="551"/>
      <c r="P375" s="551"/>
      <c r="Q375" s="551"/>
      <c r="R375" s="551"/>
      <c r="S375" s="551"/>
      <c r="T375" s="551"/>
      <c r="U375" s="551"/>
      <c r="V375" s="551"/>
      <c r="W375" s="551"/>
      <c r="X375" s="551"/>
      <c r="Y375" s="551"/>
      <c r="Z375" s="551"/>
      <c r="AA375" s="551"/>
      <c r="AB375" s="551"/>
    </row>
    <row r="376" spans="1:28" ht="29.25" customHeight="1" x14ac:dyDescent="0.25">
      <c r="A376" s="630">
        <v>1</v>
      </c>
      <c r="B376" s="2301" t="s">
        <v>1861</v>
      </c>
      <c r="C376" s="2302"/>
      <c r="D376" s="2302"/>
      <c r="E376" s="2302"/>
      <c r="F376" s="630" t="s">
        <v>108</v>
      </c>
      <c r="G376" s="630">
        <v>1</v>
      </c>
      <c r="H376" s="631">
        <f>9</f>
        <v>9</v>
      </c>
      <c r="I376" s="632">
        <v>22000</v>
      </c>
      <c r="J376" s="624">
        <f>G376*H376*I376</f>
        <v>198000</v>
      </c>
      <c r="K376" s="564"/>
      <c r="M376" s="610"/>
      <c r="N376" s="551"/>
      <c r="O376" s="551"/>
      <c r="P376" s="551"/>
      <c r="Q376" s="551"/>
      <c r="R376" s="551"/>
      <c r="S376" s="551"/>
      <c r="T376" s="551"/>
      <c r="U376" s="551"/>
      <c r="V376" s="551"/>
      <c r="W376" s="551"/>
      <c r="X376" s="551"/>
      <c r="Y376" s="551"/>
      <c r="Z376" s="551"/>
      <c r="AA376" s="551"/>
      <c r="AB376" s="551"/>
    </row>
    <row r="377" spans="1:28" x14ac:dyDescent="0.25">
      <c r="A377" s="2297" t="s">
        <v>39</v>
      </c>
      <c r="B377" s="2298"/>
      <c r="C377" s="2299"/>
      <c r="D377" s="2298"/>
      <c r="E377" s="2298"/>
      <c r="F377" s="2298"/>
      <c r="G377" s="2298"/>
      <c r="H377" s="2298"/>
      <c r="I377" s="2300"/>
      <c r="J377" s="1020">
        <f>SUM(J376:J376)</f>
        <v>198000</v>
      </c>
      <c r="K377" s="564">
        <v>0</v>
      </c>
      <c r="L377" s="739">
        <f>J377-K377</f>
        <v>198000</v>
      </c>
      <c r="M377" s="610"/>
      <c r="N377" s="551"/>
      <c r="O377" s="551"/>
      <c r="P377" s="551"/>
      <c r="Q377" s="551"/>
      <c r="R377" s="551"/>
      <c r="S377" s="551"/>
      <c r="T377" s="551"/>
      <c r="U377" s="551"/>
      <c r="V377" s="551"/>
      <c r="W377" s="551"/>
      <c r="X377" s="551"/>
      <c r="Y377" s="551"/>
      <c r="Z377" s="551"/>
      <c r="AA377" s="551"/>
      <c r="AB377" s="551"/>
    </row>
    <row r="378" spans="1:28" hidden="1" x14ac:dyDescent="0.25">
      <c r="A378" s="2264" t="s">
        <v>514</v>
      </c>
      <c r="B378" s="2265"/>
      <c r="C378" s="2265"/>
      <c r="D378" s="2265"/>
      <c r="E378" s="2265"/>
      <c r="F378" s="2265"/>
      <c r="G378" s="2265"/>
      <c r="H378" s="2265"/>
      <c r="I378" s="2265"/>
      <c r="J378" s="2265"/>
      <c r="K378" s="564"/>
      <c r="M378" s="551"/>
      <c r="N378" s="551"/>
      <c r="O378" s="551"/>
      <c r="P378" s="551"/>
      <c r="Q378" s="551"/>
      <c r="R378" s="551"/>
      <c r="S378" s="551"/>
      <c r="T378" s="551"/>
      <c r="U378" s="551"/>
      <c r="V378" s="551"/>
      <c r="W378" s="551"/>
      <c r="X378" s="551"/>
      <c r="Y378" s="551"/>
      <c r="Z378" s="551"/>
      <c r="AA378" s="551"/>
      <c r="AB378" s="551"/>
    </row>
    <row r="379" spans="1:28" hidden="1" x14ac:dyDescent="0.25">
      <c r="A379" s="2266" t="s">
        <v>1134</v>
      </c>
      <c r="B379" s="2266"/>
      <c r="C379" s="2266"/>
      <c r="D379" s="2266"/>
      <c r="E379" s="2266"/>
      <c r="F379" s="2266"/>
      <c r="G379" s="2266"/>
      <c r="H379" s="2266"/>
      <c r="I379" s="2266"/>
      <c r="J379" s="1435">
        <v>0</v>
      </c>
      <c r="K379" s="551"/>
      <c r="M379" s="551"/>
      <c r="N379" s="551"/>
      <c r="O379" s="551"/>
      <c r="P379" s="551"/>
      <c r="Q379" s="551"/>
      <c r="R379" s="551"/>
      <c r="S379" s="551"/>
      <c r="T379" s="551"/>
      <c r="U379" s="551"/>
      <c r="V379" s="551"/>
      <c r="W379" s="551"/>
      <c r="X379" s="551"/>
      <c r="Y379" s="551"/>
      <c r="Z379" s="551"/>
      <c r="AA379" s="551"/>
      <c r="AB379" s="551"/>
    </row>
    <row r="380" spans="1:28" ht="29.25" hidden="1" customHeight="1" x14ac:dyDescent="0.25">
      <c r="A380" s="1953" t="s">
        <v>1790</v>
      </c>
      <c r="B380" s="1953"/>
      <c r="C380" s="1953"/>
      <c r="D380" s="1953"/>
      <c r="E380" s="1953"/>
      <c r="F380" s="1953"/>
      <c r="G380" s="1953"/>
      <c r="H380" s="1953"/>
      <c r="I380" s="1953"/>
      <c r="J380" s="1403"/>
      <c r="K380" s="564"/>
      <c r="L380" s="739"/>
      <c r="M380" s="551"/>
      <c r="N380" s="551"/>
      <c r="O380" s="551"/>
      <c r="P380" s="551"/>
      <c r="Q380" s="551"/>
      <c r="R380" s="551"/>
      <c r="S380" s="551"/>
      <c r="T380" s="551"/>
      <c r="U380" s="551"/>
      <c r="V380" s="551"/>
      <c r="W380" s="551"/>
      <c r="X380" s="551"/>
      <c r="Y380" s="551"/>
      <c r="Z380" s="551"/>
      <c r="AA380" s="551"/>
      <c r="AB380" s="551"/>
    </row>
    <row r="381" spans="1:28" ht="29.25" hidden="1" customHeight="1" x14ac:dyDescent="0.25">
      <c r="A381" s="2258" t="s">
        <v>1791</v>
      </c>
      <c r="B381" s="2258"/>
      <c r="C381" s="2258"/>
      <c r="D381" s="2258"/>
      <c r="E381" s="2258"/>
      <c r="F381" s="2258"/>
      <c r="G381" s="2258"/>
      <c r="H381" s="2258"/>
      <c r="I381" s="2258"/>
      <c r="J381" s="821"/>
      <c r="K381" s="564"/>
      <c r="L381" s="739"/>
      <c r="M381" s="551"/>
      <c r="N381" s="551"/>
      <c r="O381" s="551"/>
      <c r="P381" s="551"/>
      <c r="Q381" s="551"/>
      <c r="R381" s="551"/>
      <c r="S381" s="551"/>
      <c r="T381" s="551"/>
      <c r="U381" s="551"/>
      <c r="V381" s="551"/>
      <c r="W381" s="551"/>
      <c r="X381" s="551"/>
      <c r="Y381" s="551"/>
      <c r="Z381" s="551"/>
      <c r="AA381" s="551"/>
      <c r="AB381" s="551"/>
    </row>
    <row r="382" spans="1:28" hidden="1" x14ac:dyDescent="0.25">
      <c r="A382" s="2258" t="s">
        <v>1147</v>
      </c>
      <c r="B382" s="2258"/>
      <c r="C382" s="2258"/>
      <c r="D382" s="2258"/>
      <c r="E382" s="2258"/>
      <c r="F382" s="2258"/>
      <c r="G382" s="2258"/>
      <c r="H382" s="2258"/>
      <c r="I382" s="2258"/>
      <c r="J382" s="569">
        <v>0</v>
      </c>
      <c r="K382" s="564"/>
      <c r="M382" s="551"/>
      <c r="N382" s="551"/>
      <c r="O382" s="551"/>
      <c r="P382" s="551"/>
      <c r="Q382" s="551"/>
      <c r="R382" s="551"/>
      <c r="S382" s="551"/>
      <c r="T382" s="551"/>
      <c r="U382" s="551"/>
      <c r="V382" s="551"/>
      <c r="W382" s="551"/>
      <c r="X382" s="551"/>
      <c r="Y382" s="551"/>
      <c r="Z382" s="551"/>
      <c r="AA382" s="551"/>
      <c r="AB382" s="551"/>
    </row>
    <row r="383" spans="1:28" x14ac:dyDescent="0.25">
      <c r="A383" s="779"/>
      <c r="B383" s="779"/>
      <c r="C383" s="779"/>
      <c r="D383" s="779"/>
      <c r="E383" s="779"/>
      <c r="F383" s="779"/>
      <c r="G383" s="779"/>
      <c r="H383" s="779"/>
      <c r="I383" s="779"/>
      <c r="J383" s="629"/>
      <c r="K383" s="564"/>
      <c r="M383" s="551"/>
      <c r="N383" s="551"/>
      <c r="O383" s="551"/>
      <c r="P383" s="551"/>
      <c r="Q383" s="551"/>
      <c r="R383" s="551"/>
      <c r="S383" s="551"/>
      <c r="T383" s="551"/>
      <c r="U383" s="551"/>
      <c r="V383" s="551"/>
      <c r="W383" s="551"/>
      <c r="X383" s="551"/>
      <c r="Y383" s="551"/>
      <c r="Z383" s="551"/>
      <c r="AA383" s="551"/>
      <c r="AB383" s="551"/>
    </row>
    <row r="384" spans="1:28" x14ac:dyDescent="0.25">
      <c r="A384" s="2302" t="s">
        <v>308</v>
      </c>
      <c r="B384" s="2302"/>
      <c r="C384" s="2302"/>
      <c r="D384" s="2302"/>
      <c r="E384" s="2302"/>
      <c r="F384" s="2302"/>
      <c r="G384" s="2302"/>
      <c r="H384" s="2302"/>
      <c r="I384" s="779"/>
      <c r="J384" s="629"/>
      <c r="K384" s="564"/>
      <c r="M384" s="551"/>
      <c r="N384" s="551"/>
      <c r="O384" s="551"/>
      <c r="P384" s="551"/>
      <c r="Q384" s="551"/>
      <c r="R384" s="551"/>
      <c r="S384" s="551"/>
      <c r="T384" s="551"/>
      <c r="U384" s="551"/>
      <c r="V384" s="551"/>
      <c r="W384" s="551"/>
      <c r="X384" s="551"/>
      <c r="Y384" s="551"/>
      <c r="Z384" s="551"/>
      <c r="AA384" s="551"/>
      <c r="AB384" s="551"/>
    </row>
    <row r="385" spans="1:28" ht="15" customHeight="1" x14ac:dyDescent="0.25">
      <c r="A385" s="2183" t="s">
        <v>8</v>
      </c>
      <c r="B385" s="2183" t="s">
        <v>1</v>
      </c>
      <c r="C385" s="2183"/>
      <c r="D385" s="2183"/>
      <c r="E385" s="2183"/>
      <c r="F385" s="2295" t="s">
        <v>736</v>
      </c>
      <c r="G385" s="2183" t="s">
        <v>2048</v>
      </c>
      <c r="H385" s="2183" t="s">
        <v>735</v>
      </c>
      <c r="I385" s="2183"/>
      <c r="J385" s="2183"/>
      <c r="K385" s="564" t="s">
        <v>1478</v>
      </c>
      <c r="M385" s="551"/>
      <c r="N385" s="551"/>
      <c r="O385" s="551"/>
      <c r="P385" s="551"/>
      <c r="Q385" s="551"/>
      <c r="R385" s="551"/>
      <c r="S385" s="551"/>
      <c r="T385" s="551"/>
      <c r="U385" s="551"/>
      <c r="V385" s="551"/>
      <c r="W385" s="551"/>
      <c r="X385" s="551"/>
      <c r="Y385" s="551"/>
      <c r="Z385" s="551"/>
      <c r="AA385" s="551"/>
      <c r="AB385" s="551"/>
    </row>
    <row r="386" spans="1:28" ht="47.25" customHeight="1" x14ac:dyDescent="0.25">
      <c r="A386" s="2183"/>
      <c r="B386" s="2183"/>
      <c r="C386" s="2183"/>
      <c r="D386" s="2183"/>
      <c r="E386" s="2183"/>
      <c r="F386" s="2295"/>
      <c r="G386" s="1411" t="s">
        <v>747</v>
      </c>
      <c r="H386" s="1411" t="s">
        <v>748</v>
      </c>
      <c r="I386" s="1411" t="s">
        <v>268</v>
      </c>
      <c r="J386" s="1411" t="s">
        <v>256</v>
      </c>
      <c r="K386" s="565"/>
      <c r="M386" s="551"/>
      <c r="N386" s="551"/>
      <c r="O386" s="551"/>
      <c r="P386" s="551"/>
      <c r="Q386" s="551"/>
      <c r="R386" s="551"/>
      <c r="S386" s="551"/>
      <c r="T386" s="551"/>
      <c r="U386" s="551"/>
      <c r="V386" s="551"/>
      <c r="W386" s="551"/>
      <c r="X386" s="551"/>
      <c r="Y386" s="551"/>
      <c r="Z386" s="551"/>
      <c r="AA386" s="551"/>
      <c r="AB386" s="551"/>
    </row>
    <row r="387" spans="1:28" ht="30.75" customHeight="1" x14ac:dyDescent="0.25">
      <c r="A387" s="1411">
        <v>1</v>
      </c>
      <c r="B387" s="2258" t="s">
        <v>1164</v>
      </c>
      <c r="C387" s="2258"/>
      <c r="D387" s="2258"/>
      <c r="E387" s="2258"/>
      <c r="F387" s="1411" t="s">
        <v>1862</v>
      </c>
      <c r="G387" s="1411">
        <v>7</v>
      </c>
      <c r="H387" s="628">
        <v>10</v>
      </c>
      <c r="I387" s="624">
        <v>640</v>
      </c>
      <c r="J387" s="624">
        <f>G387*H387*I387</f>
        <v>44800</v>
      </c>
      <c r="K387" s="610"/>
      <c r="L387" s="551"/>
      <c r="M387" s="551"/>
      <c r="N387" s="551"/>
      <c r="O387" s="551"/>
      <c r="P387" s="551"/>
      <c r="Q387" s="551"/>
      <c r="R387" s="551"/>
      <c r="S387" s="551"/>
      <c r="T387" s="551"/>
      <c r="U387" s="551"/>
      <c r="V387" s="551"/>
      <c r="W387" s="551"/>
      <c r="X387" s="551"/>
      <c r="Y387" s="551"/>
      <c r="Z387" s="551"/>
      <c r="AA387" s="551"/>
      <c r="AB387" s="551"/>
    </row>
    <row r="388" spans="1:28" ht="30" customHeight="1" x14ac:dyDescent="0.25">
      <c r="A388" s="1411">
        <v>2</v>
      </c>
      <c r="B388" s="2311" t="s">
        <v>1165</v>
      </c>
      <c r="C388" s="2311"/>
      <c r="D388" s="2311"/>
      <c r="E388" s="2311"/>
      <c r="F388" s="1411" t="s">
        <v>1862</v>
      </c>
      <c r="G388" s="1411">
        <v>8</v>
      </c>
      <c r="H388" s="628">
        <v>10</v>
      </c>
      <c r="I388" s="624">
        <v>640</v>
      </c>
      <c r="J388" s="624">
        <f>G388*H388*I388</f>
        <v>51200</v>
      </c>
      <c r="K388" s="610"/>
      <c r="L388" s="551"/>
      <c r="M388" s="551"/>
      <c r="N388" s="551"/>
      <c r="O388" s="551"/>
      <c r="P388" s="551"/>
      <c r="Q388" s="551"/>
      <c r="R388" s="551"/>
      <c r="S388" s="551"/>
      <c r="T388" s="551"/>
      <c r="U388" s="551"/>
      <c r="V388" s="551"/>
      <c r="W388" s="551"/>
      <c r="X388" s="551"/>
      <c r="Y388" s="551"/>
      <c r="Z388" s="551"/>
      <c r="AA388" s="551"/>
      <c r="AB388" s="551"/>
    </row>
    <row r="389" spans="1:28" ht="15.75" customHeight="1" x14ac:dyDescent="0.25">
      <c r="A389" s="2296" t="s">
        <v>39</v>
      </c>
      <c r="B389" s="2296"/>
      <c r="C389" s="2296"/>
      <c r="D389" s="2296"/>
      <c r="E389" s="2296"/>
      <c r="F389" s="2296"/>
      <c r="G389" s="2296"/>
      <c r="H389" s="2296"/>
      <c r="I389" s="2296"/>
      <c r="J389" s="1020">
        <f>SUM(J387:J388)</f>
        <v>96000</v>
      </c>
      <c r="K389" s="564">
        <v>0</v>
      </c>
      <c r="L389" s="739">
        <f>J389-K389</f>
        <v>96000</v>
      </c>
      <c r="M389" s="551"/>
      <c r="N389" s="551"/>
      <c r="O389" s="551"/>
      <c r="P389" s="551"/>
      <c r="Q389" s="551"/>
      <c r="R389" s="551"/>
      <c r="S389" s="551"/>
      <c r="T389" s="551"/>
      <c r="U389" s="551"/>
      <c r="V389" s="551"/>
      <c r="W389" s="551"/>
      <c r="X389" s="551"/>
      <c r="Y389" s="551"/>
      <c r="Z389" s="551"/>
      <c r="AA389" s="551"/>
      <c r="AB389" s="551"/>
    </row>
    <row r="390" spans="1:28" hidden="1" x14ac:dyDescent="0.25">
      <c r="A390" s="2258" t="s">
        <v>1147</v>
      </c>
      <c r="B390" s="2258"/>
      <c r="C390" s="2258"/>
      <c r="D390" s="2258"/>
      <c r="E390" s="2258"/>
      <c r="F390" s="2258"/>
      <c r="G390" s="2258"/>
      <c r="H390" s="2258"/>
      <c r="I390" s="2258"/>
      <c r="J390" s="569">
        <v>0</v>
      </c>
      <c r="K390" s="551"/>
      <c r="M390" s="551"/>
      <c r="N390" s="551"/>
      <c r="O390" s="551"/>
      <c r="P390" s="551"/>
      <c r="Q390" s="551"/>
      <c r="R390" s="551"/>
      <c r="S390" s="551"/>
      <c r="T390" s="551"/>
      <c r="U390" s="551"/>
      <c r="V390" s="551"/>
      <c r="W390" s="551"/>
      <c r="X390" s="551"/>
      <c r="Y390" s="551"/>
      <c r="Z390" s="551"/>
      <c r="AA390" s="551"/>
      <c r="AB390" s="551"/>
    </row>
    <row r="391" spans="1:28" x14ac:dyDescent="0.25">
      <c r="A391" s="779"/>
      <c r="B391" s="779"/>
      <c r="C391" s="779"/>
      <c r="D391" s="779"/>
      <c r="E391" s="779"/>
      <c r="F391" s="779"/>
      <c r="G391" s="779"/>
      <c r="H391" s="779"/>
      <c r="I391" s="779"/>
      <c r="J391" s="629"/>
      <c r="K391" s="550"/>
      <c r="M391" s="551"/>
      <c r="N391" s="551"/>
      <c r="O391" s="551"/>
      <c r="P391" s="551"/>
      <c r="Q391" s="551"/>
      <c r="R391" s="551"/>
      <c r="S391" s="551"/>
      <c r="T391" s="551"/>
      <c r="U391" s="551"/>
      <c r="V391" s="551"/>
      <c r="W391" s="551"/>
      <c r="X391" s="551"/>
      <c r="Y391" s="551"/>
      <c r="Z391" s="551"/>
      <c r="AA391" s="551"/>
      <c r="AB391" s="551"/>
    </row>
    <row r="392" spans="1:28" ht="15" customHeight="1" x14ac:dyDescent="0.25">
      <c r="A392" s="2302" t="s">
        <v>308</v>
      </c>
      <c r="B392" s="2302"/>
      <c r="C392" s="2302"/>
      <c r="D392" s="2302"/>
      <c r="E392" s="2302"/>
      <c r="F392" s="2302"/>
      <c r="G392" s="2302"/>
      <c r="H392" s="2302"/>
      <c r="I392" s="779"/>
      <c r="J392" s="629"/>
      <c r="K392" s="550"/>
      <c r="L392" s="550"/>
      <c r="M392" s="550"/>
      <c r="N392" s="550"/>
      <c r="O392" s="550"/>
      <c r="P392" s="551"/>
      <c r="Q392" s="551"/>
      <c r="R392" s="551"/>
      <c r="S392" s="551"/>
      <c r="T392" s="551"/>
      <c r="U392" s="551"/>
      <c r="V392" s="551"/>
      <c r="W392" s="551"/>
      <c r="X392" s="551"/>
      <c r="Y392" s="551"/>
      <c r="Z392" s="551"/>
      <c r="AA392" s="551"/>
      <c r="AB392" s="551"/>
    </row>
    <row r="393" spans="1:28" ht="15" customHeight="1" x14ac:dyDescent="0.25">
      <c r="A393" s="2183" t="s">
        <v>8</v>
      </c>
      <c r="B393" s="2183" t="s">
        <v>1</v>
      </c>
      <c r="C393" s="2183"/>
      <c r="D393" s="2183"/>
      <c r="E393" s="2183"/>
      <c r="F393" s="2295" t="s">
        <v>736</v>
      </c>
      <c r="G393" s="2183" t="s">
        <v>2048</v>
      </c>
      <c r="H393" s="2183" t="s">
        <v>735</v>
      </c>
      <c r="I393" s="2183"/>
      <c r="J393" s="2183"/>
      <c r="K393" s="552" t="s">
        <v>1478</v>
      </c>
      <c r="L393" s="550"/>
      <c r="M393" s="550"/>
      <c r="N393" s="550"/>
      <c r="O393" s="550"/>
      <c r="P393" s="551"/>
      <c r="Q393" s="551"/>
      <c r="R393" s="551"/>
      <c r="S393" s="551"/>
      <c r="T393" s="551"/>
      <c r="U393" s="551"/>
      <c r="V393" s="551"/>
      <c r="W393" s="551"/>
      <c r="X393" s="551"/>
      <c r="Y393" s="551"/>
      <c r="Z393" s="551"/>
      <c r="AA393" s="551"/>
      <c r="AB393" s="551"/>
    </row>
    <row r="394" spans="1:28" ht="47.25" customHeight="1" x14ac:dyDescent="0.25">
      <c r="A394" s="2183"/>
      <c r="B394" s="2183"/>
      <c r="C394" s="2183"/>
      <c r="D394" s="2183"/>
      <c r="E394" s="2183"/>
      <c r="F394" s="2295"/>
      <c r="G394" s="1411" t="s">
        <v>747</v>
      </c>
      <c r="H394" s="1411" t="s">
        <v>748</v>
      </c>
      <c r="I394" s="1411" t="s">
        <v>268</v>
      </c>
      <c r="J394" s="1411" t="s">
        <v>256</v>
      </c>
      <c r="K394" s="550"/>
      <c r="L394" s="550"/>
      <c r="M394" s="550"/>
      <c r="N394" s="550"/>
      <c r="O394" s="550"/>
      <c r="P394" s="551"/>
      <c r="Q394" s="551"/>
      <c r="R394" s="551"/>
      <c r="S394" s="551"/>
      <c r="T394" s="551"/>
      <c r="U394" s="551"/>
      <c r="V394" s="551"/>
      <c r="W394" s="551"/>
      <c r="X394" s="551"/>
      <c r="Y394" s="551"/>
      <c r="Z394" s="551"/>
      <c r="AA394" s="551"/>
      <c r="AB394" s="551"/>
    </row>
    <row r="395" spans="1:28" ht="28.5" customHeight="1" x14ac:dyDescent="0.25">
      <c r="A395" s="1411">
        <v>1</v>
      </c>
      <c r="B395" s="2258" t="s">
        <v>1487</v>
      </c>
      <c r="C395" s="2258"/>
      <c r="D395" s="2258"/>
      <c r="E395" s="2258"/>
      <c r="F395" s="1411" t="s">
        <v>108</v>
      </c>
      <c r="G395" s="630">
        <v>2</v>
      </c>
      <c r="H395" s="631">
        <v>12</v>
      </c>
      <c r="I395" s="632">
        <v>1500</v>
      </c>
      <c r="J395" s="633">
        <f>G395*H395*I395</f>
        <v>36000</v>
      </c>
      <c r="K395" s="564"/>
      <c r="L395" s="553"/>
      <c r="M395" s="550"/>
      <c r="N395" s="550"/>
      <c r="O395" s="550"/>
      <c r="P395" s="551"/>
      <c r="Q395" s="551"/>
      <c r="R395" s="551"/>
      <c r="S395" s="551"/>
      <c r="T395" s="551"/>
      <c r="U395" s="551"/>
      <c r="V395" s="551"/>
      <c r="W395" s="551"/>
      <c r="X395" s="551"/>
      <c r="Y395" s="551"/>
      <c r="Z395" s="551"/>
      <c r="AA395" s="551"/>
      <c r="AB395" s="551"/>
    </row>
    <row r="396" spans="1:28" x14ac:dyDescent="0.25">
      <c r="A396" s="2296" t="s">
        <v>39</v>
      </c>
      <c r="B396" s="2296"/>
      <c r="C396" s="2296"/>
      <c r="D396" s="2296"/>
      <c r="E396" s="2296"/>
      <c r="F396" s="2296"/>
      <c r="G396" s="2296"/>
      <c r="H396" s="2296"/>
      <c r="I396" s="2296"/>
      <c r="J396" s="1020">
        <f>SUM(J395:J395)</f>
        <v>36000</v>
      </c>
      <c r="K396" s="564">
        <v>0</v>
      </c>
      <c r="L396" s="739">
        <f>J396-K396</f>
        <v>36000</v>
      </c>
      <c r="M396" s="550"/>
      <c r="N396" s="550"/>
      <c r="O396" s="550"/>
      <c r="P396" s="551"/>
      <c r="Q396" s="551"/>
      <c r="R396" s="551"/>
      <c r="S396" s="551"/>
      <c r="T396" s="551"/>
      <c r="U396" s="551"/>
      <c r="V396" s="551"/>
      <c r="W396" s="551"/>
      <c r="X396" s="551"/>
      <c r="Y396" s="551"/>
      <c r="Z396" s="551"/>
      <c r="AA396" s="551"/>
      <c r="AB396" s="551"/>
    </row>
    <row r="397" spans="1:28" ht="15" hidden="1" customHeight="1" x14ac:dyDescent="0.25">
      <c r="A397" s="2264" t="s">
        <v>514</v>
      </c>
      <c r="B397" s="2265"/>
      <c r="C397" s="2265"/>
      <c r="D397" s="2265"/>
      <c r="E397" s="2265"/>
      <c r="F397" s="2265"/>
      <c r="G397" s="2265"/>
      <c r="H397" s="2265"/>
      <c r="I397" s="2265"/>
      <c r="J397" s="2265"/>
      <c r="L397" s="564"/>
      <c r="N397" s="551"/>
      <c r="O397" s="551"/>
      <c r="P397" s="551"/>
      <c r="Q397" s="551"/>
      <c r="R397" s="551"/>
      <c r="S397" s="551"/>
      <c r="T397" s="551"/>
      <c r="U397" s="551"/>
      <c r="V397" s="551"/>
      <c r="W397" s="551"/>
      <c r="X397" s="551"/>
      <c r="Y397" s="551"/>
      <c r="Z397" s="551"/>
      <c r="AA397" s="551"/>
      <c r="AB397" s="551"/>
    </row>
    <row r="398" spans="1:28" hidden="1" x14ac:dyDescent="0.25">
      <c r="A398" s="2266" t="s">
        <v>1134</v>
      </c>
      <c r="B398" s="2266"/>
      <c r="C398" s="2266"/>
      <c r="D398" s="2266"/>
      <c r="E398" s="2266"/>
      <c r="F398" s="2266"/>
      <c r="G398" s="2266"/>
      <c r="H398" s="2266"/>
      <c r="I398" s="2266"/>
      <c r="J398" s="1435">
        <v>0</v>
      </c>
      <c r="K398" s="564"/>
      <c r="L398" s="564"/>
      <c r="N398" s="551"/>
      <c r="O398" s="551"/>
      <c r="P398" s="551"/>
      <c r="Q398" s="551"/>
      <c r="R398" s="551"/>
      <c r="S398" s="551"/>
      <c r="T398" s="551"/>
      <c r="U398" s="551"/>
      <c r="V398" s="551"/>
      <c r="W398" s="551"/>
      <c r="X398" s="551"/>
      <c r="Y398" s="551"/>
      <c r="Z398" s="551"/>
      <c r="AA398" s="551"/>
      <c r="AB398" s="551"/>
    </row>
    <row r="399" spans="1:28" hidden="1" x14ac:dyDescent="0.25">
      <c r="A399" s="2266" t="s">
        <v>153</v>
      </c>
      <c r="B399" s="2266"/>
      <c r="C399" s="2266"/>
      <c r="D399" s="2266"/>
      <c r="E399" s="2266"/>
      <c r="F399" s="2266"/>
      <c r="G399" s="2266"/>
      <c r="H399" s="2266"/>
      <c r="I399" s="2266"/>
      <c r="J399" s="1403">
        <f>3000*6+3000</f>
        <v>21000</v>
      </c>
      <c r="N399" s="551"/>
      <c r="O399" s="551"/>
      <c r="P399" s="551"/>
      <c r="Q399" s="551"/>
      <c r="R399" s="551"/>
      <c r="S399" s="551"/>
      <c r="T399" s="551"/>
      <c r="U399" s="551"/>
      <c r="V399" s="551"/>
      <c r="W399" s="551"/>
      <c r="X399" s="551"/>
      <c r="Y399" s="551"/>
      <c r="Z399" s="551"/>
      <c r="AA399" s="551"/>
      <c r="AB399" s="551"/>
    </row>
    <row r="400" spans="1:28" ht="15" hidden="1" customHeight="1" x14ac:dyDescent="0.25">
      <c r="A400" s="2258" t="s">
        <v>619</v>
      </c>
      <c r="B400" s="2258"/>
      <c r="C400" s="2258"/>
      <c r="D400" s="2258"/>
      <c r="E400" s="2258"/>
      <c r="F400" s="2258"/>
      <c r="G400" s="2258"/>
      <c r="H400" s="2258"/>
      <c r="I400" s="2258"/>
      <c r="J400" s="624">
        <f>J396-J399</f>
        <v>15000</v>
      </c>
      <c r="L400" s="564"/>
      <c r="N400" s="551"/>
      <c r="O400" s="551"/>
      <c r="P400" s="551"/>
      <c r="Q400" s="551"/>
      <c r="R400" s="551"/>
      <c r="S400" s="551"/>
      <c r="T400" s="551"/>
      <c r="U400" s="551"/>
      <c r="V400" s="551"/>
      <c r="W400" s="551"/>
      <c r="X400" s="551"/>
      <c r="Y400" s="551"/>
      <c r="Z400" s="551"/>
      <c r="AA400" s="551"/>
      <c r="AB400" s="551"/>
    </row>
    <row r="401" spans="1:28" ht="15" hidden="1" customHeight="1" x14ac:dyDescent="0.25">
      <c r="A401" s="2258" t="s">
        <v>1147</v>
      </c>
      <c r="B401" s="2258"/>
      <c r="C401" s="2258"/>
      <c r="D401" s="2258"/>
      <c r="E401" s="2258"/>
      <c r="F401" s="2258"/>
      <c r="G401" s="2258"/>
      <c r="H401" s="2258"/>
      <c r="I401" s="2258"/>
      <c r="J401" s="569">
        <v>0</v>
      </c>
      <c r="L401" s="564"/>
      <c r="N401" s="551"/>
      <c r="O401" s="551"/>
      <c r="P401" s="551"/>
      <c r="Q401" s="551"/>
      <c r="R401" s="551"/>
      <c r="S401" s="551"/>
      <c r="T401" s="551"/>
      <c r="U401" s="551"/>
      <c r="V401" s="551"/>
      <c r="W401" s="551"/>
      <c r="X401" s="551"/>
      <c r="Y401" s="551"/>
      <c r="Z401" s="551"/>
      <c r="AA401" s="551"/>
      <c r="AB401" s="551"/>
    </row>
    <row r="402" spans="1:28" ht="15" customHeight="1" x14ac:dyDescent="0.25">
      <c r="A402" s="652"/>
      <c r="B402" s="652"/>
      <c r="C402" s="652"/>
      <c r="D402" s="652"/>
      <c r="E402" s="652"/>
      <c r="F402" s="652"/>
      <c r="G402" s="652"/>
      <c r="H402" s="653"/>
      <c r="I402" s="654"/>
      <c r="J402" s="654"/>
      <c r="L402" s="564"/>
      <c r="N402" s="551"/>
      <c r="O402" s="551"/>
      <c r="P402" s="551"/>
      <c r="Q402" s="551"/>
      <c r="R402" s="551"/>
      <c r="S402" s="551"/>
      <c r="T402" s="551"/>
      <c r="U402" s="551"/>
      <c r="V402" s="551"/>
      <c r="W402" s="551"/>
      <c r="X402" s="551"/>
      <c r="Y402" s="551"/>
      <c r="Z402" s="551"/>
      <c r="AA402" s="551"/>
      <c r="AB402" s="551"/>
    </row>
    <row r="403" spans="1:28" ht="15" hidden="1" customHeight="1" x14ac:dyDescent="0.25">
      <c r="A403" s="2258" t="s">
        <v>1147</v>
      </c>
      <c r="B403" s="2258"/>
      <c r="C403" s="2258"/>
      <c r="D403" s="2258"/>
      <c r="E403" s="2258"/>
      <c r="F403" s="2258"/>
      <c r="G403" s="2258"/>
      <c r="H403" s="2258"/>
      <c r="I403" s="2258"/>
      <c r="J403" s="569">
        <v>0</v>
      </c>
      <c r="L403" s="564"/>
      <c r="N403" s="551"/>
      <c r="O403" s="551"/>
      <c r="P403" s="551"/>
      <c r="Q403" s="551"/>
      <c r="R403" s="551"/>
      <c r="S403" s="551"/>
      <c r="T403" s="551"/>
      <c r="U403" s="551"/>
      <c r="V403" s="551"/>
      <c r="W403" s="551"/>
      <c r="X403" s="551"/>
      <c r="Y403" s="551"/>
      <c r="Z403" s="551"/>
      <c r="AA403" s="551"/>
      <c r="AB403" s="551"/>
    </row>
    <row r="404" spans="1:28" x14ac:dyDescent="0.25">
      <c r="A404" s="1449" t="s">
        <v>323</v>
      </c>
      <c r="L404" s="564"/>
      <c r="N404" s="551"/>
      <c r="O404" s="551"/>
      <c r="P404" s="551"/>
      <c r="Q404" s="551"/>
      <c r="R404" s="551"/>
      <c r="S404" s="551"/>
      <c r="T404" s="551"/>
      <c r="U404" s="551"/>
      <c r="V404" s="551"/>
      <c r="W404" s="551"/>
      <c r="X404" s="551"/>
      <c r="Y404" s="551"/>
      <c r="Z404" s="551"/>
      <c r="AA404" s="551"/>
      <c r="AB404" s="551"/>
    </row>
    <row r="405" spans="1:28" ht="15" customHeight="1" x14ac:dyDescent="0.25">
      <c r="A405" s="2183" t="s">
        <v>8</v>
      </c>
      <c r="B405" s="2192" t="s">
        <v>1</v>
      </c>
      <c r="C405" s="2157"/>
      <c r="D405" s="2158"/>
      <c r="E405" s="2183" t="s">
        <v>1664</v>
      </c>
      <c r="F405" s="2183" t="s">
        <v>271</v>
      </c>
      <c r="G405" s="2183" t="s">
        <v>2048</v>
      </c>
      <c r="H405" s="2183" t="s">
        <v>735</v>
      </c>
      <c r="I405" s="2183"/>
      <c r="J405" s="2183"/>
      <c r="K405" s="552" t="s">
        <v>1478</v>
      </c>
      <c r="L405" s="564"/>
      <c r="N405" s="551"/>
      <c r="O405" s="551"/>
      <c r="P405" s="551"/>
      <c r="Q405" s="551"/>
      <c r="R405" s="551"/>
      <c r="S405" s="551"/>
      <c r="T405" s="551"/>
      <c r="U405" s="551"/>
      <c r="V405" s="551"/>
      <c r="W405" s="551"/>
      <c r="X405" s="551"/>
      <c r="Y405" s="551"/>
      <c r="Z405" s="551"/>
      <c r="AA405" s="551"/>
      <c r="AB405" s="551"/>
    </row>
    <row r="406" spans="1:28" ht="31.5" customHeight="1" x14ac:dyDescent="0.25">
      <c r="A406" s="2183"/>
      <c r="B406" s="2159"/>
      <c r="C406" s="2160"/>
      <c r="D406" s="2161"/>
      <c r="E406" s="2183"/>
      <c r="F406" s="2183"/>
      <c r="G406" s="1408" t="s">
        <v>267</v>
      </c>
      <c r="H406" s="1408" t="s">
        <v>749</v>
      </c>
      <c r="I406" s="1434" t="s">
        <v>253</v>
      </c>
      <c r="J406" s="1434" t="s">
        <v>256</v>
      </c>
      <c r="L406" s="564"/>
      <c r="N406" s="551"/>
      <c r="O406" s="551"/>
      <c r="P406" s="551"/>
      <c r="Q406" s="551"/>
      <c r="R406" s="551"/>
      <c r="S406" s="551"/>
      <c r="T406" s="551"/>
      <c r="U406" s="551"/>
      <c r="V406" s="551"/>
      <c r="W406" s="551"/>
      <c r="X406" s="551"/>
      <c r="Y406" s="551"/>
      <c r="Z406" s="551"/>
      <c r="AA406" s="551"/>
      <c r="AB406" s="551"/>
    </row>
    <row r="407" spans="1:28" x14ac:dyDescent="0.25">
      <c r="A407" s="1902" t="s">
        <v>1168</v>
      </c>
      <c r="B407" s="2104"/>
      <c r="C407" s="2105"/>
      <c r="D407" s="2104"/>
      <c r="E407" s="2104"/>
      <c r="F407" s="2104"/>
      <c r="G407" s="2104"/>
      <c r="H407" s="2104"/>
      <c r="I407" s="2104"/>
      <c r="J407" s="2106"/>
      <c r="L407" s="612"/>
      <c r="N407" s="551"/>
      <c r="O407" s="551"/>
      <c r="P407" s="551"/>
      <c r="Q407" s="551"/>
      <c r="R407" s="551"/>
      <c r="S407" s="551"/>
      <c r="T407" s="551"/>
      <c r="U407" s="551"/>
      <c r="V407" s="551"/>
      <c r="W407" s="551"/>
      <c r="X407" s="551"/>
      <c r="Y407" s="551"/>
      <c r="Z407" s="551"/>
      <c r="AA407" s="551"/>
      <c r="AB407" s="551"/>
    </row>
    <row r="408" spans="1:28" x14ac:dyDescent="0.25">
      <c r="A408" s="1447">
        <v>1</v>
      </c>
      <c r="B408" s="1453" t="s">
        <v>727</v>
      </c>
      <c r="C408" s="1453"/>
      <c r="D408" s="1453"/>
      <c r="E408" s="676" t="s">
        <v>1676</v>
      </c>
      <c r="F408" s="1434">
        <v>600</v>
      </c>
      <c r="G408" s="1434">
        <v>10</v>
      </c>
      <c r="H408" s="513">
        <v>1</v>
      </c>
      <c r="I408" s="513">
        <v>4</v>
      </c>
      <c r="J408" s="1434">
        <f>G408*H408*I408*F408</f>
        <v>24000</v>
      </c>
      <c r="K408" s="577"/>
      <c r="L408" s="945"/>
      <c r="N408" s="945"/>
      <c r="P408" s="945"/>
      <c r="R408" s="945"/>
      <c r="T408" s="945"/>
      <c r="U408" s="551"/>
      <c r="V408" s="551"/>
      <c r="W408" s="551"/>
      <c r="X408" s="551"/>
      <c r="Y408" s="551"/>
      <c r="Z408" s="551"/>
      <c r="AA408" s="551"/>
      <c r="AB408" s="551"/>
    </row>
    <row r="409" spans="1:28" x14ac:dyDescent="0.25">
      <c r="A409" s="1447">
        <v>2</v>
      </c>
      <c r="B409" s="2283" t="s">
        <v>726</v>
      </c>
      <c r="C409" s="2219"/>
      <c r="D409" s="2219"/>
      <c r="E409" s="676" t="s">
        <v>1676</v>
      </c>
      <c r="F409" s="1434">
        <v>3610</v>
      </c>
      <c r="G409" s="1434">
        <v>12</v>
      </c>
      <c r="H409" s="513">
        <f>1</f>
        <v>1</v>
      </c>
      <c r="I409" s="513">
        <v>6</v>
      </c>
      <c r="J409" s="1434">
        <f>G409*H409*I409*F409</f>
        <v>259920</v>
      </c>
      <c r="K409" s="577"/>
      <c r="L409" s="945"/>
      <c r="N409" s="945"/>
      <c r="P409" s="945"/>
      <c r="R409" s="945"/>
      <c r="T409" s="945"/>
      <c r="U409" s="551"/>
      <c r="V409" s="551"/>
      <c r="W409" s="551"/>
      <c r="X409" s="551"/>
      <c r="Y409" s="551"/>
      <c r="Z409" s="551"/>
      <c r="AA409" s="551"/>
      <c r="AB409" s="551"/>
    </row>
    <row r="410" spans="1:28" ht="15" customHeight="1" x14ac:dyDescent="0.25">
      <c r="A410" s="2181" t="s">
        <v>39</v>
      </c>
      <c r="B410" s="2181"/>
      <c r="C410" s="2181"/>
      <c r="D410" s="2181"/>
      <c r="E410" s="2181"/>
      <c r="F410" s="2181"/>
      <c r="G410" s="2181"/>
      <c r="H410" s="2181"/>
      <c r="I410" s="2181"/>
      <c r="J410" s="1406">
        <f>SUM(J408:J409)</f>
        <v>283920</v>
      </c>
      <c r="K410" s="564">
        <v>0</v>
      </c>
      <c r="L410" s="739">
        <f>J410-K410</f>
        <v>283920</v>
      </c>
      <c r="M410" s="579"/>
      <c r="O410" s="579"/>
      <c r="Q410" s="579"/>
      <c r="S410" s="579"/>
      <c r="U410" s="551"/>
      <c r="V410" s="551"/>
      <c r="W410" s="551"/>
      <c r="X410" s="551"/>
      <c r="Y410" s="551"/>
      <c r="Z410" s="551"/>
      <c r="AA410" s="551"/>
      <c r="AB410" s="551"/>
    </row>
    <row r="411" spans="1:28" hidden="1" x14ac:dyDescent="0.25">
      <c r="A411" s="2264" t="s">
        <v>514</v>
      </c>
      <c r="B411" s="2265"/>
      <c r="C411" s="2265"/>
      <c r="D411" s="2265"/>
      <c r="E411" s="2265"/>
      <c r="F411" s="2265"/>
      <c r="G411" s="2265"/>
      <c r="H411" s="2265"/>
      <c r="I411" s="2265"/>
      <c r="J411" s="2265"/>
      <c r="U411" s="551"/>
      <c r="V411" s="551"/>
      <c r="W411" s="551"/>
      <c r="X411" s="551"/>
      <c r="Y411" s="551"/>
      <c r="Z411" s="551"/>
      <c r="AA411" s="551"/>
      <c r="AB411" s="551"/>
    </row>
    <row r="412" spans="1:28" hidden="1" x14ac:dyDescent="0.25">
      <c r="A412" s="2266" t="s">
        <v>1134</v>
      </c>
      <c r="B412" s="2266"/>
      <c r="C412" s="2266"/>
      <c r="D412" s="2266"/>
      <c r="E412" s="2266"/>
      <c r="F412" s="2266"/>
      <c r="G412" s="2266"/>
      <c r="H412" s="2266"/>
      <c r="I412" s="2266"/>
      <c r="J412" s="1435">
        <v>0</v>
      </c>
      <c r="K412" s="551"/>
      <c r="Q412" s="551"/>
      <c r="R412" s="551"/>
      <c r="S412" s="551"/>
      <c r="T412" s="551"/>
      <c r="U412" s="551"/>
      <c r="V412" s="551"/>
      <c r="W412" s="551"/>
      <c r="X412" s="551"/>
      <c r="Y412" s="551"/>
      <c r="Z412" s="551"/>
      <c r="AA412" s="551"/>
      <c r="AB412" s="551"/>
    </row>
    <row r="413" spans="1:28" hidden="1" x14ac:dyDescent="0.25">
      <c r="A413" s="2266" t="s">
        <v>153</v>
      </c>
      <c r="B413" s="2266"/>
      <c r="C413" s="2266"/>
      <c r="D413" s="2266"/>
      <c r="E413" s="2266"/>
      <c r="F413" s="2266"/>
      <c r="G413" s="2266"/>
      <c r="H413" s="2266"/>
      <c r="I413" s="2266"/>
      <c r="J413" s="724">
        <v>161280</v>
      </c>
      <c r="K413" s="551"/>
      <c r="L413" s="551"/>
      <c r="Q413" s="551"/>
      <c r="R413" s="551"/>
      <c r="S413" s="551"/>
      <c r="T413" s="551"/>
      <c r="U413" s="551"/>
      <c r="V413" s="551"/>
      <c r="W413" s="551"/>
      <c r="X413" s="551"/>
      <c r="Y413" s="551"/>
      <c r="Z413" s="551"/>
      <c r="AA413" s="551"/>
      <c r="AB413" s="551"/>
    </row>
    <row r="414" spans="1:28" ht="15" hidden="1" customHeight="1" x14ac:dyDescent="0.25">
      <c r="A414" s="2258" t="s">
        <v>619</v>
      </c>
      <c r="B414" s="2258"/>
      <c r="C414" s="2258"/>
      <c r="D414" s="2258"/>
      <c r="E414" s="2258"/>
      <c r="F414" s="2258"/>
      <c r="G414" s="2258"/>
      <c r="H414" s="2258"/>
      <c r="I414" s="2258"/>
      <c r="J414" s="821">
        <f>J410-J412-J413-J415</f>
        <v>122640</v>
      </c>
      <c r="K414" s="564"/>
      <c r="L414" s="739"/>
      <c r="Q414" s="551"/>
      <c r="R414" s="551"/>
      <c r="S414" s="551"/>
      <c r="T414" s="551"/>
      <c r="U414" s="551"/>
      <c r="V414" s="551"/>
      <c r="W414" s="551"/>
      <c r="X414" s="551"/>
      <c r="Y414" s="551"/>
      <c r="Z414" s="551"/>
      <c r="AA414" s="551"/>
      <c r="AB414" s="551"/>
    </row>
    <row r="415" spans="1:28" ht="15" hidden="1" customHeight="1" x14ac:dyDescent="0.25">
      <c r="A415" s="2258" t="s">
        <v>1147</v>
      </c>
      <c r="B415" s="2258"/>
      <c r="C415" s="2258"/>
      <c r="D415" s="2258"/>
      <c r="E415" s="2258"/>
      <c r="F415" s="2258"/>
      <c r="G415" s="2258"/>
      <c r="H415" s="2258"/>
      <c r="I415" s="2258"/>
      <c r="J415" s="569">
        <v>0</v>
      </c>
      <c r="Q415" s="551"/>
      <c r="R415" s="551"/>
      <c r="S415" s="551"/>
      <c r="T415" s="551"/>
      <c r="U415" s="551"/>
      <c r="V415" s="551"/>
      <c r="W415" s="551"/>
      <c r="X415" s="551"/>
      <c r="Y415" s="551"/>
      <c r="Z415" s="551"/>
      <c r="AA415" s="551"/>
      <c r="AB415" s="551"/>
    </row>
    <row r="416" spans="1:28" ht="15" customHeight="1" x14ac:dyDescent="0.25">
      <c r="A416" s="652"/>
      <c r="B416" s="652"/>
      <c r="C416" s="652"/>
      <c r="D416" s="652"/>
      <c r="E416" s="652"/>
      <c r="F416" s="652"/>
      <c r="G416" s="652"/>
      <c r="H416" s="653"/>
      <c r="I416" s="654"/>
      <c r="J416" s="654"/>
      <c r="Q416" s="551"/>
      <c r="R416" s="551"/>
      <c r="S416" s="551"/>
      <c r="T416" s="551"/>
      <c r="U416" s="551"/>
      <c r="V416" s="551"/>
      <c r="W416" s="551"/>
      <c r="X416" s="551"/>
      <c r="Y416" s="551"/>
      <c r="Z416" s="551"/>
      <c r="AA416" s="551"/>
      <c r="AB416" s="551"/>
    </row>
    <row r="417" spans="1:28" ht="15" customHeight="1" x14ac:dyDescent="0.25">
      <c r="A417" s="1449" t="s">
        <v>323</v>
      </c>
      <c r="Q417" s="551"/>
      <c r="R417" s="551"/>
      <c r="S417" s="551"/>
      <c r="T417" s="551"/>
      <c r="U417" s="551"/>
      <c r="V417" s="551"/>
      <c r="W417" s="551"/>
      <c r="X417" s="551"/>
      <c r="Y417" s="551"/>
      <c r="Z417" s="551"/>
      <c r="AA417" s="551"/>
      <c r="AB417" s="551"/>
    </row>
    <row r="418" spans="1:28" ht="15" customHeight="1" x14ac:dyDescent="0.25">
      <c r="A418" s="2183" t="s">
        <v>8</v>
      </c>
      <c r="B418" s="2192" t="s">
        <v>1</v>
      </c>
      <c r="C418" s="2157"/>
      <c r="D418" s="2158"/>
      <c r="E418" s="2183" t="s">
        <v>1664</v>
      </c>
      <c r="F418" s="2183" t="s">
        <v>271</v>
      </c>
      <c r="G418" s="2183" t="s">
        <v>2048</v>
      </c>
      <c r="H418" s="2183" t="s">
        <v>735</v>
      </c>
      <c r="I418" s="2183"/>
      <c r="J418" s="2183"/>
      <c r="K418" s="552" t="s">
        <v>1478</v>
      </c>
      <c r="Q418" s="551"/>
      <c r="R418" s="551"/>
      <c r="S418" s="551"/>
      <c r="T418" s="551"/>
      <c r="U418" s="551"/>
      <c r="V418" s="551"/>
      <c r="W418" s="551"/>
      <c r="X418" s="551"/>
      <c r="Y418" s="551"/>
      <c r="Z418" s="551"/>
      <c r="AA418" s="551"/>
      <c r="AB418" s="551"/>
    </row>
    <row r="419" spans="1:28" ht="30.75" customHeight="1" x14ac:dyDescent="0.25">
      <c r="A419" s="2183"/>
      <c r="B419" s="2159"/>
      <c r="C419" s="2160"/>
      <c r="D419" s="2161"/>
      <c r="E419" s="2183"/>
      <c r="F419" s="2183"/>
      <c r="G419" s="1408" t="s">
        <v>267</v>
      </c>
      <c r="H419" s="1408" t="s">
        <v>749</v>
      </c>
      <c r="I419" s="1434" t="s">
        <v>253</v>
      </c>
      <c r="J419" s="1434" t="s">
        <v>256</v>
      </c>
      <c r="Q419" s="551"/>
      <c r="R419" s="551"/>
      <c r="S419" s="551"/>
      <c r="T419" s="551"/>
      <c r="U419" s="551"/>
      <c r="V419" s="551"/>
      <c r="W419" s="551"/>
      <c r="X419" s="551"/>
      <c r="Y419" s="551"/>
      <c r="Z419" s="551"/>
      <c r="AA419" s="551"/>
      <c r="AB419" s="551"/>
    </row>
    <row r="420" spans="1:28" x14ac:dyDescent="0.25">
      <c r="A420" s="1902" t="s">
        <v>725</v>
      </c>
      <c r="B420" s="2104"/>
      <c r="C420" s="2105"/>
      <c r="D420" s="2104"/>
      <c r="E420" s="2104"/>
      <c r="F420" s="2104"/>
      <c r="G420" s="2104"/>
      <c r="H420" s="2104"/>
      <c r="I420" s="2104"/>
      <c r="J420" s="2106"/>
      <c r="L420" s="564"/>
      <c r="N420" s="551"/>
      <c r="P420" s="551"/>
      <c r="Q420" s="551"/>
      <c r="R420" s="551"/>
      <c r="S420" s="551"/>
      <c r="T420" s="551"/>
      <c r="U420" s="551"/>
      <c r="V420" s="551"/>
      <c r="W420" s="551"/>
      <c r="X420" s="551"/>
      <c r="Y420" s="551"/>
      <c r="Z420" s="551"/>
      <c r="AA420" s="551"/>
      <c r="AB420" s="551"/>
    </row>
    <row r="421" spans="1:28" ht="15" customHeight="1" x14ac:dyDescent="0.25">
      <c r="A421" s="1447">
        <v>1</v>
      </c>
      <c r="B421" s="1453" t="s">
        <v>727</v>
      </c>
      <c r="C421" s="1453"/>
      <c r="D421" s="1453"/>
      <c r="E421" s="676" t="s">
        <v>1676</v>
      </c>
      <c r="F421" s="1434">
        <v>550</v>
      </c>
      <c r="G421" s="1434">
        <v>10</v>
      </c>
      <c r="H421" s="513">
        <v>1</v>
      </c>
      <c r="I421" s="513">
        <v>4</v>
      </c>
      <c r="J421" s="1434">
        <f>G421*H421*I421*F421</f>
        <v>22000</v>
      </c>
      <c r="K421" s="577"/>
      <c r="L421" s="945"/>
      <c r="N421" s="945"/>
      <c r="P421" s="945"/>
      <c r="R421" s="945"/>
      <c r="T421" s="551"/>
      <c r="U421" s="551"/>
      <c r="V421" s="551"/>
      <c r="W421" s="551"/>
      <c r="X421" s="551"/>
      <c r="Y421" s="551"/>
      <c r="Z421" s="551"/>
      <c r="AA421" s="551"/>
      <c r="AB421" s="551"/>
    </row>
    <row r="422" spans="1:28" ht="29.25" customHeight="1" x14ac:dyDescent="0.25">
      <c r="A422" s="1447">
        <v>2</v>
      </c>
      <c r="B422" s="2243" t="s">
        <v>751</v>
      </c>
      <c r="C422" s="2163"/>
      <c r="D422" s="2244"/>
      <c r="E422" s="676" t="s">
        <v>1676</v>
      </c>
      <c r="F422" s="1434">
        <v>45</v>
      </c>
      <c r="G422" s="1434">
        <v>40.630000000000003</v>
      </c>
      <c r="H422" s="513">
        <v>1</v>
      </c>
      <c r="I422" s="513">
        <v>3</v>
      </c>
      <c r="J422" s="1434">
        <f>G422*H422*I422*F422</f>
        <v>5485.05</v>
      </c>
      <c r="K422" s="577"/>
      <c r="L422" s="945"/>
      <c r="N422" s="945"/>
      <c r="P422" s="945"/>
      <c r="R422" s="945"/>
      <c r="T422" s="551"/>
      <c r="U422" s="551"/>
      <c r="V422" s="551"/>
      <c r="W422" s="551"/>
      <c r="X422" s="551"/>
      <c r="Y422" s="551"/>
      <c r="Z422" s="551"/>
      <c r="AA422" s="551"/>
      <c r="AB422" s="551"/>
    </row>
    <row r="423" spans="1:28" ht="15" customHeight="1" x14ac:dyDescent="0.25">
      <c r="A423" s="1447">
        <v>3</v>
      </c>
      <c r="B423" s="2283" t="s">
        <v>726</v>
      </c>
      <c r="C423" s="2219"/>
      <c r="D423" s="2219"/>
      <c r="E423" s="676" t="s">
        <v>1676</v>
      </c>
      <c r="F423" s="1434">
        <v>4130</v>
      </c>
      <c r="G423" s="1434">
        <v>12</v>
      </c>
      <c r="H423" s="513">
        <v>1</v>
      </c>
      <c r="I423" s="513">
        <v>5</v>
      </c>
      <c r="J423" s="1434">
        <f>G423*H423*I423*F423</f>
        <v>247800</v>
      </c>
      <c r="K423" s="577"/>
      <c r="L423" s="945"/>
      <c r="N423" s="945"/>
      <c r="P423" s="945"/>
      <c r="R423" s="945"/>
      <c r="T423" s="551"/>
      <c r="U423" s="551"/>
      <c r="V423" s="551"/>
      <c r="W423" s="551"/>
      <c r="X423" s="551"/>
      <c r="Y423" s="551"/>
      <c r="Z423" s="551"/>
      <c r="AA423" s="551"/>
      <c r="AB423" s="551"/>
    </row>
    <row r="424" spans="1:28" ht="15" customHeight="1" x14ac:dyDescent="0.25">
      <c r="A424" s="2181" t="s">
        <v>39</v>
      </c>
      <c r="B424" s="2181"/>
      <c r="C424" s="2181"/>
      <c r="D424" s="2181"/>
      <c r="E424" s="2181"/>
      <c r="F424" s="2181"/>
      <c r="G424" s="2181"/>
      <c r="H424" s="2181"/>
      <c r="I424" s="2181"/>
      <c r="J424" s="1406">
        <f>SUM(J421:J423)</f>
        <v>275285.05</v>
      </c>
      <c r="K424" s="564">
        <v>0</v>
      </c>
      <c r="L424" s="739">
        <f>J424-K424</f>
        <v>275285.05</v>
      </c>
      <c r="M424" s="579"/>
      <c r="N424" s="945"/>
      <c r="O424" s="579"/>
      <c r="P424" s="945"/>
      <c r="Q424" s="579"/>
      <c r="R424" s="945"/>
      <c r="S424" s="551"/>
      <c r="T424" s="551"/>
      <c r="U424" s="551"/>
      <c r="V424" s="551"/>
      <c r="W424" s="551"/>
      <c r="X424" s="551"/>
      <c r="Y424" s="551"/>
      <c r="Z424" s="551"/>
      <c r="AA424" s="551"/>
      <c r="AB424" s="551"/>
    </row>
    <row r="425" spans="1:28" ht="15" hidden="1" customHeight="1" x14ac:dyDescent="0.25">
      <c r="A425" s="2264" t="s">
        <v>514</v>
      </c>
      <c r="B425" s="2265"/>
      <c r="C425" s="2265"/>
      <c r="D425" s="2265"/>
      <c r="E425" s="2265"/>
      <c r="F425" s="2265"/>
      <c r="G425" s="2265"/>
      <c r="H425" s="2265"/>
      <c r="I425" s="2265"/>
      <c r="J425" s="2265"/>
      <c r="M425" s="579"/>
      <c r="O425" s="579"/>
      <c r="Q425" s="579"/>
      <c r="S425" s="551"/>
      <c r="T425" s="551"/>
      <c r="U425" s="551"/>
      <c r="V425" s="551"/>
      <c r="W425" s="551"/>
      <c r="X425" s="551"/>
      <c r="Y425" s="551"/>
      <c r="Z425" s="551"/>
      <c r="AA425" s="551"/>
      <c r="AB425" s="551"/>
    </row>
    <row r="426" spans="1:28" ht="15" hidden="1" customHeight="1" x14ac:dyDescent="0.25">
      <c r="A426" s="2266" t="s">
        <v>1134</v>
      </c>
      <c r="B426" s="2266"/>
      <c r="C426" s="2266"/>
      <c r="D426" s="2266"/>
      <c r="E426" s="2266"/>
      <c r="F426" s="2266"/>
      <c r="G426" s="2266"/>
      <c r="H426" s="2266"/>
      <c r="I426" s="2266"/>
      <c r="J426" s="1435">
        <v>0</v>
      </c>
      <c r="P426" s="551"/>
      <c r="Q426" s="551"/>
      <c r="R426" s="551"/>
      <c r="S426" s="551"/>
      <c r="T426" s="551"/>
      <c r="U426" s="551"/>
      <c r="V426" s="551"/>
      <c r="W426" s="551"/>
      <c r="X426" s="551"/>
      <c r="Y426" s="551"/>
      <c r="Z426" s="551"/>
      <c r="AA426" s="551"/>
      <c r="AB426" s="551"/>
    </row>
    <row r="427" spans="1:28" ht="15" hidden="1" customHeight="1" x14ac:dyDescent="0.25">
      <c r="A427" s="2266" t="s">
        <v>153</v>
      </c>
      <c r="B427" s="2266"/>
      <c r="C427" s="2266"/>
      <c r="D427" s="2266"/>
      <c r="E427" s="2266"/>
      <c r="F427" s="2266"/>
      <c r="G427" s="2266"/>
      <c r="H427" s="2266"/>
      <c r="I427" s="2266"/>
      <c r="J427" s="724">
        <v>168396.7</v>
      </c>
      <c r="K427" s="551"/>
      <c r="L427" s="551"/>
      <c r="P427" s="551"/>
      <c r="Q427" s="551"/>
      <c r="R427" s="551"/>
      <c r="S427" s="551"/>
      <c r="T427" s="551"/>
      <c r="U427" s="551"/>
      <c r="V427" s="551"/>
      <c r="W427" s="551"/>
      <c r="X427" s="551"/>
      <c r="Y427" s="551"/>
      <c r="Z427" s="551"/>
      <c r="AA427" s="551"/>
      <c r="AB427" s="551"/>
    </row>
    <row r="428" spans="1:28" ht="15" hidden="1" customHeight="1" x14ac:dyDescent="0.25">
      <c r="A428" s="2258" t="s">
        <v>619</v>
      </c>
      <c r="B428" s="2258"/>
      <c r="C428" s="2258"/>
      <c r="D428" s="2258"/>
      <c r="E428" s="2258"/>
      <c r="F428" s="2258"/>
      <c r="G428" s="2258"/>
      <c r="H428" s="2258"/>
      <c r="I428" s="2258"/>
      <c r="J428" s="821">
        <f>J424-J426-J427-J429</f>
        <v>106888.35</v>
      </c>
      <c r="K428" s="564"/>
      <c r="L428" s="739"/>
      <c r="P428" s="551"/>
      <c r="Q428" s="551"/>
      <c r="R428" s="551"/>
      <c r="S428" s="551"/>
      <c r="T428" s="551"/>
      <c r="U428" s="551"/>
      <c r="V428" s="551"/>
      <c r="W428" s="551"/>
      <c r="X428" s="551"/>
      <c r="Y428" s="551"/>
      <c r="Z428" s="551"/>
      <c r="AA428" s="551"/>
      <c r="AB428" s="551"/>
    </row>
    <row r="429" spans="1:28" ht="15" hidden="1" customHeight="1" x14ac:dyDescent="0.25">
      <c r="A429" s="2258" t="s">
        <v>1147</v>
      </c>
      <c r="B429" s="2258"/>
      <c r="C429" s="2258"/>
      <c r="D429" s="2258"/>
      <c r="E429" s="2258"/>
      <c r="F429" s="2258"/>
      <c r="G429" s="2258"/>
      <c r="H429" s="2258"/>
      <c r="I429" s="2258"/>
      <c r="J429" s="569">
        <v>0</v>
      </c>
      <c r="L429" s="739">
        <f>J429-K429</f>
        <v>0</v>
      </c>
      <c r="P429" s="551"/>
      <c r="Q429" s="551"/>
      <c r="R429" s="551"/>
      <c r="S429" s="551"/>
      <c r="T429" s="551"/>
      <c r="U429" s="551"/>
      <c r="V429" s="551"/>
      <c r="W429" s="551"/>
      <c r="X429" s="551"/>
      <c r="Y429" s="551"/>
      <c r="Z429" s="551"/>
      <c r="AA429" s="551"/>
      <c r="AB429" s="551"/>
    </row>
    <row r="430" spans="1:28" ht="15" customHeight="1" x14ac:dyDescent="0.25">
      <c r="A430" s="652"/>
      <c r="B430" s="652"/>
      <c r="C430" s="652"/>
      <c r="D430" s="652"/>
      <c r="E430" s="652"/>
      <c r="F430" s="652"/>
      <c r="G430" s="652"/>
      <c r="H430" s="653"/>
      <c r="I430" s="654"/>
      <c r="J430" s="654"/>
      <c r="P430" s="551"/>
      <c r="Q430" s="551"/>
      <c r="R430" s="551"/>
      <c r="S430" s="551"/>
      <c r="T430" s="551"/>
      <c r="U430" s="551"/>
      <c r="V430" s="551"/>
      <c r="W430" s="551"/>
      <c r="X430" s="551"/>
      <c r="Y430" s="551"/>
      <c r="Z430" s="551"/>
      <c r="AA430" s="551"/>
      <c r="AB430" s="551"/>
    </row>
    <row r="431" spans="1:28" ht="15" customHeight="1" x14ac:dyDescent="0.25">
      <c r="A431" s="799" t="s">
        <v>308</v>
      </c>
      <c r="B431" s="799"/>
      <c r="C431" s="799"/>
      <c r="D431" s="799"/>
      <c r="E431" s="799"/>
      <c r="F431" s="799"/>
      <c r="G431" s="799"/>
      <c r="H431" s="502"/>
      <c r="I431" s="502"/>
      <c r="J431" s="502"/>
      <c r="K431" s="61"/>
      <c r="L431" s="75"/>
      <c r="P431" s="551"/>
      <c r="Q431" s="551"/>
      <c r="R431" s="551"/>
      <c r="S431" s="551"/>
      <c r="T431" s="551"/>
      <c r="U431" s="551"/>
      <c r="V431" s="551"/>
      <c r="W431" s="551"/>
      <c r="X431" s="551"/>
      <c r="Y431" s="551"/>
      <c r="Z431" s="551"/>
      <c r="AA431" s="551"/>
      <c r="AB431" s="551"/>
    </row>
    <row r="432" spans="1:28" ht="15" customHeight="1" x14ac:dyDescent="0.25">
      <c r="A432" s="2170" t="s">
        <v>8</v>
      </c>
      <c r="B432" s="2192" t="s">
        <v>35</v>
      </c>
      <c r="C432" s="2202"/>
      <c r="D432" s="2202"/>
      <c r="E432" s="2202"/>
      <c r="F432" s="2220"/>
      <c r="G432" s="2183" t="s">
        <v>2048</v>
      </c>
      <c r="H432" s="2183" t="s">
        <v>735</v>
      </c>
      <c r="I432" s="2183"/>
      <c r="J432" s="2183"/>
      <c r="K432" s="61" t="s">
        <v>1478</v>
      </c>
      <c r="L432" s="75"/>
      <c r="P432" s="551"/>
      <c r="Q432" s="551"/>
      <c r="R432" s="551"/>
      <c r="S432" s="551"/>
      <c r="T432" s="551"/>
      <c r="U432" s="551"/>
      <c r="V432" s="551"/>
      <c r="W432" s="551"/>
      <c r="X432" s="551"/>
      <c r="Y432" s="551"/>
      <c r="Z432" s="551"/>
      <c r="AA432" s="551"/>
      <c r="AB432" s="551"/>
    </row>
    <row r="433" spans="1:28" ht="15" customHeight="1" x14ac:dyDescent="0.25">
      <c r="A433" s="2170"/>
      <c r="B433" s="2206"/>
      <c r="C433" s="2207"/>
      <c r="D433" s="2207"/>
      <c r="E433" s="2207"/>
      <c r="F433" s="2221"/>
      <c r="G433" s="1410" t="s">
        <v>741</v>
      </c>
      <c r="H433" s="1410" t="s">
        <v>748</v>
      </c>
      <c r="I433" s="1410" t="s">
        <v>268</v>
      </c>
      <c r="J433" s="1410" t="s">
        <v>256</v>
      </c>
      <c r="K433" s="61"/>
      <c r="L433" s="75"/>
      <c r="P433" s="551"/>
      <c r="Q433" s="551"/>
      <c r="R433" s="551"/>
      <c r="S433" s="551"/>
      <c r="T433" s="551"/>
      <c r="U433" s="551"/>
      <c r="V433" s="551"/>
      <c r="W433" s="551"/>
      <c r="X433" s="551"/>
      <c r="Y433" s="551"/>
      <c r="Z433" s="551"/>
      <c r="AA433" s="551"/>
      <c r="AB433" s="551"/>
    </row>
    <row r="434" spans="1:28" ht="15" customHeight="1" x14ac:dyDescent="0.25">
      <c r="A434" s="2222" t="s">
        <v>1865</v>
      </c>
      <c r="B434" s="2316"/>
      <c r="C434" s="2316"/>
      <c r="D434" s="2316"/>
      <c r="E434" s="2316"/>
      <c r="F434" s="2316"/>
      <c r="G434" s="2316"/>
      <c r="H434" s="2316"/>
      <c r="I434" s="2317"/>
      <c r="J434" s="1124">
        <f>SUM(J435:J437)</f>
        <v>132000</v>
      </c>
      <c r="K434" s="61"/>
      <c r="L434" s="75"/>
      <c r="P434" s="551"/>
      <c r="Q434" s="551"/>
      <c r="R434" s="551"/>
      <c r="S434" s="551"/>
      <c r="T434" s="551"/>
      <c r="U434" s="551"/>
      <c r="V434" s="551"/>
      <c r="W434" s="551"/>
      <c r="X434" s="551"/>
      <c r="Y434" s="551"/>
      <c r="Z434" s="551"/>
      <c r="AA434" s="551"/>
      <c r="AB434" s="551"/>
    </row>
    <row r="435" spans="1:28" ht="30" customHeight="1" x14ac:dyDescent="0.25">
      <c r="A435" s="1127">
        <v>1</v>
      </c>
      <c r="B435" s="2312" t="s">
        <v>1867</v>
      </c>
      <c r="C435" s="2313"/>
      <c r="D435" s="2313"/>
      <c r="E435" s="2313"/>
      <c r="F435" s="2314"/>
      <c r="G435" s="1229">
        <v>1</v>
      </c>
      <c r="H435" s="1229">
        <v>12</v>
      </c>
      <c r="I435" s="1420">
        <v>2000</v>
      </c>
      <c r="J435" s="1426">
        <f t="shared" ref="J435:J437" si="3">G435*H435*I435</f>
        <v>24000</v>
      </c>
      <c r="K435" s="61"/>
      <c r="L435" s="75"/>
      <c r="P435" s="551"/>
      <c r="Q435" s="551"/>
      <c r="R435" s="551"/>
      <c r="S435" s="551"/>
      <c r="T435" s="551"/>
      <c r="U435" s="551"/>
      <c r="V435" s="551"/>
      <c r="W435" s="551"/>
      <c r="X435" s="551"/>
      <c r="Y435" s="551"/>
      <c r="Z435" s="551"/>
      <c r="AA435" s="551"/>
      <c r="AB435" s="551"/>
    </row>
    <row r="436" spans="1:28" ht="15" customHeight="1" x14ac:dyDescent="0.25">
      <c r="A436" s="1127">
        <v>2</v>
      </c>
      <c r="B436" s="2312" t="s">
        <v>1863</v>
      </c>
      <c r="C436" s="2313"/>
      <c r="D436" s="2313"/>
      <c r="E436" s="2313"/>
      <c r="F436" s="2314"/>
      <c r="G436" s="1229">
        <v>1</v>
      </c>
      <c r="H436" s="1229">
        <v>12</v>
      </c>
      <c r="I436" s="1420">
        <v>4000</v>
      </c>
      <c r="J436" s="1426">
        <f t="shared" si="3"/>
        <v>48000</v>
      </c>
      <c r="K436" s="61"/>
      <c r="L436" s="75"/>
      <c r="P436" s="551"/>
      <c r="Q436" s="551"/>
      <c r="R436" s="551"/>
      <c r="S436" s="551"/>
      <c r="T436" s="551"/>
      <c r="U436" s="551"/>
      <c r="V436" s="551"/>
      <c r="W436" s="551"/>
      <c r="X436" s="551"/>
      <c r="Y436" s="551"/>
      <c r="Z436" s="551"/>
      <c r="AA436" s="551"/>
      <c r="AB436" s="551"/>
    </row>
    <row r="437" spans="1:28" ht="15" customHeight="1" x14ac:dyDescent="0.25">
      <c r="A437" s="1127">
        <v>3</v>
      </c>
      <c r="B437" s="2312" t="s">
        <v>86</v>
      </c>
      <c r="C437" s="2313"/>
      <c r="D437" s="2313"/>
      <c r="E437" s="2313"/>
      <c r="F437" s="2314"/>
      <c r="G437" s="1229">
        <v>1</v>
      </c>
      <c r="H437" s="1229">
        <v>12</v>
      </c>
      <c r="I437" s="1420">
        <v>5000</v>
      </c>
      <c r="J437" s="1426">
        <f t="shared" si="3"/>
        <v>60000</v>
      </c>
      <c r="K437" s="61"/>
      <c r="L437" s="75"/>
      <c r="P437" s="551"/>
      <c r="Q437" s="551"/>
      <c r="R437" s="551"/>
      <c r="S437" s="551"/>
      <c r="T437" s="551"/>
      <c r="U437" s="551"/>
      <c r="V437" s="551"/>
      <c r="W437" s="551"/>
      <c r="X437" s="551"/>
      <c r="Y437" s="551"/>
      <c r="Z437" s="551"/>
      <c r="AA437" s="551"/>
      <c r="AB437" s="551"/>
    </row>
    <row r="438" spans="1:28" ht="15" customHeight="1" x14ac:dyDescent="0.25">
      <c r="A438" s="2278" t="s">
        <v>39</v>
      </c>
      <c r="B438" s="2278"/>
      <c r="C438" s="2278"/>
      <c r="D438" s="2278"/>
      <c r="E438" s="2278"/>
      <c r="F438" s="2278"/>
      <c r="G438" s="1190" t="s">
        <v>5</v>
      </c>
      <c r="H438" s="1190" t="s">
        <v>5</v>
      </c>
      <c r="I438" s="1190" t="s">
        <v>5</v>
      </c>
      <c r="J438" s="1192">
        <f>J434</f>
        <v>132000</v>
      </c>
      <c r="K438" s="344">
        <v>0</v>
      </c>
      <c r="L438" s="784">
        <f>J438-K438</f>
        <v>132000</v>
      </c>
      <c r="P438" s="551"/>
      <c r="Q438" s="551"/>
      <c r="R438" s="551"/>
      <c r="S438" s="551"/>
      <c r="T438" s="551"/>
      <c r="U438" s="551"/>
      <c r="V438" s="551"/>
      <c r="W438" s="551"/>
      <c r="X438" s="551"/>
      <c r="Y438" s="551"/>
      <c r="Z438" s="551"/>
      <c r="AA438" s="551"/>
      <c r="AB438" s="551"/>
    </row>
    <row r="439" spans="1:28" ht="15" customHeight="1" x14ac:dyDescent="0.25">
      <c r="A439" s="2222" t="s">
        <v>1866</v>
      </c>
      <c r="B439" s="2316"/>
      <c r="C439" s="2316"/>
      <c r="D439" s="2316"/>
      <c r="E439" s="2316"/>
      <c r="F439" s="2316"/>
      <c r="G439" s="2316"/>
      <c r="H439" s="2316"/>
      <c r="I439" s="2317"/>
      <c r="J439" s="1124">
        <f>SUM(J440:J442)</f>
        <v>132000</v>
      </c>
      <c r="K439" s="61"/>
      <c r="L439" s="75"/>
      <c r="P439" s="551"/>
      <c r="Q439" s="551"/>
      <c r="R439" s="551"/>
      <c r="S439" s="551"/>
      <c r="T439" s="551"/>
      <c r="U439" s="551"/>
      <c r="V439" s="551"/>
      <c r="W439" s="551"/>
      <c r="X439" s="551"/>
      <c r="Y439" s="551"/>
      <c r="Z439" s="551"/>
      <c r="AA439" s="551"/>
      <c r="AB439" s="551"/>
    </row>
    <row r="440" spans="1:28" ht="30" customHeight="1" x14ac:dyDescent="0.25">
      <c r="A440" s="1127">
        <v>1</v>
      </c>
      <c r="B440" s="2312" t="s">
        <v>1867</v>
      </c>
      <c r="C440" s="2313"/>
      <c r="D440" s="2313"/>
      <c r="E440" s="2313"/>
      <c r="F440" s="2314"/>
      <c r="G440" s="1229">
        <v>1</v>
      </c>
      <c r="H440" s="1229">
        <v>12</v>
      </c>
      <c r="I440" s="1420">
        <v>2000</v>
      </c>
      <c r="J440" s="1426">
        <f t="shared" ref="J440:J442" si="4">G440*H440*I440</f>
        <v>24000</v>
      </c>
      <c r="K440" s="61"/>
      <c r="L440" s="75"/>
      <c r="P440" s="551"/>
      <c r="Q440" s="551"/>
      <c r="R440" s="551"/>
      <c r="S440" s="551"/>
      <c r="T440" s="551"/>
      <c r="U440" s="551"/>
      <c r="V440" s="551"/>
      <c r="W440" s="551"/>
      <c r="X440" s="551"/>
      <c r="Y440" s="551"/>
      <c r="Z440" s="551"/>
      <c r="AA440" s="551"/>
      <c r="AB440" s="551"/>
    </row>
    <row r="441" spans="1:28" ht="15" customHeight="1" x14ac:dyDescent="0.25">
      <c r="A441" s="1127">
        <v>2</v>
      </c>
      <c r="B441" s="2312" t="s">
        <v>1863</v>
      </c>
      <c r="C441" s="2313"/>
      <c r="D441" s="2313"/>
      <c r="E441" s="2313"/>
      <c r="F441" s="2314"/>
      <c r="G441" s="1229">
        <v>1</v>
      </c>
      <c r="H441" s="1229">
        <v>12</v>
      </c>
      <c r="I441" s="1420">
        <v>4000</v>
      </c>
      <c r="J441" s="1426">
        <f t="shared" si="4"/>
        <v>48000</v>
      </c>
      <c r="K441" s="61"/>
      <c r="L441" s="75"/>
      <c r="P441" s="551"/>
      <c r="Q441" s="551"/>
      <c r="R441" s="551"/>
      <c r="S441" s="551"/>
      <c r="T441" s="551"/>
      <c r="U441" s="551"/>
      <c r="V441" s="551"/>
      <c r="W441" s="551"/>
      <c r="X441" s="551"/>
      <c r="Y441" s="551"/>
      <c r="Z441" s="551"/>
      <c r="AA441" s="551"/>
      <c r="AB441" s="551"/>
    </row>
    <row r="442" spans="1:28" ht="15" customHeight="1" x14ac:dyDescent="0.25">
      <c r="A442" s="1127">
        <v>3</v>
      </c>
      <c r="B442" s="2312" t="s">
        <v>86</v>
      </c>
      <c r="C442" s="2313"/>
      <c r="D442" s="2313"/>
      <c r="E442" s="2313"/>
      <c r="F442" s="2314"/>
      <c r="G442" s="1229">
        <v>1</v>
      </c>
      <c r="H442" s="1229">
        <v>12</v>
      </c>
      <c r="I442" s="1420">
        <v>5000</v>
      </c>
      <c r="J442" s="1426">
        <f t="shared" si="4"/>
        <v>60000</v>
      </c>
      <c r="K442" s="61"/>
      <c r="L442" s="75"/>
      <c r="P442" s="551"/>
      <c r="Q442" s="551"/>
      <c r="R442" s="551"/>
      <c r="S442" s="551"/>
      <c r="T442" s="551"/>
      <c r="U442" s="551"/>
      <c r="V442" s="551"/>
      <c r="W442" s="551"/>
      <c r="X442" s="551"/>
      <c r="Y442" s="551"/>
      <c r="Z442" s="551"/>
      <c r="AA442" s="551"/>
      <c r="AB442" s="551"/>
    </row>
    <row r="443" spans="1:28" ht="15" customHeight="1" x14ac:dyDescent="0.25">
      <c r="A443" s="2278" t="s">
        <v>39</v>
      </c>
      <c r="B443" s="2278"/>
      <c r="C443" s="2278"/>
      <c r="D443" s="2278"/>
      <c r="E443" s="2278"/>
      <c r="F443" s="2278"/>
      <c r="G443" s="1190" t="s">
        <v>5</v>
      </c>
      <c r="H443" s="1190" t="s">
        <v>5</v>
      </c>
      <c r="I443" s="1190" t="s">
        <v>5</v>
      </c>
      <c r="J443" s="1192">
        <f>J439</f>
        <v>132000</v>
      </c>
      <c r="K443" s="344">
        <v>0</v>
      </c>
      <c r="L443" s="784">
        <f>J443-K443</f>
        <v>132000</v>
      </c>
      <c r="P443" s="551"/>
      <c r="Q443" s="551"/>
      <c r="R443" s="551"/>
      <c r="S443" s="551"/>
      <c r="T443" s="551"/>
      <c r="U443" s="551"/>
      <c r="V443" s="551"/>
      <c r="W443" s="551"/>
      <c r="X443" s="551"/>
      <c r="Y443" s="551"/>
      <c r="Z443" s="551"/>
      <c r="AA443" s="551"/>
      <c r="AB443" s="551"/>
    </row>
    <row r="444" spans="1:28" ht="15" customHeight="1" x14ac:dyDescent="0.25">
      <c r="A444" s="2278" t="s">
        <v>1864</v>
      </c>
      <c r="B444" s="2278"/>
      <c r="C444" s="2278"/>
      <c r="D444" s="2278"/>
      <c r="E444" s="2278"/>
      <c r="F444" s="2278"/>
      <c r="G444" s="1190" t="s">
        <v>5</v>
      </c>
      <c r="H444" s="1190" t="s">
        <v>5</v>
      </c>
      <c r="I444" s="1190" t="s">
        <v>5</v>
      </c>
      <c r="J444" s="1192">
        <f>J438+J443</f>
        <v>264000</v>
      </c>
      <c r="K444" s="61"/>
      <c r="L444" s="75"/>
      <c r="P444" s="551"/>
      <c r="Q444" s="551"/>
      <c r="R444" s="551"/>
      <c r="S444" s="551"/>
      <c r="T444" s="551"/>
      <c r="U444" s="551"/>
      <c r="V444" s="551"/>
      <c r="W444" s="551"/>
      <c r="X444" s="551"/>
      <c r="Y444" s="551"/>
      <c r="Z444" s="551"/>
      <c r="AA444" s="551"/>
      <c r="AB444" s="551"/>
    </row>
    <row r="445" spans="1:28" x14ac:dyDescent="0.25">
      <c r="A445" s="652"/>
      <c r="B445" s="652"/>
      <c r="C445" s="652"/>
      <c r="D445" s="652"/>
      <c r="E445" s="652"/>
      <c r="F445" s="652"/>
      <c r="G445" s="652"/>
      <c r="H445" s="653"/>
      <c r="I445" s="654"/>
      <c r="J445" s="654"/>
      <c r="P445" s="551"/>
      <c r="Q445" s="551"/>
      <c r="R445" s="551"/>
      <c r="S445" s="551"/>
      <c r="T445" s="551"/>
      <c r="U445" s="551"/>
      <c r="V445" s="551"/>
      <c r="W445" s="551"/>
      <c r="X445" s="551"/>
      <c r="Y445" s="551"/>
      <c r="Z445" s="551"/>
      <c r="AA445" s="551"/>
      <c r="AB445" s="551"/>
    </row>
    <row r="446" spans="1:28" ht="15" customHeight="1" x14ac:dyDescent="0.25">
      <c r="A446" s="1449" t="s">
        <v>323</v>
      </c>
      <c r="P446" s="551"/>
      <c r="Q446" s="551"/>
      <c r="R446" s="551"/>
      <c r="S446" s="551"/>
      <c r="T446" s="551"/>
      <c r="U446" s="551"/>
      <c r="V446" s="551"/>
      <c r="W446" s="551"/>
      <c r="X446" s="551"/>
      <c r="Y446" s="551"/>
      <c r="Z446" s="551"/>
      <c r="AA446" s="551"/>
      <c r="AB446" s="551"/>
    </row>
    <row r="447" spans="1:28" ht="15" customHeight="1" x14ac:dyDescent="0.25">
      <c r="A447" s="2183" t="s">
        <v>8</v>
      </c>
      <c r="B447" s="2170" t="s">
        <v>1</v>
      </c>
      <c r="C447" s="2173"/>
      <c r="D447" s="2173"/>
      <c r="E447" s="2173"/>
      <c r="F447" s="2315" t="s">
        <v>1664</v>
      </c>
      <c r="G447" s="2183" t="s">
        <v>2048</v>
      </c>
      <c r="H447" s="2183" t="s">
        <v>735</v>
      </c>
      <c r="I447" s="2183"/>
      <c r="J447" s="2183"/>
      <c r="P447" s="551"/>
      <c r="Q447" s="551"/>
      <c r="R447" s="551"/>
      <c r="S447" s="551"/>
      <c r="T447" s="551"/>
      <c r="U447" s="551"/>
      <c r="V447" s="551"/>
      <c r="W447" s="551"/>
      <c r="X447" s="551"/>
      <c r="Y447" s="551"/>
      <c r="Z447" s="551"/>
      <c r="AA447" s="551"/>
      <c r="AB447" s="551"/>
    </row>
    <row r="448" spans="1:28" ht="31.5" customHeight="1" x14ac:dyDescent="0.25">
      <c r="A448" s="2183"/>
      <c r="B448" s="2173"/>
      <c r="C448" s="2173"/>
      <c r="D448" s="2173"/>
      <c r="E448" s="2173"/>
      <c r="F448" s="2162"/>
      <c r="G448" s="1418" t="s">
        <v>1661</v>
      </c>
      <c r="H448" s="1418" t="s">
        <v>1662</v>
      </c>
      <c r="I448" s="1426" t="s">
        <v>1663</v>
      </c>
      <c r="J448" s="1426" t="s">
        <v>256</v>
      </c>
      <c r="P448" s="551"/>
      <c r="Q448" s="551"/>
      <c r="R448" s="551"/>
      <c r="S448" s="551"/>
      <c r="T448" s="551"/>
      <c r="U448" s="551"/>
      <c r="V448" s="551"/>
      <c r="W448" s="551"/>
      <c r="X448" s="551"/>
      <c r="Y448" s="551"/>
      <c r="Z448" s="551"/>
      <c r="AA448" s="551"/>
      <c r="AB448" s="551"/>
    </row>
    <row r="449" spans="1:34" s="556" customFormat="1" ht="15" customHeight="1" x14ac:dyDescent="0.25">
      <c r="A449" s="2318" t="s">
        <v>728</v>
      </c>
      <c r="B449" s="2319"/>
      <c r="C449" s="2319"/>
      <c r="D449" s="2319"/>
      <c r="E449" s="2319"/>
      <c r="F449" s="2320"/>
      <c r="G449" s="1178"/>
      <c r="H449" s="1437"/>
      <c r="I449" s="1178"/>
      <c r="J449" s="619">
        <f>SUM(J450:J463)</f>
        <v>57786</v>
      </c>
      <c r="K449" s="582"/>
      <c r="L449" s="1078"/>
      <c r="M449" s="579"/>
      <c r="N449" s="579"/>
      <c r="O449" s="579"/>
    </row>
    <row r="450" spans="1:34" ht="29.25" customHeight="1" x14ac:dyDescent="0.2">
      <c r="A450" s="1127">
        <v>1</v>
      </c>
      <c r="B450" s="2283" t="s">
        <v>1647</v>
      </c>
      <c r="C450" s="2219"/>
      <c r="D450" s="2219"/>
      <c r="E450" s="2219"/>
      <c r="F450" s="1144" t="s">
        <v>304</v>
      </c>
      <c r="G450" s="1180">
        <v>4</v>
      </c>
      <c r="H450" s="1180">
        <v>2</v>
      </c>
      <c r="I450" s="1179">
        <v>2142</v>
      </c>
      <c r="J450" s="1179">
        <f>H450*I450*G450</f>
        <v>17136</v>
      </c>
      <c r="K450" s="1195"/>
      <c r="L450" s="1193"/>
      <c r="M450" s="1193"/>
      <c r="N450" s="1194"/>
      <c r="O450" s="1177"/>
      <c r="P450" s="1177"/>
      <c r="Q450" s="1177"/>
      <c r="R450" s="1177"/>
      <c r="S450" s="1177"/>
      <c r="T450" s="1177"/>
      <c r="U450" s="1177"/>
      <c r="V450" s="1177"/>
      <c r="W450" s="1177"/>
      <c r="X450" s="1177"/>
      <c r="Y450" s="1177"/>
      <c r="Z450" s="1177"/>
      <c r="AA450" s="1177"/>
      <c r="AB450" s="1177"/>
      <c r="AC450" s="1177"/>
      <c r="AD450" s="1177"/>
      <c r="AE450" s="1177"/>
      <c r="AF450" s="1177"/>
      <c r="AG450" s="1177"/>
      <c r="AH450" s="508"/>
    </row>
    <row r="451" spans="1:34" x14ac:dyDescent="0.2">
      <c r="A451" s="1127">
        <v>2</v>
      </c>
      <c r="B451" s="2283" t="s">
        <v>1648</v>
      </c>
      <c r="C451" s="2219"/>
      <c r="D451" s="2219"/>
      <c r="E451" s="2219"/>
      <c r="F451" s="1144" t="s">
        <v>304</v>
      </c>
      <c r="G451" s="1180">
        <v>4</v>
      </c>
      <c r="H451" s="1180">
        <v>2</v>
      </c>
      <c r="I451" s="1179">
        <v>2252</v>
      </c>
      <c r="J451" s="1179">
        <f t="shared" ref="J451:J463" si="5">H451*I451*G451</f>
        <v>18016</v>
      </c>
      <c r="K451" s="1195"/>
      <c r="L451" s="1193"/>
      <c r="M451" s="1193"/>
      <c r="N451" s="1194"/>
      <c r="O451" s="1177"/>
      <c r="P451" s="1177"/>
      <c r="Q451" s="1177"/>
      <c r="R451" s="1177"/>
      <c r="S451" s="1177"/>
      <c r="T451" s="1177"/>
      <c r="U451" s="1177"/>
      <c r="V451" s="1177"/>
      <c r="W451" s="1177"/>
      <c r="X451" s="1177"/>
      <c r="Y451" s="1177"/>
      <c r="Z451" s="1177"/>
      <c r="AA451" s="1177"/>
      <c r="AB451" s="1177"/>
      <c r="AC451" s="1177"/>
      <c r="AD451" s="1177"/>
      <c r="AE451" s="1177"/>
      <c r="AF451" s="1177"/>
      <c r="AG451" s="1177"/>
      <c r="AH451" s="508"/>
    </row>
    <row r="452" spans="1:34" x14ac:dyDescent="0.2">
      <c r="A452" s="1127">
        <v>3</v>
      </c>
      <c r="B452" s="2283" t="s">
        <v>1649</v>
      </c>
      <c r="C452" s="2219"/>
      <c r="D452" s="2219"/>
      <c r="E452" s="2219"/>
      <c r="F452" s="1144" t="s">
        <v>304</v>
      </c>
      <c r="G452" s="1180">
        <v>2</v>
      </c>
      <c r="H452" s="1180">
        <v>2</v>
      </c>
      <c r="I452" s="1179">
        <v>2295</v>
      </c>
      <c r="J452" s="1179">
        <f t="shared" si="5"/>
        <v>9180</v>
      </c>
      <c r="K452" s="1195"/>
      <c r="L452" s="1193"/>
      <c r="M452" s="1193"/>
      <c r="N452" s="1194"/>
      <c r="O452" s="1177"/>
      <c r="P452" s="1177"/>
      <c r="Q452" s="1177"/>
      <c r="R452" s="1177"/>
      <c r="S452" s="1177"/>
      <c r="T452" s="1177"/>
      <c r="U452" s="1177"/>
      <c r="V452" s="1177"/>
      <c r="W452" s="1177"/>
      <c r="X452" s="1177"/>
      <c r="Y452" s="1177"/>
      <c r="Z452" s="1177"/>
      <c r="AA452" s="1177"/>
      <c r="AB452" s="1177"/>
      <c r="AC452" s="1177"/>
      <c r="AD452" s="1177"/>
      <c r="AE452" s="1177"/>
      <c r="AF452" s="1177"/>
      <c r="AG452" s="1177"/>
      <c r="AH452" s="508"/>
    </row>
    <row r="453" spans="1:34" x14ac:dyDescent="0.2">
      <c r="A453" s="1127">
        <v>4</v>
      </c>
      <c r="B453" s="2283" t="s">
        <v>1650</v>
      </c>
      <c r="C453" s="2219"/>
      <c r="D453" s="2219"/>
      <c r="E453" s="2219"/>
      <c r="F453" s="1144" t="s">
        <v>304</v>
      </c>
      <c r="G453" s="1180">
        <v>1</v>
      </c>
      <c r="H453" s="1180" t="s">
        <v>244</v>
      </c>
      <c r="I453" s="1179">
        <v>438</v>
      </c>
      <c r="J453" s="1179">
        <f t="shared" si="5"/>
        <v>438</v>
      </c>
      <c r="K453" s="1195"/>
      <c r="L453" s="1193"/>
      <c r="M453" s="1193"/>
      <c r="N453" s="1194"/>
      <c r="O453" s="1194"/>
      <c r="P453" s="1194"/>
      <c r="Q453" s="1194"/>
      <c r="R453" s="1177"/>
      <c r="S453" s="1177"/>
      <c r="T453" s="1177"/>
      <c r="U453" s="1177"/>
      <c r="V453" s="1177"/>
      <c r="W453" s="1177"/>
      <c r="X453" s="1177"/>
      <c r="Y453" s="1177"/>
      <c r="Z453" s="1177"/>
      <c r="AA453" s="1177"/>
      <c r="AB453" s="1177"/>
      <c r="AC453" s="1177"/>
      <c r="AD453" s="1177"/>
      <c r="AE453" s="1177"/>
      <c r="AF453" s="1177"/>
      <c r="AG453" s="1177"/>
      <c r="AH453" s="508"/>
    </row>
    <row r="454" spans="1:34" x14ac:dyDescent="0.2">
      <c r="A454" s="1127">
        <v>5</v>
      </c>
      <c r="B454" s="2283" t="s">
        <v>1651</v>
      </c>
      <c r="C454" s="2219"/>
      <c r="D454" s="2219"/>
      <c r="E454" s="2219"/>
      <c r="F454" s="1144" t="s">
        <v>304</v>
      </c>
      <c r="G454" s="1180">
        <v>2</v>
      </c>
      <c r="H454" s="1180">
        <v>2</v>
      </c>
      <c r="I454" s="1179">
        <v>1048</v>
      </c>
      <c r="J454" s="1179">
        <f t="shared" si="5"/>
        <v>4192</v>
      </c>
      <c r="K454" s="1195"/>
      <c r="L454" s="1193"/>
      <c r="M454" s="1193"/>
      <c r="N454" s="1194"/>
      <c r="O454" s="1194"/>
      <c r="P454" s="1194"/>
      <c r="Q454" s="1194"/>
      <c r="R454" s="1177"/>
      <c r="S454" s="1177"/>
      <c r="T454" s="1177"/>
      <c r="U454" s="1177"/>
      <c r="V454" s="1177"/>
      <c r="W454" s="1177"/>
      <c r="X454" s="1177"/>
      <c r="Y454" s="1177"/>
      <c r="Z454" s="1177"/>
      <c r="AA454" s="1177"/>
      <c r="AB454" s="1177"/>
      <c r="AC454" s="1177"/>
      <c r="AD454" s="1177"/>
      <c r="AE454" s="1177"/>
      <c r="AF454" s="1177"/>
      <c r="AG454" s="1177"/>
      <c r="AH454" s="508"/>
    </row>
    <row r="455" spans="1:34" x14ac:dyDescent="0.2">
      <c r="A455" s="1127">
        <v>6</v>
      </c>
      <c r="B455" s="2283" t="s">
        <v>1652</v>
      </c>
      <c r="C455" s="2219"/>
      <c r="D455" s="2219"/>
      <c r="E455" s="2219"/>
      <c r="F455" s="1144" t="s">
        <v>304</v>
      </c>
      <c r="G455" s="1180">
        <v>2</v>
      </c>
      <c r="H455" s="1180">
        <v>2</v>
      </c>
      <c r="I455" s="1179">
        <v>351</v>
      </c>
      <c r="J455" s="1179">
        <f t="shared" si="5"/>
        <v>1404</v>
      </c>
      <c r="K455" s="1195"/>
      <c r="L455" s="1193"/>
      <c r="M455" s="1193"/>
      <c r="N455" s="1194"/>
      <c r="O455" s="1194"/>
      <c r="P455" s="1194"/>
      <c r="Q455" s="1194"/>
      <c r="R455" s="1177"/>
      <c r="S455" s="1177"/>
      <c r="T455" s="1177"/>
      <c r="U455" s="1177"/>
      <c r="V455" s="1177"/>
      <c r="W455" s="1177"/>
      <c r="X455" s="1177"/>
      <c r="Y455" s="1177"/>
      <c r="Z455" s="1177"/>
      <c r="AA455" s="1177"/>
      <c r="AB455" s="1177"/>
      <c r="AC455" s="1177"/>
      <c r="AD455" s="1177"/>
      <c r="AE455" s="1177"/>
      <c r="AF455" s="1177"/>
      <c r="AG455" s="1177"/>
      <c r="AH455" s="508"/>
    </row>
    <row r="456" spans="1:34" x14ac:dyDescent="0.2">
      <c r="A456" s="1127">
        <v>7</v>
      </c>
      <c r="B456" s="2283" t="s">
        <v>1653</v>
      </c>
      <c r="C456" s="2219"/>
      <c r="D456" s="2219"/>
      <c r="E456" s="2219"/>
      <c r="F456" s="1144" t="s">
        <v>304</v>
      </c>
      <c r="G456" s="1180">
        <v>2</v>
      </c>
      <c r="H456" s="1180">
        <v>2</v>
      </c>
      <c r="I456" s="1179">
        <v>256</v>
      </c>
      <c r="J456" s="1179">
        <f t="shared" si="5"/>
        <v>1024</v>
      </c>
      <c r="K456" s="1195"/>
      <c r="L456" s="1193"/>
      <c r="M456" s="1193"/>
      <c r="N456" s="1194"/>
      <c r="O456" s="1194"/>
      <c r="P456" s="1194"/>
      <c r="Q456" s="1194"/>
      <c r="R456" s="1177"/>
      <c r="S456" s="1177"/>
      <c r="T456" s="1177"/>
      <c r="U456" s="1177"/>
      <c r="V456" s="1177"/>
      <c r="W456" s="1177"/>
      <c r="X456" s="1177"/>
      <c r="Y456" s="1177"/>
      <c r="Z456" s="1177"/>
      <c r="AA456" s="1177"/>
      <c r="AB456" s="1177"/>
      <c r="AC456" s="1177"/>
      <c r="AD456" s="1177"/>
      <c r="AE456" s="1177"/>
      <c r="AF456" s="1177"/>
      <c r="AG456" s="1177"/>
      <c r="AH456" s="508"/>
    </row>
    <row r="457" spans="1:34" x14ac:dyDescent="0.2">
      <c r="A457" s="1127">
        <v>8</v>
      </c>
      <c r="B457" s="2283" t="s">
        <v>1654</v>
      </c>
      <c r="C457" s="2219"/>
      <c r="D457" s="2219"/>
      <c r="E457" s="2219"/>
      <c r="F457" s="1144" t="s">
        <v>304</v>
      </c>
      <c r="G457" s="1180">
        <v>2</v>
      </c>
      <c r="H457" s="1180">
        <v>2</v>
      </c>
      <c r="I457" s="1179">
        <v>284</v>
      </c>
      <c r="J457" s="1179">
        <f t="shared" si="5"/>
        <v>1136</v>
      </c>
      <c r="K457" s="1195"/>
      <c r="L457" s="1193"/>
      <c r="M457" s="1193"/>
      <c r="N457" s="1194"/>
      <c r="O457" s="1194"/>
      <c r="P457" s="1194"/>
      <c r="Q457" s="1194"/>
      <c r="R457" s="1177"/>
      <c r="S457" s="1177"/>
      <c r="T457" s="1177"/>
      <c r="U457" s="1177"/>
      <c r="V457" s="1177"/>
      <c r="W457" s="1177"/>
      <c r="X457" s="1177"/>
      <c r="Y457" s="1177"/>
      <c r="Z457" s="1177"/>
      <c r="AA457" s="1177"/>
      <c r="AB457" s="1177"/>
      <c r="AC457" s="1177"/>
      <c r="AD457" s="1177"/>
      <c r="AE457" s="1177"/>
      <c r="AF457" s="1177"/>
      <c r="AG457" s="1177"/>
      <c r="AH457" s="508"/>
    </row>
    <row r="458" spans="1:34" ht="29.25" customHeight="1" x14ac:dyDescent="0.2">
      <c r="A458" s="1127">
        <v>9</v>
      </c>
      <c r="B458" s="2283" t="s">
        <v>1655</v>
      </c>
      <c r="C458" s="2219"/>
      <c r="D458" s="2219"/>
      <c r="E458" s="2219"/>
      <c r="F458" s="1144" t="s">
        <v>304</v>
      </c>
      <c r="G458" s="1180">
        <v>1</v>
      </c>
      <c r="H458" s="1180">
        <v>4</v>
      </c>
      <c r="I458" s="1179">
        <v>315</v>
      </c>
      <c r="J458" s="1179">
        <f t="shared" si="5"/>
        <v>1260</v>
      </c>
      <c r="K458" s="1195"/>
      <c r="L458" s="1193"/>
      <c r="M458" s="1193"/>
      <c r="N458" s="1194"/>
      <c r="O458" s="1194"/>
      <c r="P458" s="1194"/>
      <c r="Q458" s="1194"/>
      <c r="R458" s="1177"/>
      <c r="S458" s="1177"/>
      <c r="T458" s="1177"/>
      <c r="U458" s="1177"/>
      <c r="V458" s="1177"/>
      <c r="W458" s="1177"/>
      <c r="X458" s="1177"/>
      <c r="Y458" s="1177"/>
      <c r="Z458" s="1177"/>
      <c r="AA458" s="1177"/>
      <c r="AB458" s="1177"/>
      <c r="AC458" s="1177"/>
      <c r="AD458" s="1177"/>
      <c r="AE458" s="1177"/>
      <c r="AF458" s="1177"/>
      <c r="AG458" s="1177"/>
      <c r="AH458" s="508"/>
    </row>
    <row r="459" spans="1:34" x14ac:dyDescent="0.2">
      <c r="A459" s="1127">
        <v>10</v>
      </c>
      <c r="B459" s="2283" t="s">
        <v>1656</v>
      </c>
      <c r="C459" s="2219"/>
      <c r="D459" s="2219"/>
      <c r="E459" s="2219"/>
      <c r="F459" s="1144" t="s">
        <v>304</v>
      </c>
      <c r="G459" s="1180">
        <v>1</v>
      </c>
      <c r="H459" s="1180">
        <v>2</v>
      </c>
      <c r="I459" s="1179">
        <v>487</v>
      </c>
      <c r="J459" s="1179">
        <f t="shared" si="5"/>
        <v>974</v>
      </c>
      <c r="K459" s="1195"/>
      <c r="L459" s="1193"/>
      <c r="M459" s="1193"/>
      <c r="N459" s="1194"/>
      <c r="O459" s="1194"/>
      <c r="P459" s="1194"/>
      <c r="Q459" s="1194"/>
      <c r="R459" s="1177"/>
      <c r="S459" s="1177"/>
      <c r="T459" s="1177"/>
      <c r="U459" s="1177"/>
      <c r="V459" s="1177"/>
      <c r="W459" s="1177"/>
      <c r="X459" s="1177"/>
      <c r="Y459" s="1177"/>
      <c r="Z459" s="1177"/>
      <c r="AA459" s="1177"/>
      <c r="AB459" s="1177"/>
      <c r="AC459" s="1177"/>
      <c r="AD459" s="1177"/>
      <c r="AE459" s="1177"/>
      <c r="AF459" s="1177"/>
      <c r="AG459" s="1177"/>
      <c r="AH459" s="508"/>
    </row>
    <row r="460" spans="1:34" x14ac:dyDescent="0.2">
      <c r="A460" s="1127">
        <v>11</v>
      </c>
      <c r="B460" s="2283" t="s">
        <v>1657</v>
      </c>
      <c r="C460" s="2219"/>
      <c r="D460" s="2219"/>
      <c r="E460" s="2219"/>
      <c r="F460" s="1144" t="s">
        <v>304</v>
      </c>
      <c r="G460" s="1180">
        <v>1</v>
      </c>
      <c r="H460" s="1180">
        <v>2</v>
      </c>
      <c r="I460" s="1179">
        <v>284</v>
      </c>
      <c r="J460" s="1179">
        <f t="shared" si="5"/>
        <v>568</v>
      </c>
      <c r="K460" s="1195"/>
      <c r="L460" s="1193"/>
      <c r="M460" s="1193"/>
      <c r="N460" s="1194"/>
      <c r="O460" s="1194"/>
      <c r="P460" s="1194"/>
      <c r="Q460" s="1194"/>
      <c r="R460" s="1177"/>
      <c r="S460" s="1177"/>
      <c r="T460" s="1177"/>
      <c r="U460" s="1177"/>
      <c r="V460" s="1177"/>
      <c r="W460" s="1177"/>
      <c r="X460" s="1177"/>
      <c r="Y460" s="1177"/>
      <c r="Z460" s="1177"/>
      <c r="AA460" s="1177"/>
      <c r="AB460" s="1177"/>
      <c r="AC460" s="1177"/>
      <c r="AD460" s="1177"/>
      <c r="AE460" s="1177"/>
      <c r="AF460" s="1177"/>
      <c r="AG460" s="1177"/>
      <c r="AH460" s="508"/>
    </row>
    <row r="461" spans="1:34" x14ac:dyDescent="0.2">
      <c r="A461" s="1127">
        <v>12</v>
      </c>
      <c r="B461" s="2283" t="s">
        <v>1658</v>
      </c>
      <c r="C461" s="2219"/>
      <c r="D461" s="2219"/>
      <c r="E461" s="2219"/>
      <c r="F461" s="1144" t="s">
        <v>304</v>
      </c>
      <c r="G461" s="1180">
        <v>1</v>
      </c>
      <c r="H461" s="1180">
        <v>2</v>
      </c>
      <c r="I461" s="1179">
        <v>284</v>
      </c>
      <c r="J461" s="1179">
        <f t="shared" si="5"/>
        <v>568</v>
      </c>
      <c r="K461" s="1195"/>
      <c r="L461" s="1193"/>
      <c r="M461" s="1193"/>
      <c r="N461" s="1194"/>
      <c r="O461" s="1194"/>
      <c r="P461" s="1194"/>
      <c r="Q461" s="1194"/>
      <c r="R461" s="1177"/>
      <c r="S461" s="1177"/>
      <c r="T461" s="1177"/>
      <c r="U461" s="1177"/>
      <c r="V461" s="1177"/>
      <c r="W461" s="1177"/>
      <c r="X461" s="1177"/>
      <c r="Y461" s="1177"/>
      <c r="Z461" s="1177"/>
      <c r="AA461" s="1177"/>
      <c r="AB461" s="1177"/>
      <c r="AC461" s="1177"/>
      <c r="AD461" s="1177"/>
      <c r="AE461" s="1177"/>
      <c r="AF461" s="1177"/>
      <c r="AG461" s="1177"/>
      <c r="AH461" s="508"/>
    </row>
    <row r="462" spans="1:34" ht="29.25" customHeight="1" x14ac:dyDescent="0.2">
      <c r="A462" s="1127">
        <v>13</v>
      </c>
      <c r="B462" s="2283" t="s">
        <v>1659</v>
      </c>
      <c r="C462" s="2219"/>
      <c r="D462" s="2219"/>
      <c r="E462" s="2219"/>
      <c r="F462" s="1144" t="s">
        <v>304</v>
      </c>
      <c r="G462" s="1180">
        <v>1</v>
      </c>
      <c r="H462" s="1180">
        <v>3</v>
      </c>
      <c r="I462" s="1179">
        <v>315</v>
      </c>
      <c r="J462" s="1179">
        <f t="shared" si="5"/>
        <v>945</v>
      </c>
      <c r="K462" s="1195"/>
      <c r="L462" s="1193"/>
      <c r="M462" s="1193"/>
      <c r="N462" s="1194"/>
      <c r="O462" s="1194"/>
      <c r="P462" s="1194"/>
      <c r="Q462" s="1194"/>
      <c r="R462" s="1177"/>
      <c r="S462" s="1177"/>
      <c r="T462" s="1177"/>
      <c r="U462" s="1177"/>
      <c r="V462" s="1177"/>
      <c r="W462" s="1177"/>
      <c r="X462" s="1177"/>
      <c r="Y462" s="1177"/>
      <c r="Z462" s="1177"/>
      <c r="AA462" s="1177"/>
      <c r="AB462" s="1177"/>
      <c r="AC462" s="1177"/>
      <c r="AD462" s="1177"/>
      <c r="AE462" s="1177"/>
      <c r="AF462" s="1177"/>
      <c r="AG462" s="1177"/>
      <c r="AH462" s="508"/>
    </row>
    <row r="463" spans="1:34" ht="29.25" customHeight="1" x14ac:dyDescent="0.2">
      <c r="A463" s="1127">
        <v>14</v>
      </c>
      <c r="B463" s="1986" t="s">
        <v>1660</v>
      </c>
      <c r="C463" s="2322"/>
      <c r="D463" s="2322"/>
      <c r="E463" s="2322"/>
      <c r="F463" s="1144" t="s">
        <v>304</v>
      </c>
      <c r="G463" s="1180">
        <v>1</v>
      </c>
      <c r="H463" s="1180">
        <v>3</v>
      </c>
      <c r="I463" s="1179">
        <v>315</v>
      </c>
      <c r="J463" s="1179">
        <f t="shared" si="5"/>
        <v>945</v>
      </c>
      <c r="K463" s="1195"/>
      <c r="L463" s="1193"/>
      <c r="M463" s="1193"/>
      <c r="N463" s="1194"/>
      <c r="O463" s="1194"/>
      <c r="P463" s="1194"/>
      <c r="Q463" s="1194"/>
      <c r="R463" s="1177"/>
      <c r="S463" s="1177"/>
      <c r="T463" s="1177"/>
      <c r="U463" s="1177"/>
      <c r="V463" s="1177"/>
      <c r="W463" s="1177"/>
      <c r="X463" s="1177"/>
      <c r="Y463" s="1177"/>
      <c r="Z463" s="1177"/>
      <c r="AA463" s="1177"/>
      <c r="AB463" s="1177"/>
      <c r="AC463" s="1177"/>
      <c r="AD463" s="1177"/>
      <c r="AE463" s="1177"/>
      <c r="AF463" s="1177"/>
      <c r="AG463" s="1177"/>
      <c r="AH463" s="508"/>
    </row>
    <row r="464" spans="1:34" ht="15" customHeight="1" x14ac:dyDescent="0.25">
      <c r="A464" s="2181" t="s">
        <v>39</v>
      </c>
      <c r="B464" s="2181"/>
      <c r="C464" s="2181"/>
      <c r="D464" s="2181"/>
      <c r="E464" s="2181"/>
      <c r="F464" s="2181"/>
      <c r="G464" s="2181"/>
      <c r="H464" s="2181"/>
      <c r="I464" s="2181"/>
      <c r="J464" s="1406">
        <f>J449</f>
        <v>57786</v>
      </c>
      <c r="K464" s="564"/>
      <c r="L464" s="739"/>
      <c r="P464" s="551"/>
      <c r="Q464" s="551"/>
      <c r="R464" s="551"/>
      <c r="S464" s="551"/>
      <c r="T464" s="551"/>
      <c r="U464" s="551"/>
      <c r="V464" s="551"/>
      <c r="W464" s="551"/>
      <c r="X464" s="551"/>
      <c r="Y464" s="551"/>
      <c r="Z464" s="551"/>
      <c r="AA464" s="551"/>
      <c r="AB464" s="551"/>
    </row>
    <row r="465" spans="1:28" x14ac:dyDescent="0.25">
      <c r="A465" s="779"/>
      <c r="B465" s="779"/>
      <c r="C465" s="779"/>
      <c r="D465" s="779"/>
      <c r="E465" s="779"/>
      <c r="F465" s="779"/>
      <c r="G465" s="779"/>
      <c r="H465" s="779"/>
      <c r="I465" s="779"/>
      <c r="J465" s="720"/>
      <c r="P465" s="551"/>
      <c r="Q465" s="551"/>
      <c r="R465" s="551"/>
      <c r="S465" s="551"/>
      <c r="T465" s="551"/>
      <c r="U465" s="551"/>
      <c r="V465" s="551"/>
      <c r="W465" s="551"/>
      <c r="X465" s="551"/>
      <c r="Y465" s="551"/>
      <c r="Z465" s="551"/>
      <c r="AA465" s="551"/>
      <c r="AB465" s="551"/>
    </row>
    <row r="466" spans="1:28" x14ac:dyDescent="0.25">
      <c r="A466" s="2302" t="s">
        <v>1868</v>
      </c>
      <c r="B466" s="2302"/>
      <c r="C466" s="2302"/>
      <c r="D466" s="2302"/>
      <c r="E466" s="2302"/>
      <c r="F466" s="2302"/>
      <c r="G466" s="2302"/>
      <c r="H466" s="2302"/>
      <c r="I466" s="779"/>
      <c r="J466" s="629"/>
      <c r="P466" s="551"/>
      <c r="Q466" s="551"/>
      <c r="R466" s="551"/>
      <c r="S466" s="551"/>
      <c r="T466" s="551"/>
      <c r="U466" s="551"/>
      <c r="V466" s="551"/>
      <c r="W466" s="551"/>
      <c r="X466" s="551"/>
      <c r="Y466" s="551"/>
      <c r="Z466" s="551"/>
      <c r="AA466" s="551"/>
      <c r="AB466" s="551"/>
    </row>
    <row r="467" spans="1:28" ht="15" customHeight="1" x14ac:dyDescent="0.25">
      <c r="A467" s="2170" t="s">
        <v>8</v>
      </c>
      <c r="B467" s="2170" t="s">
        <v>1</v>
      </c>
      <c r="C467" s="2170"/>
      <c r="D467" s="2170"/>
      <c r="E467" s="2170"/>
      <c r="F467" s="2321" t="s">
        <v>736</v>
      </c>
      <c r="G467" s="2183" t="s">
        <v>2048</v>
      </c>
      <c r="H467" s="2183" t="s">
        <v>735</v>
      </c>
      <c r="I467" s="2183"/>
      <c r="J467" s="2183"/>
      <c r="P467" s="551"/>
      <c r="Q467" s="551"/>
      <c r="R467" s="551"/>
      <c r="S467" s="551"/>
      <c r="T467" s="551"/>
      <c r="U467" s="551"/>
      <c r="V467" s="551"/>
      <c r="W467" s="551"/>
      <c r="X467" s="551"/>
      <c r="Y467" s="551"/>
      <c r="Z467" s="551"/>
      <c r="AA467" s="551"/>
      <c r="AB467" s="551"/>
    </row>
    <row r="468" spans="1:28" ht="120" x14ac:dyDescent="0.25">
      <c r="A468" s="2170"/>
      <c r="B468" s="2170"/>
      <c r="C468" s="2170"/>
      <c r="D468" s="2170"/>
      <c r="E468" s="2170"/>
      <c r="F468" s="2321"/>
      <c r="G468" s="1441" t="s">
        <v>1869</v>
      </c>
      <c r="H468" s="1441" t="s">
        <v>1871</v>
      </c>
      <c r="I468" s="1441" t="s">
        <v>748</v>
      </c>
      <c r="J468" s="1441" t="s">
        <v>256</v>
      </c>
      <c r="P468" s="551"/>
      <c r="Q468" s="551"/>
      <c r="R468" s="551"/>
      <c r="S468" s="551"/>
      <c r="T468" s="551"/>
      <c r="U468" s="551"/>
      <c r="V468" s="551"/>
      <c r="W468" s="551"/>
      <c r="X468" s="551"/>
      <c r="Y468" s="551"/>
      <c r="Z468" s="551"/>
      <c r="AA468" s="551"/>
      <c r="AB468" s="551"/>
    </row>
    <row r="469" spans="1:28" x14ac:dyDescent="0.25">
      <c r="A469" s="630">
        <v>1</v>
      </c>
      <c r="B469" s="2301" t="s">
        <v>1870</v>
      </c>
      <c r="C469" s="2302"/>
      <c r="D469" s="2302"/>
      <c r="E469" s="2302"/>
      <c r="F469" s="630" t="s">
        <v>108</v>
      </c>
      <c r="G469" s="1229">
        <v>2</v>
      </c>
      <c r="H469" s="1420">
        <v>9000</v>
      </c>
      <c r="I469" s="1229">
        <v>12</v>
      </c>
      <c r="J469" s="1019">
        <f>G469*H469*I469</f>
        <v>216000</v>
      </c>
      <c r="P469" s="551"/>
      <c r="Q469" s="551"/>
      <c r="R469" s="551"/>
      <c r="S469" s="551"/>
      <c r="T469" s="551"/>
      <c r="U469" s="551"/>
      <c r="V469" s="551"/>
      <c r="W469" s="551"/>
      <c r="X469" s="551"/>
      <c r="Y469" s="551"/>
      <c r="Z469" s="551"/>
      <c r="AA469" s="551"/>
      <c r="AB469" s="551"/>
    </row>
    <row r="470" spans="1:28" x14ac:dyDescent="0.25">
      <c r="A470" s="2236" t="s">
        <v>39</v>
      </c>
      <c r="B470" s="2237"/>
      <c r="C470" s="2237"/>
      <c r="D470" s="2237"/>
      <c r="E470" s="2237"/>
      <c r="F470" s="2237"/>
      <c r="G470" s="2238"/>
      <c r="H470" s="2238"/>
      <c r="I470" s="2239"/>
      <c r="J470" s="1192">
        <f>SUM(J469:J469)</f>
        <v>216000</v>
      </c>
      <c r="P470" s="551"/>
      <c r="Q470" s="551"/>
      <c r="R470" s="551"/>
      <c r="S470" s="551"/>
      <c r="T470" s="551"/>
      <c r="U470" s="551"/>
      <c r="V470" s="551"/>
      <c r="W470" s="551"/>
      <c r="X470" s="551"/>
      <c r="Y470" s="551"/>
      <c r="Z470" s="551"/>
      <c r="AA470" s="551"/>
      <c r="AB470" s="551"/>
    </row>
    <row r="471" spans="1:28" x14ac:dyDescent="0.25">
      <c r="A471" s="779"/>
      <c r="B471" s="779"/>
      <c r="C471" s="779"/>
      <c r="D471" s="779"/>
      <c r="E471" s="779"/>
      <c r="F471" s="779"/>
      <c r="G471" s="779"/>
      <c r="H471" s="779"/>
      <c r="I471" s="779"/>
      <c r="J471" s="720"/>
      <c r="P471" s="551"/>
      <c r="Q471" s="551"/>
      <c r="R471" s="551"/>
      <c r="S471" s="551"/>
      <c r="T471" s="551"/>
      <c r="U471" s="551"/>
      <c r="V471" s="551"/>
      <c r="W471" s="551"/>
      <c r="X471" s="551"/>
      <c r="Y471" s="551"/>
      <c r="Z471" s="551"/>
      <c r="AA471" s="551"/>
      <c r="AB471" s="551"/>
    </row>
    <row r="472" spans="1:28" ht="15" customHeight="1" x14ac:dyDescent="0.25">
      <c r="A472" s="507" t="s">
        <v>63</v>
      </c>
      <c r="B472" s="504"/>
      <c r="C472" s="504"/>
      <c r="D472" s="551"/>
      <c r="E472" s="509" t="s">
        <v>70</v>
      </c>
      <c r="J472" s="511">
        <f>J473+J564+J573</f>
        <v>7157673.8700000001</v>
      </c>
      <c r="K472" s="341"/>
      <c r="L472" s="2" t="s">
        <v>1284</v>
      </c>
      <c r="M472" s="75"/>
      <c r="N472" s="75"/>
      <c r="O472" s="551"/>
      <c r="P472" s="551"/>
      <c r="Q472" s="551"/>
      <c r="R472" s="551"/>
      <c r="S472" s="551"/>
      <c r="T472" s="551"/>
      <c r="U472" s="551"/>
      <c r="V472" s="551"/>
      <c r="W472" s="551"/>
      <c r="X472" s="551"/>
      <c r="Y472" s="551"/>
      <c r="Z472" s="551"/>
      <c r="AA472" s="551"/>
      <c r="AB472" s="551"/>
    </row>
    <row r="473" spans="1:28" ht="15" customHeight="1" x14ac:dyDescent="0.25">
      <c r="A473" s="786" t="s">
        <v>26</v>
      </c>
      <c r="B473" s="794"/>
      <c r="C473" s="794"/>
      <c r="D473" s="936"/>
      <c r="E473" s="793" t="s">
        <v>624</v>
      </c>
      <c r="F473" s="787"/>
      <c r="G473" s="787"/>
      <c r="H473" s="788"/>
      <c r="I473" s="986"/>
      <c r="J473" s="789">
        <f>J474+J547+J556</f>
        <v>5757573.8700000001</v>
      </c>
      <c r="K473" s="341"/>
      <c r="L473" s="2" t="s">
        <v>1285</v>
      </c>
      <c r="M473" s="81"/>
      <c r="N473" s="341"/>
      <c r="O473" s="551"/>
      <c r="P473" s="551"/>
      <c r="Q473" s="551"/>
      <c r="R473" s="551"/>
      <c r="S473" s="551"/>
      <c r="T473" s="551"/>
      <c r="U473" s="551"/>
      <c r="V473" s="551"/>
      <c r="W473" s="551"/>
      <c r="X473" s="551"/>
      <c r="Y473" s="551"/>
      <c r="Z473" s="551"/>
      <c r="AA473" s="551"/>
      <c r="AB473" s="551"/>
    </row>
    <row r="474" spans="1:28" x14ac:dyDescent="0.25">
      <c r="A474" s="507" t="s">
        <v>27</v>
      </c>
      <c r="B474" s="504"/>
      <c r="C474" s="504"/>
      <c r="D474" s="551"/>
      <c r="E474" s="71" t="s">
        <v>1830</v>
      </c>
      <c r="J474" s="511">
        <f>J483+J506+J515+J524+J530+J536+J545</f>
        <v>4750978.87</v>
      </c>
      <c r="K474" s="341"/>
      <c r="L474" s="828" t="s">
        <v>1286</v>
      </c>
      <c r="M474" s="573"/>
      <c r="N474" s="829" t="s">
        <v>1287</v>
      </c>
      <c r="O474" s="565">
        <f>K473+M474</f>
        <v>0</v>
      </c>
      <c r="P474" s="551"/>
      <c r="Q474" s="551"/>
      <c r="R474" s="551"/>
      <c r="S474" s="551"/>
      <c r="T474" s="551"/>
      <c r="U474" s="551"/>
      <c r="V474" s="551"/>
      <c r="W474" s="551"/>
      <c r="X474" s="551"/>
      <c r="Y474" s="551"/>
      <c r="Z474" s="551"/>
      <c r="AA474" s="551"/>
      <c r="AB474" s="551"/>
    </row>
    <row r="475" spans="1:28" x14ac:dyDescent="0.25">
      <c r="A475" s="1" t="s">
        <v>1140</v>
      </c>
      <c r="B475" s="1"/>
      <c r="C475" s="1"/>
      <c r="D475" s="1"/>
      <c r="E475" s="1"/>
      <c r="F475" s="1"/>
      <c r="G475" s="1"/>
      <c r="H475" s="4"/>
      <c r="I475" s="4"/>
      <c r="J475" s="4"/>
      <c r="K475" s="70"/>
      <c r="M475" s="579"/>
      <c r="N475" s="579"/>
      <c r="O475" s="579"/>
      <c r="P475" s="551"/>
      <c r="Q475" s="551"/>
      <c r="R475" s="551"/>
      <c r="S475" s="551"/>
      <c r="T475" s="551"/>
      <c r="U475" s="551"/>
      <c r="V475" s="551"/>
      <c r="W475" s="551"/>
      <c r="X475" s="551"/>
      <c r="Y475" s="551"/>
      <c r="Z475" s="551"/>
      <c r="AA475" s="551"/>
      <c r="AB475" s="551"/>
    </row>
    <row r="476" spans="1:28" ht="15" customHeight="1" x14ac:dyDescent="0.25">
      <c r="A476" s="2183" t="s">
        <v>8</v>
      </c>
      <c r="B476" s="2183" t="s">
        <v>35</v>
      </c>
      <c r="C476" s="2183"/>
      <c r="D476" s="2183"/>
      <c r="E476" s="2183"/>
      <c r="F476" s="2183"/>
      <c r="G476" s="2183" t="s">
        <v>2048</v>
      </c>
      <c r="H476" s="2183" t="s">
        <v>735</v>
      </c>
      <c r="I476" s="2183"/>
      <c r="J476" s="2183"/>
      <c r="K476" s="61" t="s">
        <v>1478</v>
      </c>
    </row>
    <row r="477" spans="1:28" ht="45" x14ac:dyDescent="0.25">
      <c r="A477" s="2183"/>
      <c r="B477" s="2183"/>
      <c r="C477" s="2183"/>
      <c r="D477" s="2183"/>
      <c r="E477" s="2183"/>
      <c r="F477" s="2183"/>
      <c r="G477" s="1408" t="s">
        <v>1141</v>
      </c>
      <c r="H477" s="1408" t="s">
        <v>1142</v>
      </c>
      <c r="I477" s="1408" t="s">
        <v>1143</v>
      </c>
      <c r="J477" s="1408" t="s">
        <v>256</v>
      </c>
      <c r="K477" s="343"/>
    </row>
    <row r="478" spans="1:28" x14ac:dyDescent="0.25">
      <c r="A478" s="2245" t="s">
        <v>2067</v>
      </c>
      <c r="B478" s="2324"/>
      <c r="C478" s="2324"/>
      <c r="D478" s="2324"/>
      <c r="E478" s="2324"/>
      <c r="F478" s="2324"/>
      <c r="G478" s="2324"/>
      <c r="H478" s="2324"/>
      <c r="I478" s="2324"/>
      <c r="J478" s="2325"/>
      <c r="K478" s="61"/>
    </row>
    <row r="479" spans="1:28" ht="33" customHeight="1" x14ac:dyDescent="0.25">
      <c r="A479" s="2326">
        <v>1</v>
      </c>
      <c r="B479" s="2180" t="s">
        <v>1145</v>
      </c>
      <c r="C479" s="2327"/>
      <c r="D479" s="2327"/>
      <c r="E479" s="2327"/>
      <c r="F479" s="2327"/>
      <c r="G479" s="717">
        <v>1</v>
      </c>
      <c r="H479" s="513">
        <v>8755</v>
      </c>
      <c r="I479" s="1434">
        <v>160.65</v>
      </c>
      <c r="J479" s="1404">
        <f>H479*I479</f>
        <v>1406490.75</v>
      </c>
      <c r="K479" s="61"/>
    </row>
    <row r="480" spans="1:28" ht="30" customHeight="1" x14ac:dyDescent="0.25">
      <c r="A480" s="2162"/>
      <c r="B480" s="2180" t="s">
        <v>1146</v>
      </c>
      <c r="C480" s="2327"/>
      <c r="D480" s="2327"/>
      <c r="E480" s="2327"/>
      <c r="F480" s="2327"/>
      <c r="G480" s="717">
        <v>1</v>
      </c>
      <c r="H480" s="513">
        <v>8755</v>
      </c>
      <c r="I480" s="1434">
        <v>160.65</v>
      </c>
      <c r="J480" s="1404">
        <f>H480*I480</f>
        <v>1406490.75</v>
      </c>
      <c r="K480" s="61"/>
      <c r="L480" s="552"/>
    </row>
    <row r="481" spans="1:14" x14ac:dyDescent="0.25">
      <c r="A481" s="2222" t="s">
        <v>2066</v>
      </c>
      <c r="B481" s="2316"/>
      <c r="C481" s="2316"/>
      <c r="D481" s="2316"/>
      <c r="E481" s="2316"/>
      <c r="F481" s="2316"/>
      <c r="G481" s="2316"/>
      <c r="H481" s="2316"/>
      <c r="I481" s="2316"/>
      <c r="J481" s="2317"/>
      <c r="K481" s="61"/>
      <c r="L481" s="552"/>
    </row>
    <row r="482" spans="1:14" x14ac:dyDescent="0.25">
      <c r="A482" s="1415">
        <v>2</v>
      </c>
      <c r="B482" s="2283" t="s">
        <v>1878</v>
      </c>
      <c r="C482" s="2219"/>
      <c r="D482" s="2219"/>
      <c r="E482" s="2219"/>
      <c r="F482" s="2219"/>
      <c r="G482" s="1377">
        <v>2</v>
      </c>
      <c r="H482" s="1229">
        <f>299*12</f>
        <v>3588</v>
      </c>
      <c r="I482" s="1420">
        <v>180</v>
      </c>
      <c r="J482" s="1426">
        <f>G482*H482*I482</f>
        <v>1291680</v>
      </c>
      <c r="K482" s="61"/>
      <c r="L482" s="552"/>
    </row>
    <row r="483" spans="1:14" x14ac:dyDescent="0.25">
      <c r="A483" s="2323" t="s">
        <v>39</v>
      </c>
      <c r="B483" s="2323"/>
      <c r="C483" s="2323"/>
      <c r="D483" s="2323"/>
      <c r="E483" s="2323"/>
      <c r="F483" s="2323"/>
      <c r="G483" s="2323"/>
      <c r="H483" s="2323"/>
      <c r="I483" s="2323"/>
      <c r="J483" s="1406">
        <f>SUM(J479:J482)</f>
        <v>4104661.5</v>
      </c>
      <c r="K483" s="344">
        <v>0</v>
      </c>
      <c r="L483" s="739">
        <f>J483-K483</f>
        <v>4104661.5</v>
      </c>
      <c r="M483" s="552"/>
    </row>
    <row r="484" spans="1:14" hidden="1" x14ac:dyDescent="0.25">
      <c r="A484" s="2264" t="s">
        <v>514</v>
      </c>
      <c r="B484" s="2265"/>
      <c r="C484" s="2265"/>
      <c r="D484" s="2265"/>
      <c r="E484" s="2265"/>
      <c r="F484" s="2265"/>
      <c r="G484" s="2265"/>
      <c r="H484" s="2265"/>
      <c r="I484" s="2265"/>
      <c r="J484" s="2265"/>
      <c r="K484" s="61"/>
    </row>
    <row r="485" spans="1:14" hidden="1" x14ac:dyDescent="0.25">
      <c r="A485" s="2266" t="s">
        <v>1134</v>
      </c>
      <c r="B485" s="2266"/>
      <c r="C485" s="2266"/>
      <c r="D485" s="2266"/>
      <c r="E485" s="2266"/>
      <c r="F485" s="2266"/>
      <c r="G485" s="2266"/>
      <c r="H485" s="2266"/>
      <c r="I485" s="2266"/>
      <c r="J485" s="1403">
        <v>0</v>
      </c>
      <c r="K485" s="344"/>
      <c r="L485" s="739"/>
    </row>
    <row r="486" spans="1:14" hidden="1" x14ac:dyDescent="0.25">
      <c r="A486" s="2266" t="s">
        <v>153</v>
      </c>
      <c r="B486" s="2266"/>
      <c r="C486" s="2266"/>
      <c r="D486" s="2266"/>
      <c r="E486" s="2266"/>
      <c r="F486" s="2266"/>
      <c r="G486" s="2266"/>
      <c r="H486" s="2266"/>
      <c r="I486" s="2266"/>
      <c r="J486" s="1403">
        <f>1242020+186158.5</f>
        <v>1428178.5</v>
      </c>
      <c r="N486" s="1051"/>
    </row>
    <row r="487" spans="1:14" hidden="1" x14ac:dyDescent="0.25">
      <c r="A487" s="2258" t="s">
        <v>619</v>
      </c>
      <c r="B487" s="2258"/>
      <c r="C487" s="2258"/>
      <c r="D487" s="2258"/>
      <c r="E487" s="2258"/>
      <c r="F487" s="2258"/>
      <c r="G487" s="2258"/>
      <c r="H487" s="2258"/>
      <c r="I487" s="2258"/>
      <c r="J487" s="821"/>
      <c r="K487" s="344"/>
      <c r="L487" s="739"/>
    </row>
    <row r="488" spans="1:14" hidden="1" x14ac:dyDescent="0.25">
      <c r="A488" s="2258" t="s">
        <v>1147</v>
      </c>
      <c r="B488" s="2258"/>
      <c r="C488" s="2258"/>
      <c r="D488" s="2258"/>
      <c r="E488" s="2258"/>
      <c r="F488" s="2258"/>
      <c r="G488" s="2258"/>
      <c r="H488" s="2258"/>
      <c r="I488" s="2258"/>
      <c r="J488" s="1098"/>
      <c r="K488" s="1483"/>
    </row>
    <row r="489" spans="1:14" x14ac:dyDescent="0.25">
      <c r="A489" s="909"/>
      <c r="B489" s="910"/>
      <c r="C489" s="910"/>
      <c r="D489" s="910"/>
      <c r="E489" s="910"/>
      <c r="F489" s="910"/>
      <c r="G489" s="910"/>
      <c r="H489" s="910"/>
      <c r="I489" s="910"/>
      <c r="J489" s="911"/>
      <c r="K489" s="70"/>
    </row>
    <row r="490" spans="1:14" hidden="1" x14ac:dyDescent="0.25">
      <c r="A490" s="1449" t="s">
        <v>310</v>
      </c>
      <c r="K490" s="561"/>
    </row>
    <row r="491" spans="1:14" hidden="1" x14ac:dyDescent="0.25">
      <c r="A491" s="2183" t="s">
        <v>8</v>
      </c>
      <c r="B491" s="2183" t="s">
        <v>35</v>
      </c>
      <c r="C491" s="2183"/>
      <c r="D491" s="2183"/>
      <c r="E491" s="2183"/>
      <c r="F491" s="2183"/>
      <c r="G491" s="2183" t="s">
        <v>61</v>
      </c>
      <c r="H491" s="2183" t="s">
        <v>1476</v>
      </c>
      <c r="I491" s="2183"/>
      <c r="J491" s="2183"/>
    </row>
    <row r="492" spans="1:14" ht="28.5" hidden="1" customHeight="1" x14ac:dyDescent="0.25">
      <c r="A492" s="2183"/>
      <c r="B492" s="2183"/>
      <c r="C492" s="2183"/>
      <c r="D492" s="2183"/>
      <c r="E492" s="2183"/>
      <c r="F492" s="2183"/>
      <c r="G492" s="2183"/>
      <c r="H492" s="1408" t="s">
        <v>248</v>
      </c>
      <c r="I492" s="1434" t="s">
        <v>264</v>
      </c>
      <c r="J492" s="1434" t="s">
        <v>256</v>
      </c>
      <c r="K492" s="551"/>
    </row>
    <row r="493" spans="1:14" ht="15" hidden="1" customHeight="1" x14ac:dyDescent="0.25">
      <c r="A493" s="1447">
        <v>1</v>
      </c>
      <c r="B493" s="2180" t="s">
        <v>87</v>
      </c>
      <c r="C493" s="2180"/>
      <c r="D493" s="2180"/>
      <c r="E493" s="2180"/>
      <c r="F493" s="2180"/>
      <c r="G493" s="1434" t="s">
        <v>298</v>
      </c>
      <c r="H493" s="513">
        <v>22</v>
      </c>
      <c r="I493" s="1434">
        <v>88</v>
      </c>
      <c r="J493" s="993">
        <f>H493*I493</f>
        <v>1936</v>
      </c>
      <c r="K493" s="564" t="s">
        <v>1478</v>
      </c>
    </row>
    <row r="494" spans="1:14" ht="15" hidden="1" customHeight="1" x14ac:dyDescent="0.25">
      <c r="A494" s="1447">
        <v>2</v>
      </c>
      <c r="B494" s="2180" t="s">
        <v>87</v>
      </c>
      <c r="C494" s="2180"/>
      <c r="D494" s="2180"/>
      <c r="E494" s="2180"/>
      <c r="F494" s="2180"/>
      <c r="G494" s="1434" t="s">
        <v>298</v>
      </c>
      <c r="H494" s="513">
        <v>192</v>
      </c>
      <c r="I494" s="1434">
        <v>35</v>
      </c>
      <c r="J494" s="993">
        <f>H494*I494</f>
        <v>6720</v>
      </c>
      <c r="K494" s="564" t="s">
        <v>1478</v>
      </c>
    </row>
    <row r="495" spans="1:14" hidden="1" x14ac:dyDescent="0.25">
      <c r="A495" s="2181" t="s">
        <v>39</v>
      </c>
      <c r="B495" s="2181"/>
      <c r="C495" s="2181"/>
      <c r="D495" s="2181"/>
      <c r="E495" s="2181"/>
      <c r="F495" s="2181"/>
      <c r="G495" s="2181"/>
      <c r="H495" s="2181"/>
      <c r="I495" s="2181"/>
      <c r="J495" s="1406">
        <f>SUM(J493:J494)</f>
        <v>8656</v>
      </c>
    </row>
    <row r="496" spans="1:14" hidden="1" x14ac:dyDescent="0.25">
      <c r="A496" s="2264" t="s">
        <v>514</v>
      </c>
      <c r="B496" s="2265"/>
      <c r="C496" s="2265"/>
      <c r="D496" s="2265"/>
      <c r="E496" s="2265"/>
      <c r="F496" s="2265"/>
      <c r="G496" s="2265"/>
      <c r="H496" s="2265"/>
      <c r="I496" s="2265"/>
      <c r="J496" s="2265"/>
    </row>
    <row r="497" spans="1:12" hidden="1" x14ac:dyDescent="0.25">
      <c r="A497" s="2266" t="s">
        <v>1134</v>
      </c>
      <c r="B497" s="2266"/>
      <c r="C497" s="2266"/>
      <c r="D497" s="2266"/>
      <c r="E497" s="2266"/>
      <c r="F497" s="2266"/>
      <c r="G497" s="2266"/>
      <c r="H497" s="2266"/>
      <c r="I497" s="2266"/>
      <c r="J497" s="1403">
        <v>0</v>
      </c>
    </row>
    <row r="498" spans="1:12" hidden="1" x14ac:dyDescent="0.25">
      <c r="A498" s="2266" t="s">
        <v>153</v>
      </c>
      <c r="B498" s="2266"/>
      <c r="C498" s="2266"/>
      <c r="D498" s="2266"/>
      <c r="E498" s="2266"/>
      <c r="F498" s="2266"/>
      <c r="G498" s="2266"/>
      <c r="H498" s="2266"/>
      <c r="I498" s="2266"/>
      <c r="J498" s="1403"/>
      <c r="K498" s="344">
        <v>0</v>
      </c>
      <c r="L498" s="739">
        <f>J498-K498</f>
        <v>0</v>
      </c>
    </row>
    <row r="499" spans="1:12" hidden="1" x14ac:dyDescent="0.25">
      <c r="A499" s="2258" t="s">
        <v>619</v>
      </c>
      <c r="B499" s="2258"/>
      <c r="C499" s="2258"/>
      <c r="D499" s="2258"/>
      <c r="E499" s="2258"/>
      <c r="F499" s="2258"/>
      <c r="G499" s="2258"/>
      <c r="H499" s="2258"/>
      <c r="I499" s="2258"/>
      <c r="J499" s="624"/>
    </row>
    <row r="500" spans="1:12" hidden="1" x14ac:dyDescent="0.25">
      <c r="A500" s="656"/>
      <c r="B500" s="656"/>
      <c r="C500" s="656"/>
      <c r="D500" s="656"/>
      <c r="E500" s="656"/>
      <c r="F500" s="656"/>
      <c r="G500" s="656"/>
      <c r="H500" s="656"/>
      <c r="I500" s="656"/>
      <c r="J500" s="559"/>
    </row>
    <row r="501" spans="1:12" x14ac:dyDescent="0.25">
      <c r="A501" s="799" t="s">
        <v>823</v>
      </c>
      <c r="B501" s="799"/>
      <c r="C501" s="799"/>
      <c r="D501" s="799"/>
      <c r="E501" s="799"/>
      <c r="F501" s="799"/>
      <c r="G501" s="799"/>
      <c r="H501" s="502"/>
      <c r="I501" s="502"/>
      <c r="J501" s="502"/>
    </row>
    <row r="502" spans="1:12" ht="15" customHeight="1" x14ac:dyDescent="0.25">
      <c r="A502" s="2170" t="s">
        <v>8</v>
      </c>
      <c r="B502" s="2170" t="s">
        <v>35</v>
      </c>
      <c r="C502" s="2170"/>
      <c r="D502" s="2170"/>
      <c r="E502" s="2170"/>
      <c r="F502" s="2170"/>
      <c r="G502" s="2170" t="s">
        <v>61</v>
      </c>
      <c r="H502" s="2170" t="s">
        <v>2048</v>
      </c>
      <c r="I502" s="2170"/>
      <c r="J502" s="2170"/>
      <c r="K502" s="552" t="s">
        <v>1478</v>
      </c>
    </row>
    <row r="503" spans="1:12" ht="32.25" customHeight="1" x14ac:dyDescent="0.25">
      <c r="A503" s="2170"/>
      <c r="B503" s="2170"/>
      <c r="C503" s="2170"/>
      <c r="D503" s="2170"/>
      <c r="E503" s="2170"/>
      <c r="F503" s="2170"/>
      <c r="G503" s="2170"/>
      <c r="H503" s="1410" t="s">
        <v>248</v>
      </c>
      <c r="I503" s="1410" t="s">
        <v>738</v>
      </c>
      <c r="J503" s="1410" t="s">
        <v>256</v>
      </c>
    </row>
    <row r="504" spans="1:12" ht="30" customHeight="1" x14ac:dyDescent="0.25">
      <c r="A504" s="1127">
        <v>1</v>
      </c>
      <c r="B504" s="2312" t="s">
        <v>2065</v>
      </c>
      <c r="C504" s="2313"/>
      <c r="D504" s="2313"/>
      <c r="E504" s="2313"/>
      <c r="F504" s="2314"/>
      <c r="G504" s="1420" t="s">
        <v>618</v>
      </c>
      <c r="H504" s="1421">
        <f>744*2</f>
        <v>1488</v>
      </c>
      <c r="I504" s="1420">
        <v>12.45</v>
      </c>
      <c r="J504" s="1426">
        <f>H504*I504</f>
        <v>18525.599999999999</v>
      </c>
    </row>
    <row r="505" spans="1:12" ht="30" customHeight="1" x14ac:dyDescent="0.25">
      <c r="A505" s="1127">
        <v>2</v>
      </c>
      <c r="B505" s="2312" t="s">
        <v>2064</v>
      </c>
      <c r="C505" s="2313"/>
      <c r="D505" s="2313"/>
      <c r="E505" s="2313"/>
      <c r="F505" s="2314"/>
      <c r="G505" s="1420" t="s">
        <v>618</v>
      </c>
      <c r="H505" s="1421">
        <v>16032</v>
      </c>
      <c r="I505" s="1420">
        <v>12.45</v>
      </c>
      <c r="J505" s="1426">
        <f>H505*I505</f>
        <v>199598.4</v>
      </c>
    </row>
    <row r="506" spans="1:12" ht="15" customHeight="1" x14ac:dyDescent="0.25">
      <c r="A506" s="2278" t="s">
        <v>39</v>
      </c>
      <c r="B506" s="2278"/>
      <c r="C506" s="2278"/>
      <c r="D506" s="2278"/>
      <c r="E506" s="2278"/>
      <c r="F506" s="2278"/>
      <c r="G506" s="2278"/>
      <c r="H506" s="1190" t="s">
        <v>5</v>
      </c>
      <c r="I506" s="1190" t="s">
        <v>5</v>
      </c>
      <c r="J506" s="1192">
        <f>SUM(J504:J505)</f>
        <v>218124</v>
      </c>
      <c r="K506" s="61"/>
    </row>
    <row r="507" spans="1:12" x14ac:dyDescent="0.25">
      <c r="A507" s="1444"/>
      <c r="B507" s="1444"/>
      <c r="C507" s="1444"/>
      <c r="D507" s="1444"/>
      <c r="E507" s="1444"/>
      <c r="F507" s="1444"/>
      <c r="G507" s="1444"/>
      <c r="H507" s="1444"/>
      <c r="I507" s="1444"/>
      <c r="J507" s="559"/>
    </row>
    <row r="508" spans="1:12" x14ac:dyDescent="0.25">
      <c r="A508" s="1457" t="s">
        <v>823</v>
      </c>
      <c r="B508" s="1457"/>
      <c r="C508" s="1457"/>
      <c r="D508" s="1457"/>
      <c r="E508" s="1457"/>
      <c r="F508" s="1457"/>
      <c r="G508" s="1457"/>
      <c r="H508" s="60"/>
      <c r="I508" s="69"/>
      <c r="J508" s="69"/>
      <c r="K508" s="61"/>
      <c r="L508" s="1378"/>
    </row>
    <row r="509" spans="1:12" x14ac:dyDescent="0.25">
      <c r="A509" s="2170" t="s">
        <v>8</v>
      </c>
      <c r="B509" s="2170" t="s">
        <v>35</v>
      </c>
      <c r="C509" s="2170"/>
      <c r="D509" s="2170"/>
      <c r="E509" s="2170"/>
      <c r="F509" s="2170"/>
      <c r="G509" s="2170" t="s">
        <v>61</v>
      </c>
      <c r="H509" s="2170" t="s">
        <v>2048</v>
      </c>
      <c r="I509" s="2170"/>
      <c r="J509" s="2170"/>
      <c r="K509" s="61" t="s">
        <v>1478</v>
      </c>
      <c r="L509" s="1378"/>
    </row>
    <row r="510" spans="1:12" ht="30" x14ac:dyDescent="0.25">
      <c r="A510" s="2170"/>
      <c r="B510" s="2170"/>
      <c r="C510" s="2170"/>
      <c r="D510" s="2170"/>
      <c r="E510" s="2170"/>
      <c r="F510" s="2170"/>
      <c r="G510" s="2170"/>
      <c r="H510" s="1418" t="s">
        <v>248</v>
      </c>
      <c r="I510" s="1426" t="s">
        <v>264</v>
      </c>
      <c r="J510" s="1426" t="s">
        <v>256</v>
      </c>
      <c r="K510" s="81"/>
      <c r="L510" s="1378"/>
    </row>
    <row r="511" spans="1:12" x14ac:dyDescent="0.25">
      <c r="A511" s="2086" t="s">
        <v>1881</v>
      </c>
      <c r="B511" s="2328"/>
      <c r="C511" s="2328"/>
      <c r="D511" s="2328"/>
      <c r="E511" s="2328"/>
      <c r="F511" s="2328"/>
      <c r="G511" s="2328"/>
      <c r="H511" s="2328"/>
      <c r="I511" s="2329"/>
      <c r="J511" s="1426"/>
      <c r="K511" s="81"/>
      <c r="L511" s="1378"/>
    </row>
    <row r="512" spans="1:12" x14ac:dyDescent="0.25">
      <c r="A512" s="1141">
        <v>1</v>
      </c>
      <c r="B512" s="2071" t="s">
        <v>1882</v>
      </c>
      <c r="C512" s="2030"/>
      <c r="D512" s="2030"/>
      <c r="E512" s="2030"/>
      <c r="F512" s="2031"/>
      <c r="G512" s="1426" t="s">
        <v>1862</v>
      </c>
      <c r="H512" s="1230">
        <v>25</v>
      </c>
      <c r="I512" s="1426">
        <v>373.13</v>
      </c>
      <c r="J512" s="1426">
        <f>H512*I512</f>
        <v>9328.25</v>
      </c>
      <c r="K512" s="344"/>
      <c r="L512" s="1378"/>
    </row>
    <row r="513" spans="1:12" x14ac:dyDescent="0.25">
      <c r="A513" s="1141">
        <v>2</v>
      </c>
      <c r="B513" s="2071" t="s">
        <v>1883</v>
      </c>
      <c r="C513" s="2030"/>
      <c r="D513" s="2030"/>
      <c r="E513" s="2030"/>
      <c r="F513" s="2031"/>
      <c r="G513" s="1426" t="s">
        <v>1862</v>
      </c>
      <c r="H513" s="1230">
        <v>64</v>
      </c>
      <c r="I513" s="1426">
        <v>531.33000000000004</v>
      </c>
      <c r="J513" s="1426">
        <f t="shared" ref="J513:J514" si="6">H513*I513</f>
        <v>34005.120000000003</v>
      </c>
      <c r="K513" s="344"/>
      <c r="L513" s="1378"/>
    </row>
    <row r="514" spans="1:12" x14ac:dyDescent="0.25">
      <c r="A514" s="1141">
        <v>3</v>
      </c>
      <c r="B514" s="1986" t="s">
        <v>1884</v>
      </c>
      <c r="C514" s="1986"/>
      <c r="D514" s="1986"/>
      <c r="E514" s="1986"/>
      <c r="F514" s="1986"/>
      <c r="G514" s="1426" t="s">
        <v>1862</v>
      </c>
      <c r="H514" s="1230">
        <v>110</v>
      </c>
      <c r="I514" s="1426">
        <v>597</v>
      </c>
      <c r="J514" s="1426">
        <f t="shared" si="6"/>
        <v>65670</v>
      </c>
      <c r="K514" s="344"/>
      <c r="L514" s="1378"/>
    </row>
    <row r="515" spans="1:12" x14ac:dyDescent="0.25">
      <c r="A515" s="2039" t="s">
        <v>39</v>
      </c>
      <c r="B515" s="2040"/>
      <c r="C515" s="2040"/>
      <c r="D515" s="2040"/>
      <c r="E515" s="2040"/>
      <c r="F515" s="2040"/>
      <c r="G515" s="2040"/>
      <c r="H515" s="2040"/>
      <c r="I515" s="2041"/>
      <c r="J515" s="1192">
        <f>SUM(J512:J514)</f>
        <v>109003.37</v>
      </c>
      <c r="K515" s="1379">
        <v>0</v>
      </c>
      <c r="L515" s="1380">
        <f>J515-K515</f>
        <v>109003.37</v>
      </c>
    </row>
    <row r="516" spans="1:12" x14ac:dyDescent="0.25">
      <c r="A516" s="63"/>
      <c r="B516" s="63"/>
      <c r="C516" s="63"/>
      <c r="D516" s="63"/>
      <c r="E516" s="63"/>
      <c r="F516" s="63"/>
      <c r="G516" s="63"/>
      <c r="H516" s="63"/>
      <c r="I516" s="63"/>
      <c r="J516" s="64"/>
      <c r="K516" s="61"/>
      <c r="L516" s="1378"/>
    </row>
    <row r="517" spans="1:12" x14ac:dyDescent="0.25">
      <c r="A517" s="1457" t="s">
        <v>823</v>
      </c>
      <c r="B517" s="1457"/>
      <c r="C517" s="1457"/>
      <c r="D517" s="1457"/>
      <c r="E517" s="1457"/>
      <c r="F517" s="1457"/>
      <c r="G517" s="1457"/>
      <c r="H517" s="60"/>
      <c r="I517" s="69"/>
      <c r="J517" s="69"/>
      <c r="K517" s="61"/>
      <c r="L517" s="1378"/>
    </row>
    <row r="518" spans="1:12" x14ac:dyDescent="0.25">
      <c r="A518" s="2170" t="s">
        <v>8</v>
      </c>
      <c r="B518" s="2170" t="s">
        <v>35</v>
      </c>
      <c r="C518" s="2170"/>
      <c r="D518" s="2170"/>
      <c r="E518" s="2170"/>
      <c r="F518" s="2170"/>
      <c r="G518" s="2170" t="s">
        <v>61</v>
      </c>
      <c r="H518" s="2170" t="s">
        <v>2048</v>
      </c>
      <c r="I518" s="2170"/>
      <c r="J518" s="2170"/>
      <c r="K518" s="61" t="s">
        <v>1478</v>
      </c>
      <c r="L518" s="1378"/>
    </row>
    <row r="519" spans="1:12" ht="30" x14ac:dyDescent="0.25">
      <c r="A519" s="2170"/>
      <c r="B519" s="2170"/>
      <c r="C519" s="2170"/>
      <c r="D519" s="2170"/>
      <c r="E519" s="2170"/>
      <c r="F519" s="2170"/>
      <c r="G519" s="2170"/>
      <c r="H519" s="1418" t="s">
        <v>248</v>
      </c>
      <c r="I519" s="1426" t="s">
        <v>264</v>
      </c>
      <c r="J519" s="1426" t="s">
        <v>256</v>
      </c>
      <c r="K519" s="81"/>
      <c r="L519" s="1378"/>
    </row>
    <row r="520" spans="1:12" x14ac:dyDescent="0.25">
      <c r="A520" s="2086" t="s">
        <v>1885</v>
      </c>
      <c r="B520" s="2328"/>
      <c r="C520" s="2328"/>
      <c r="D520" s="2328"/>
      <c r="E520" s="2328"/>
      <c r="F520" s="2328"/>
      <c r="G520" s="2328"/>
      <c r="H520" s="2328"/>
      <c r="I520" s="2329"/>
      <c r="J520" s="1426"/>
      <c r="K520" s="81"/>
      <c r="L520" s="1378"/>
    </row>
    <row r="521" spans="1:12" x14ac:dyDescent="0.25">
      <c r="A521" s="1141">
        <v>1</v>
      </c>
      <c r="B521" s="1986" t="s">
        <v>1892</v>
      </c>
      <c r="C521" s="1986"/>
      <c r="D521" s="1986"/>
      <c r="E521" s="1986"/>
      <c r="F521" s="1986"/>
      <c r="G521" s="1426" t="s">
        <v>1862</v>
      </c>
      <c r="H521" s="1230">
        <v>10</v>
      </c>
      <c r="I521" s="1426">
        <v>1000</v>
      </c>
      <c r="J521" s="1426">
        <f>H521*I521</f>
        <v>10000</v>
      </c>
      <c r="K521" s="344"/>
      <c r="L521" s="1378"/>
    </row>
    <row r="522" spans="1:12" x14ac:dyDescent="0.25">
      <c r="A522" s="1141">
        <v>3</v>
      </c>
      <c r="B522" s="1986" t="s">
        <v>1893</v>
      </c>
      <c r="C522" s="1986"/>
      <c r="D522" s="1986"/>
      <c r="E522" s="1986"/>
      <c r="F522" s="1986"/>
      <c r="G522" s="1426" t="s">
        <v>1862</v>
      </c>
      <c r="H522" s="1230">
        <v>50</v>
      </c>
      <c r="I522" s="1426">
        <v>1200</v>
      </c>
      <c r="J522" s="1426">
        <f>H522*I522</f>
        <v>60000</v>
      </c>
      <c r="K522" s="344"/>
      <c r="L522" s="1378"/>
    </row>
    <row r="523" spans="1:12" x14ac:dyDescent="0.25">
      <c r="A523" s="1141">
        <v>5</v>
      </c>
      <c r="B523" s="1986" t="s">
        <v>1246</v>
      </c>
      <c r="C523" s="1986"/>
      <c r="D523" s="1986"/>
      <c r="E523" s="1986"/>
      <c r="F523" s="1986"/>
      <c r="G523" s="1426" t="s">
        <v>1862</v>
      </c>
      <c r="H523" s="1230">
        <v>60</v>
      </c>
      <c r="I523" s="1426">
        <v>340</v>
      </c>
      <c r="J523" s="1426">
        <f t="shared" ref="J523" si="7">H523*I523</f>
        <v>20400</v>
      </c>
      <c r="K523" s="344"/>
      <c r="L523" s="1378"/>
    </row>
    <row r="524" spans="1:12" x14ac:dyDescent="0.25">
      <c r="A524" s="2039" t="s">
        <v>39</v>
      </c>
      <c r="B524" s="2040"/>
      <c r="C524" s="2040"/>
      <c r="D524" s="2040"/>
      <c r="E524" s="2040"/>
      <c r="F524" s="2040"/>
      <c r="G524" s="2040"/>
      <c r="H524" s="2040"/>
      <c r="I524" s="2041"/>
      <c r="J524" s="1192">
        <f>SUM(J521:J523)</f>
        <v>90400</v>
      </c>
      <c r="K524" s="1379">
        <v>0</v>
      </c>
      <c r="L524" s="1380">
        <f>J524-K524</f>
        <v>90400</v>
      </c>
    </row>
    <row r="525" spans="1:12" x14ac:dyDescent="0.25">
      <c r="A525" s="63"/>
      <c r="B525" s="63"/>
      <c r="C525" s="63"/>
      <c r="D525" s="63"/>
      <c r="E525" s="63"/>
      <c r="F525" s="63"/>
      <c r="G525" s="63"/>
      <c r="H525" s="63"/>
      <c r="I525" s="63"/>
      <c r="J525" s="64"/>
      <c r="K525" s="61"/>
      <c r="L525" s="1378"/>
    </row>
    <row r="526" spans="1:12" x14ac:dyDescent="0.25">
      <c r="A526" s="1457" t="s">
        <v>823</v>
      </c>
      <c r="B526" s="1457"/>
      <c r="C526" s="1457"/>
      <c r="D526" s="1457"/>
      <c r="E526" s="1457"/>
      <c r="F526" s="1457"/>
      <c r="G526" s="1457"/>
      <c r="H526" s="60"/>
      <c r="I526" s="69"/>
      <c r="J526" s="69"/>
      <c r="K526" s="61"/>
      <c r="L526" s="1378"/>
    </row>
    <row r="527" spans="1:12" ht="15" customHeight="1" x14ac:dyDescent="0.25">
      <c r="A527" s="2170" t="s">
        <v>8</v>
      </c>
      <c r="B527" s="2170" t="s">
        <v>35</v>
      </c>
      <c r="C527" s="2170"/>
      <c r="D527" s="2170"/>
      <c r="E527" s="2170"/>
      <c r="F527" s="2170"/>
      <c r="G527" s="2170" t="s">
        <v>61</v>
      </c>
      <c r="H527" s="2170" t="s">
        <v>2048</v>
      </c>
      <c r="I527" s="2170"/>
      <c r="J527" s="2170"/>
      <c r="K527" s="61"/>
      <c r="L527" s="1378"/>
    </row>
    <row r="528" spans="1:12" ht="30" x14ac:dyDescent="0.25">
      <c r="A528" s="2170"/>
      <c r="B528" s="2170"/>
      <c r="C528" s="2170"/>
      <c r="D528" s="2170"/>
      <c r="E528" s="2170"/>
      <c r="F528" s="2170"/>
      <c r="G528" s="2170"/>
      <c r="H528" s="1418" t="s">
        <v>248</v>
      </c>
      <c r="I528" s="1426" t="s">
        <v>264</v>
      </c>
      <c r="J528" s="1426" t="s">
        <v>256</v>
      </c>
      <c r="K528" s="81"/>
      <c r="L528" s="1378"/>
    </row>
    <row r="529" spans="1:12" ht="29.25" customHeight="1" x14ac:dyDescent="0.25">
      <c r="A529" s="1381">
        <v>1</v>
      </c>
      <c r="B529" s="2071" t="s">
        <v>1886</v>
      </c>
      <c r="C529" s="2030"/>
      <c r="D529" s="2030"/>
      <c r="E529" s="2030"/>
      <c r="F529" s="2031"/>
      <c r="G529" s="1426" t="s">
        <v>273</v>
      </c>
      <c r="H529" s="1230">
        <v>106</v>
      </c>
      <c r="I529" s="1426">
        <v>700</v>
      </c>
      <c r="J529" s="1426">
        <f>H529*I529</f>
        <v>74200</v>
      </c>
      <c r="K529" s="1382"/>
      <c r="L529" s="1378"/>
    </row>
    <row r="530" spans="1:12" x14ac:dyDescent="0.25">
      <c r="A530" s="2039" t="s">
        <v>39</v>
      </c>
      <c r="B530" s="2040"/>
      <c r="C530" s="2040"/>
      <c r="D530" s="2040"/>
      <c r="E530" s="2040"/>
      <c r="F530" s="2040"/>
      <c r="G530" s="2040"/>
      <c r="H530" s="2040"/>
      <c r="I530" s="2041"/>
      <c r="J530" s="1192">
        <f>SUM(J529:J529)</f>
        <v>74200</v>
      </c>
      <c r="K530" s="344">
        <v>0</v>
      </c>
      <c r="L530" s="1380">
        <f>J530-K530</f>
        <v>74200</v>
      </c>
    </row>
    <row r="531" spans="1:12" x14ac:dyDescent="0.25">
      <c r="A531" s="63"/>
      <c r="B531" s="63"/>
      <c r="C531" s="63"/>
      <c r="D531" s="63"/>
      <c r="E531" s="63"/>
      <c r="F531" s="63"/>
      <c r="G531" s="63"/>
      <c r="H531" s="63"/>
      <c r="I531" s="63"/>
      <c r="J531" s="64"/>
      <c r="K531" s="61"/>
      <c r="L531" s="1378"/>
    </row>
    <row r="532" spans="1:12" x14ac:dyDescent="0.25">
      <c r="A532" s="1457" t="s">
        <v>823</v>
      </c>
      <c r="B532" s="1457"/>
      <c r="C532" s="1457"/>
      <c r="D532" s="1457"/>
      <c r="E532" s="1457"/>
      <c r="F532" s="1457"/>
      <c r="G532" s="1457"/>
      <c r="H532" s="60"/>
      <c r="I532" s="69"/>
      <c r="J532" s="69"/>
      <c r="K532" s="61"/>
      <c r="L532" s="1378"/>
    </row>
    <row r="533" spans="1:12" x14ac:dyDescent="0.25">
      <c r="A533" s="2019" t="s">
        <v>8</v>
      </c>
      <c r="B533" s="1926" t="s">
        <v>35</v>
      </c>
      <c r="C533" s="2171"/>
      <c r="D533" s="2171"/>
      <c r="E533" s="2171"/>
      <c r="F533" s="2170" t="s">
        <v>61</v>
      </c>
      <c r="G533" s="1926" t="s">
        <v>2048</v>
      </c>
      <c r="H533" s="2173"/>
      <c r="I533" s="2173"/>
      <c r="J533" s="2173"/>
      <c r="K533" s="61" t="s">
        <v>1478</v>
      </c>
      <c r="L533" s="1378"/>
    </row>
    <row r="534" spans="1:12" ht="45" x14ac:dyDescent="0.25">
      <c r="A534" s="2161"/>
      <c r="B534" s="2171"/>
      <c r="C534" s="2171"/>
      <c r="D534" s="2171"/>
      <c r="E534" s="2171"/>
      <c r="F534" s="2170"/>
      <c r="G534" s="1418" t="s">
        <v>248</v>
      </c>
      <c r="H534" s="1418" t="s">
        <v>255</v>
      </c>
      <c r="I534" s="1426" t="s">
        <v>264</v>
      </c>
      <c r="J534" s="1426" t="s">
        <v>256</v>
      </c>
      <c r="K534" s="61"/>
      <c r="L534" s="1378"/>
    </row>
    <row r="535" spans="1:12" ht="30.75" customHeight="1" x14ac:dyDescent="0.25">
      <c r="A535" s="1141">
        <v>1</v>
      </c>
      <c r="B535" s="2003" t="s">
        <v>1267</v>
      </c>
      <c r="C535" s="2163"/>
      <c r="D535" s="2163"/>
      <c r="E535" s="2244"/>
      <c r="F535" s="1426" t="s">
        <v>1887</v>
      </c>
      <c r="G535" s="1230">
        <v>3</v>
      </c>
      <c r="H535" s="1230">
        <v>50</v>
      </c>
      <c r="I535" s="1426">
        <v>800</v>
      </c>
      <c r="J535" s="1426">
        <f>G535*H535*I535</f>
        <v>120000</v>
      </c>
      <c r="K535" s="344"/>
      <c r="L535" s="1378"/>
    </row>
    <row r="536" spans="1:12" x14ac:dyDescent="0.25">
      <c r="A536" s="2039" t="s">
        <v>39</v>
      </c>
      <c r="B536" s="2040"/>
      <c r="C536" s="2040"/>
      <c r="D536" s="2040"/>
      <c r="E536" s="2040"/>
      <c r="F536" s="2040"/>
      <c r="G536" s="2040"/>
      <c r="H536" s="2040"/>
      <c r="I536" s="2041"/>
      <c r="J536" s="1192">
        <f>SUM(J535)</f>
        <v>120000</v>
      </c>
      <c r="K536" s="344">
        <v>0</v>
      </c>
      <c r="L536" s="1380">
        <f>J536-K536</f>
        <v>120000</v>
      </c>
    </row>
    <row r="537" spans="1:12" x14ac:dyDescent="0.25">
      <c r="A537" s="63"/>
      <c r="B537" s="63"/>
      <c r="C537" s="63"/>
      <c r="D537" s="63"/>
      <c r="E537" s="63"/>
      <c r="F537" s="63"/>
      <c r="G537" s="63"/>
      <c r="H537" s="63"/>
      <c r="I537" s="63"/>
      <c r="J537" s="64"/>
      <c r="K537" s="61"/>
      <c r="L537" s="1378"/>
    </row>
    <row r="538" spans="1:12" x14ac:dyDescent="0.25">
      <c r="A538" s="1457" t="s">
        <v>1270</v>
      </c>
      <c r="B538" s="1457"/>
      <c r="C538" s="1457"/>
      <c r="D538" s="1457"/>
      <c r="E538" s="1457"/>
      <c r="F538" s="1457"/>
      <c r="G538" s="1457"/>
      <c r="H538" s="60"/>
      <c r="I538" s="69"/>
      <c r="J538" s="69"/>
      <c r="K538" s="61"/>
      <c r="L538" s="1378"/>
    </row>
    <row r="539" spans="1:12" x14ac:dyDescent="0.25">
      <c r="A539" s="2170" t="s">
        <v>8</v>
      </c>
      <c r="B539" s="2170" t="s">
        <v>35</v>
      </c>
      <c r="C539" s="2170"/>
      <c r="D539" s="2170"/>
      <c r="E539" s="2170"/>
      <c r="F539" s="2170"/>
      <c r="G539" s="1926" t="s">
        <v>2048</v>
      </c>
      <c r="H539" s="2173"/>
      <c r="I539" s="2173"/>
      <c r="J539" s="2173"/>
      <c r="K539" s="61"/>
      <c r="L539" s="1378"/>
    </row>
    <row r="540" spans="1:12" ht="30" x14ac:dyDescent="0.25">
      <c r="A540" s="2170"/>
      <c r="B540" s="2170"/>
      <c r="C540" s="2170"/>
      <c r="D540" s="2170"/>
      <c r="E540" s="2170"/>
      <c r="F540" s="2170"/>
      <c r="G540" s="1418" t="s">
        <v>61</v>
      </c>
      <c r="H540" s="1418" t="s">
        <v>248</v>
      </c>
      <c r="I540" s="1426" t="s">
        <v>264</v>
      </c>
      <c r="J540" s="1426" t="s">
        <v>256</v>
      </c>
      <c r="K540" s="1452"/>
      <c r="L540" s="1378"/>
    </row>
    <row r="541" spans="1:12" x14ac:dyDescent="0.25">
      <c r="A541" s="1141">
        <v>1</v>
      </c>
      <c r="B541" s="1986" t="s">
        <v>1888</v>
      </c>
      <c r="C541" s="1986"/>
      <c r="D541" s="1986"/>
      <c r="E541" s="1986"/>
      <c r="F541" s="1986"/>
      <c r="G541" s="1426" t="s">
        <v>273</v>
      </c>
      <c r="H541" s="1230">
        <v>1</v>
      </c>
      <c r="I541" s="1426">
        <v>1600</v>
      </c>
      <c r="J541" s="1426">
        <f t="shared" ref="J541:J544" si="8">H541*I541</f>
        <v>1600</v>
      </c>
      <c r="K541" s="70"/>
      <c r="L541" s="1378"/>
    </row>
    <row r="542" spans="1:12" x14ac:dyDescent="0.25">
      <c r="A542" s="1141">
        <v>2</v>
      </c>
      <c r="B542" s="1986" t="s">
        <v>1889</v>
      </c>
      <c r="C542" s="1986"/>
      <c r="D542" s="1986"/>
      <c r="E542" s="1986"/>
      <c r="F542" s="1986"/>
      <c r="G542" s="1426" t="s">
        <v>273</v>
      </c>
      <c r="H542" s="1230">
        <v>1</v>
      </c>
      <c r="I542" s="1426">
        <v>2400</v>
      </c>
      <c r="J542" s="1426">
        <f t="shared" si="8"/>
        <v>2400</v>
      </c>
      <c r="K542" s="70"/>
      <c r="L542" s="1378"/>
    </row>
    <row r="543" spans="1:12" x14ac:dyDescent="0.25">
      <c r="A543" s="1141">
        <v>3</v>
      </c>
      <c r="B543" s="1986" t="s">
        <v>1890</v>
      </c>
      <c r="C543" s="1986"/>
      <c r="D543" s="1986"/>
      <c r="E543" s="1986"/>
      <c r="F543" s="1986"/>
      <c r="G543" s="1426" t="s">
        <v>273</v>
      </c>
      <c r="H543" s="1230">
        <v>1</v>
      </c>
      <c r="I543" s="1426">
        <v>3000</v>
      </c>
      <c r="J543" s="1426">
        <f t="shared" si="8"/>
        <v>3000</v>
      </c>
      <c r="K543" s="61"/>
      <c r="L543" s="1378"/>
    </row>
    <row r="544" spans="1:12" x14ac:dyDescent="0.25">
      <c r="A544" s="1141">
        <v>4</v>
      </c>
      <c r="B544" s="1986" t="s">
        <v>1891</v>
      </c>
      <c r="C544" s="1986"/>
      <c r="D544" s="1986"/>
      <c r="E544" s="1986"/>
      <c r="F544" s="1986"/>
      <c r="G544" s="1426" t="s">
        <v>273</v>
      </c>
      <c r="H544" s="1230">
        <v>31</v>
      </c>
      <c r="I544" s="1426">
        <v>890</v>
      </c>
      <c r="J544" s="1426">
        <f t="shared" si="8"/>
        <v>27590</v>
      </c>
      <c r="K544" s="61"/>
      <c r="L544" s="1378"/>
    </row>
    <row r="545" spans="1:28" x14ac:dyDescent="0.25">
      <c r="A545" s="2039" t="s">
        <v>39</v>
      </c>
      <c r="B545" s="2040"/>
      <c r="C545" s="2040"/>
      <c r="D545" s="2040"/>
      <c r="E545" s="2040"/>
      <c r="F545" s="2040"/>
      <c r="G545" s="2040"/>
      <c r="H545" s="2040"/>
      <c r="I545" s="2041"/>
      <c r="J545" s="1192">
        <f>SUM(J541:J544)</f>
        <v>34590</v>
      </c>
      <c r="K545" s="344">
        <v>0</v>
      </c>
      <c r="L545" s="1383">
        <f>J545-K545</f>
        <v>34590</v>
      </c>
    </row>
    <row r="546" spans="1:28" x14ac:dyDescent="0.25">
      <c r="A546" s="1444"/>
      <c r="B546" s="1444"/>
      <c r="C546" s="1444"/>
      <c r="D546" s="1444"/>
      <c r="E546" s="1444"/>
      <c r="F546" s="1444"/>
      <c r="G546" s="1444"/>
      <c r="H546" s="1444"/>
      <c r="I546" s="1444"/>
      <c r="J546" s="559"/>
    </row>
    <row r="547" spans="1:28" x14ac:dyDescent="0.25">
      <c r="A547" s="994" t="s">
        <v>27</v>
      </c>
      <c r="B547" s="995"/>
      <c r="C547" s="995"/>
      <c r="D547" s="995"/>
      <c r="E547" s="795" t="s">
        <v>1896</v>
      </c>
      <c r="F547" s="995"/>
      <c r="G547" s="996"/>
      <c r="H547" s="999"/>
      <c r="I547" s="996"/>
      <c r="J547" s="998">
        <f>J582</f>
        <v>73195</v>
      </c>
      <c r="K547" s="561"/>
      <c r="M547" s="578"/>
      <c r="N547" s="561"/>
      <c r="O547" s="551"/>
      <c r="P547" s="551"/>
      <c r="Q547" s="551"/>
      <c r="R547" s="551"/>
      <c r="S547" s="551"/>
      <c r="T547" s="551"/>
      <c r="U547" s="551"/>
      <c r="V547" s="551"/>
      <c r="W547" s="551"/>
      <c r="X547" s="551"/>
      <c r="Y547" s="551"/>
      <c r="Z547" s="551"/>
      <c r="AA547" s="551"/>
      <c r="AB547" s="551"/>
    </row>
    <row r="548" spans="1:28" x14ac:dyDescent="0.25">
      <c r="A548" s="1449" t="s">
        <v>321</v>
      </c>
      <c r="E548" s="504"/>
      <c r="G548" s="505"/>
      <c r="H548" s="576"/>
      <c r="I548" s="505"/>
      <c r="J548" s="505"/>
      <c r="K548" s="561"/>
      <c r="M548" s="578"/>
      <c r="N548" s="561"/>
      <c r="O548" s="551"/>
      <c r="P548" s="551"/>
      <c r="Q548" s="551"/>
      <c r="R548" s="551"/>
      <c r="S548" s="551"/>
      <c r="T548" s="551"/>
      <c r="U548" s="551"/>
      <c r="V548" s="551"/>
      <c r="W548" s="551"/>
      <c r="X548" s="551"/>
      <c r="Y548" s="551"/>
      <c r="Z548" s="551"/>
      <c r="AA548" s="551"/>
      <c r="AB548" s="551"/>
    </row>
    <row r="549" spans="1:28" x14ac:dyDescent="0.25">
      <c r="A549" s="2183" t="s">
        <v>8</v>
      </c>
      <c r="B549" s="2183" t="s">
        <v>35</v>
      </c>
      <c r="C549" s="2183"/>
      <c r="D549" s="2183"/>
      <c r="E549" s="2183"/>
      <c r="F549" s="2183"/>
      <c r="G549" s="2183" t="s">
        <v>61</v>
      </c>
      <c r="H549" s="2184" t="s">
        <v>2048</v>
      </c>
      <c r="I549" s="2185"/>
      <c r="J549" s="2186"/>
      <c r="K549" s="561"/>
      <c r="M549" s="578"/>
      <c r="N549" s="561"/>
      <c r="O549" s="551"/>
      <c r="P549" s="551"/>
      <c r="Q549" s="551"/>
      <c r="R549" s="551"/>
      <c r="S549" s="551"/>
      <c r="T549" s="551"/>
      <c r="U549" s="551"/>
      <c r="V549" s="551"/>
      <c r="W549" s="551"/>
      <c r="X549" s="551"/>
      <c r="Y549" s="551"/>
      <c r="Z549" s="551"/>
      <c r="AA549" s="551"/>
      <c r="AB549" s="551"/>
    </row>
    <row r="550" spans="1:28" ht="30" customHeight="1" x14ac:dyDescent="0.25">
      <c r="A550" s="2183"/>
      <c r="B550" s="2183"/>
      <c r="C550" s="2183"/>
      <c r="D550" s="2183"/>
      <c r="E550" s="2183"/>
      <c r="F550" s="2183"/>
      <c r="G550" s="2183"/>
      <c r="H550" s="580" t="s">
        <v>1173</v>
      </c>
      <c r="I550" s="1408" t="s">
        <v>264</v>
      </c>
      <c r="J550" s="1408" t="s">
        <v>256</v>
      </c>
      <c r="K550" s="561"/>
      <c r="L550" s="561"/>
      <c r="M550" s="561"/>
      <c r="N550" s="561"/>
      <c r="O550" s="551"/>
      <c r="P550" s="551"/>
      <c r="Q550" s="551"/>
      <c r="R550" s="551"/>
      <c r="S550" s="551"/>
      <c r="T550" s="551"/>
      <c r="U550" s="551"/>
      <c r="V550" s="551"/>
      <c r="W550" s="551"/>
      <c r="X550" s="551"/>
      <c r="Y550" s="551"/>
      <c r="Z550" s="551"/>
      <c r="AA550" s="551"/>
      <c r="AB550" s="551"/>
    </row>
    <row r="551" spans="1:28" x14ac:dyDescent="0.25">
      <c r="A551" s="1447">
        <v>1</v>
      </c>
      <c r="B551" s="2180" t="s">
        <v>1613</v>
      </c>
      <c r="C551" s="2180"/>
      <c r="D551" s="2180"/>
      <c r="E551" s="2180"/>
      <c r="F551" s="2180"/>
      <c r="G551" s="1434" t="s">
        <v>108</v>
      </c>
      <c r="H551" s="580">
        <f>72</f>
        <v>72</v>
      </c>
      <c r="I551" s="1434">
        <v>391</v>
      </c>
      <c r="J551" s="59">
        <f>H551*I551</f>
        <v>28152</v>
      </c>
      <c r="K551" s="561"/>
      <c r="L551" s="854"/>
      <c r="M551" s="552"/>
      <c r="N551" s="561"/>
      <c r="O551" s="551"/>
      <c r="P551" s="551"/>
      <c r="Q551" s="551"/>
      <c r="R551" s="551"/>
      <c r="S551" s="551"/>
      <c r="T551" s="551"/>
      <c r="U551" s="551"/>
      <c r="V551" s="551"/>
      <c r="W551" s="551"/>
      <c r="X551" s="551"/>
      <c r="Y551" s="551"/>
      <c r="Z551" s="551"/>
      <c r="AA551" s="551"/>
      <c r="AB551" s="551"/>
    </row>
    <row r="552" spans="1:28" x14ac:dyDescent="0.25">
      <c r="A552" s="1447">
        <v>2</v>
      </c>
      <c r="B552" s="2180" t="s">
        <v>1614</v>
      </c>
      <c r="C552" s="2180"/>
      <c r="D552" s="2180"/>
      <c r="E552" s="2180"/>
      <c r="F552" s="2180"/>
      <c r="G552" s="1434" t="s">
        <v>108</v>
      </c>
      <c r="H552" s="580">
        <v>72</v>
      </c>
      <c r="I552" s="1434">
        <v>391</v>
      </c>
      <c r="J552" s="59">
        <f>H552*I552</f>
        <v>28152</v>
      </c>
      <c r="K552" s="561"/>
      <c r="L552" s="561"/>
      <c r="M552" s="561"/>
      <c r="N552" s="561"/>
      <c r="O552" s="551"/>
      <c r="P552" s="551"/>
      <c r="Q552" s="551"/>
      <c r="R552" s="551"/>
      <c r="S552" s="551"/>
      <c r="T552" s="551"/>
      <c r="U552" s="551"/>
      <c r="V552" s="551"/>
      <c r="W552" s="551"/>
      <c r="X552" s="551"/>
      <c r="Y552" s="551"/>
      <c r="Z552" s="551"/>
      <c r="AA552" s="551"/>
      <c r="AB552" s="551"/>
    </row>
    <row r="553" spans="1:28" x14ac:dyDescent="0.25">
      <c r="A553" s="1447">
        <v>3</v>
      </c>
      <c r="B553" s="2210" t="s">
        <v>1678</v>
      </c>
      <c r="C553" s="2211"/>
      <c r="D553" s="2211"/>
      <c r="E553" s="2211"/>
      <c r="F553" s="2211"/>
      <c r="G553" s="2211"/>
      <c r="H553" s="2211"/>
      <c r="I553" s="2330"/>
      <c r="J553" s="59">
        <f>(J551+J552)*30%</f>
        <v>16891</v>
      </c>
      <c r="L553" s="561"/>
      <c r="M553" s="561"/>
      <c r="N553" s="561"/>
      <c r="O553" s="551"/>
      <c r="P553" s="551"/>
      <c r="Q553" s="551"/>
      <c r="R553" s="551"/>
      <c r="S553" s="551"/>
      <c r="T553" s="551"/>
      <c r="U553" s="551"/>
      <c r="V553" s="551"/>
      <c r="W553" s="551"/>
      <c r="X553" s="551"/>
      <c r="Y553" s="551"/>
      <c r="Z553" s="551"/>
      <c r="AA553" s="551"/>
      <c r="AB553" s="551"/>
    </row>
    <row r="554" spans="1:28" x14ac:dyDescent="0.25">
      <c r="A554" s="2181" t="s">
        <v>39</v>
      </c>
      <c r="B554" s="2181"/>
      <c r="C554" s="2181"/>
      <c r="D554" s="2181"/>
      <c r="E554" s="2181"/>
      <c r="F554" s="2181"/>
      <c r="G554" s="2181"/>
      <c r="H554" s="581" t="s">
        <v>5</v>
      </c>
      <c r="I554" s="1437" t="s">
        <v>5</v>
      </c>
      <c r="J554" s="1406">
        <f>SUM(J551:J553)</f>
        <v>73195</v>
      </c>
      <c r="L554" s="552"/>
      <c r="M554" s="561"/>
      <c r="N554" s="561"/>
      <c r="O554" s="551"/>
      <c r="P554" s="551"/>
      <c r="Q554" s="551"/>
      <c r="R554" s="551"/>
      <c r="S554" s="551"/>
      <c r="T554" s="551"/>
      <c r="U554" s="551"/>
      <c r="V554" s="551"/>
      <c r="W554" s="551"/>
      <c r="X554" s="551"/>
      <c r="Y554" s="551"/>
      <c r="Z554" s="551"/>
      <c r="AA554" s="551"/>
      <c r="AB554" s="551"/>
    </row>
    <row r="555" spans="1:28" x14ac:dyDescent="0.25">
      <c r="M555" s="578"/>
    </row>
    <row r="556" spans="1:28" x14ac:dyDescent="0.25">
      <c r="A556" s="994" t="s">
        <v>27</v>
      </c>
      <c r="B556" s="796"/>
      <c r="C556" s="796"/>
      <c r="D556" s="796"/>
      <c r="E556" s="795" t="s">
        <v>1897</v>
      </c>
      <c r="F556" s="796"/>
      <c r="G556" s="796"/>
      <c r="H556" s="797"/>
      <c r="I556" s="1384"/>
      <c r="J556" s="798">
        <f>J562</f>
        <v>933400</v>
      </c>
      <c r="M556" s="578"/>
    </row>
    <row r="557" spans="1:28" x14ac:dyDescent="0.25">
      <c r="A557" s="1449" t="s">
        <v>318</v>
      </c>
      <c r="M557" s="578"/>
    </row>
    <row r="558" spans="1:28" x14ac:dyDescent="0.25">
      <c r="A558" s="2183" t="s">
        <v>8</v>
      </c>
      <c r="B558" s="2331" t="s">
        <v>35</v>
      </c>
      <c r="C558" s="2157"/>
      <c r="D558" s="2332"/>
      <c r="E558" s="2184" t="s">
        <v>2048</v>
      </c>
      <c r="F558" s="2225"/>
      <c r="G558" s="2225"/>
      <c r="H558" s="2225"/>
      <c r="I558" s="2225"/>
      <c r="J558" s="2226"/>
      <c r="M558" s="578"/>
    </row>
    <row r="559" spans="1:28" ht="30" x14ac:dyDescent="0.25">
      <c r="A559" s="2183"/>
      <c r="B559" s="2159"/>
      <c r="C559" s="2160"/>
      <c r="D559" s="2161"/>
      <c r="E559" s="1455" t="s">
        <v>61</v>
      </c>
      <c r="F559" s="1455" t="s">
        <v>1170</v>
      </c>
      <c r="G559" s="1455" t="s">
        <v>1171</v>
      </c>
      <c r="H559" s="1455" t="s">
        <v>931</v>
      </c>
      <c r="I559" s="1455" t="s">
        <v>1172</v>
      </c>
      <c r="J559" s="1455" t="s">
        <v>297</v>
      </c>
      <c r="M559" s="578"/>
    </row>
    <row r="560" spans="1:28" ht="42.75" customHeight="1" x14ac:dyDescent="0.25">
      <c r="A560" s="1447">
        <v>1</v>
      </c>
      <c r="B560" s="2210" t="s">
        <v>1717</v>
      </c>
      <c r="C560" s="2335"/>
      <c r="D560" s="2336"/>
      <c r="E560" s="1455" t="s">
        <v>299</v>
      </c>
      <c r="F560" s="513">
        <v>21</v>
      </c>
      <c r="G560" s="513">
        <f>125+125</f>
        <v>250</v>
      </c>
      <c r="H560" s="1434">
        <v>359</v>
      </c>
      <c r="I560" s="541">
        <v>40</v>
      </c>
      <c r="J560" s="1404">
        <f>F560*G560*H560*I560%</f>
        <v>753900</v>
      </c>
      <c r="M560" s="578"/>
    </row>
    <row r="561" spans="1:23" ht="46.5" customHeight="1" x14ac:dyDescent="0.25">
      <c r="A561" s="1447">
        <v>2</v>
      </c>
      <c r="B561" s="2210" t="s">
        <v>1489</v>
      </c>
      <c r="C561" s="2335"/>
      <c r="D561" s="2336"/>
      <c r="E561" s="1455" t="s">
        <v>299</v>
      </c>
      <c r="F561" s="513">
        <v>5</v>
      </c>
      <c r="G561" s="513">
        <f>125+125</f>
        <v>250</v>
      </c>
      <c r="H561" s="1434">
        <v>359</v>
      </c>
      <c r="I561" s="541">
        <v>40</v>
      </c>
      <c r="J561" s="1404">
        <f>F561*G561*H561*I561%</f>
        <v>179500</v>
      </c>
      <c r="M561" s="578"/>
    </row>
    <row r="562" spans="1:23" x14ac:dyDescent="0.25">
      <c r="A562" s="2181" t="s">
        <v>39</v>
      </c>
      <c r="B562" s="2181"/>
      <c r="C562" s="2181"/>
      <c r="D562" s="2181"/>
      <c r="E562" s="2181"/>
      <c r="F562" s="2181"/>
      <c r="G562" s="2181"/>
      <c r="H562" s="1437" t="s">
        <v>5</v>
      </c>
      <c r="I562" s="1437" t="s">
        <v>5</v>
      </c>
      <c r="J562" s="1437">
        <f>SUM(J560:J561)</f>
        <v>933400</v>
      </c>
      <c r="M562" s="578"/>
    </row>
    <row r="563" spans="1:23" x14ac:dyDescent="0.25">
      <c r="M563" s="578"/>
    </row>
    <row r="564" spans="1:23" x14ac:dyDescent="0.25">
      <c r="A564" s="994" t="s">
        <v>26</v>
      </c>
      <c r="B564" s="796"/>
      <c r="C564" s="796"/>
      <c r="D564" s="796"/>
      <c r="E564" s="795" t="s">
        <v>731</v>
      </c>
      <c r="F564" s="995"/>
      <c r="G564" s="995"/>
      <c r="H564" s="996"/>
      <c r="I564" s="997"/>
      <c r="J564" s="998">
        <f>J571</f>
        <v>1400100</v>
      </c>
      <c r="M564" s="578"/>
    </row>
    <row r="565" spans="1:23" x14ac:dyDescent="0.25">
      <c r="A565" s="507" t="s">
        <v>27</v>
      </c>
      <c r="B565" s="504"/>
      <c r="C565" s="504"/>
      <c r="D565" s="504"/>
      <c r="E565" s="509" t="s">
        <v>1898</v>
      </c>
      <c r="J565" s="511">
        <f>J571</f>
        <v>1400100</v>
      </c>
      <c r="M565" s="578"/>
    </row>
    <row r="566" spans="1:23" x14ac:dyDescent="0.25">
      <c r="A566" s="1449" t="s">
        <v>318</v>
      </c>
      <c r="M566" s="578"/>
    </row>
    <row r="567" spans="1:23" ht="15" customHeight="1" x14ac:dyDescent="0.25">
      <c r="A567" s="2183" t="s">
        <v>8</v>
      </c>
      <c r="B567" s="2331" t="s">
        <v>35</v>
      </c>
      <c r="C567" s="2157"/>
      <c r="D567" s="2332"/>
      <c r="E567" s="2184" t="s">
        <v>2048</v>
      </c>
      <c r="F567" s="2225"/>
      <c r="G567" s="2225"/>
      <c r="H567" s="2225"/>
      <c r="I567" s="2225"/>
      <c r="J567" s="2226"/>
      <c r="M567" s="578"/>
      <c r="N567" s="1438"/>
      <c r="O567" s="2017"/>
      <c r="P567" s="2017"/>
      <c r="Q567" s="2333"/>
      <c r="R567" s="1438"/>
      <c r="S567" s="1438"/>
      <c r="T567" s="1438"/>
      <c r="U567" s="1438"/>
      <c r="V567" s="1438"/>
      <c r="W567" s="1438"/>
    </row>
    <row r="568" spans="1:23" ht="32.25" customHeight="1" x14ac:dyDescent="0.25">
      <c r="A568" s="2183"/>
      <c r="B568" s="2159"/>
      <c r="C568" s="2160"/>
      <c r="D568" s="2161"/>
      <c r="E568" s="1455" t="s">
        <v>61</v>
      </c>
      <c r="F568" s="1455" t="s">
        <v>1170</v>
      </c>
      <c r="G568" s="1455" t="s">
        <v>1171</v>
      </c>
      <c r="H568" s="1455" t="s">
        <v>931</v>
      </c>
      <c r="I568" s="1455" t="s">
        <v>1172</v>
      </c>
      <c r="J568" s="1455" t="s">
        <v>297</v>
      </c>
      <c r="M568" s="578"/>
      <c r="N568" s="1438"/>
      <c r="O568" s="2016"/>
      <c r="P568" s="2016"/>
      <c r="Q568" s="2334"/>
      <c r="R568" s="1438"/>
      <c r="S568" s="1438"/>
      <c r="T568" s="1438"/>
      <c r="U568" s="97"/>
      <c r="V568" s="508"/>
      <c r="W568" s="98"/>
    </row>
    <row r="569" spans="1:23" ht="42.75" customHeight="1" x14ac:dyDescent="0.25">
      <c r="A569" s="1447">
        <v>1</v>
      </c>
      <c r="B569" s="2210" t="s">
        <v>1717</v>
      </c>
      <c r="C569" s="2335"/>
      <c r="D569" s="2336"/>
      <c r="E569" s="1455" t="s">
        <v>299</v>
      </c>
      <c r="F569" s="513">
        <v>21</v>
      </c>
      <c r="G569" s="513">
        <f>125+125</f>
        <v>250</v>
      </c>
      <c r="H569" s="1434">
        <v>359</v>
      </c>
      <c r="I569" s="541">
        <v>60</v>
      </c>
      <c r="J569" s="1404">
        <f>F569*G569*H569*I569%</f>
        <v>1130850</v>
      </c>
      <c r="K569" s="564"/>
      <c r="L569" s="739"/>
      <c r="M569" s="578"/>
      <c r="N569" s="97"/>
      <c r="O569" s="2016"/>
      <c r="P569" s="2016"/>
      <c r="Q569" s="2334"/>
      <c r="R569" s="1438"/>
      <c r="S569" s="1438"/>
      <c r="T569" s="1438"/>
      <c r="U569" s="97"/>
      <c r="V569" s="508"/>
      <c r="W569" s="740"/>
    </row>
    <row r="570" spans="1:23" ht="42.75" customHeight="1" x14ac:dyDescent="0.25">
      <c r="A570" s="1447">
        <v>2</v>
      </c>
      <c r="B570" s="2210" t="s">
        <v>1489</v>
      </c>
      <c r="C570" s="2335"/>
      <c r="D570" s="2336"/>
      <c r="E570" s="1455" t="s">
        <v>299</v>
      </c>
      <c r="F570" s="513">
        <v>5</v>
      </c>
      <c r="G570" s="513">
        <f>125+125</f>
        <v>250</v>
      </c>
      <c r="H570" s="1434">
        <v>359</v>
      </c>
      <c r="I570" s="541">
        <v>60</v>
      </c>
      <c r="J570" s="1404">
        <f>F570*G570*H570*I570%</f>
        <v>269250</v>
      </c>
      <c r="K570" s="564"/>
      <c r="M570" s="578"/>
      <c r="N570" s="2077"/>
      <c r="O570" s="2077"/>
      <c r="P570" s="2077"/>
      <c r="Q570" s="2077"/>
      <c r="R570" s="2077"/>
      <c r="S570" s="2077"/>
      <c r="T570" s="2077"/>
      <c r="U570" s="2077"/>
      <c r="V570" s="2077"/>
      <c r="W570" s="741"/>
    </row>
    <row r="571" spans="1:23" x14ac:dyDescent="0.25">
      <c r="A571" s="2181" t="s">
        <v>39</v>
      </c>
      <c r="B571" s="2181"/>
      <c r="C571" s="2181"/>
      <c r="D571" s="2181"/>
      <c r="E571" s="2181"/>
      <c r="F571" s="2181"/>
      <c r="G571" s="2181"/>
      <c r="H571" s="1437" t="s">
        <v>5</v>
      </c>
      <c r="I571" s="1437" t="s">
        <v>5</v>
      </c>
      <c r="J571" s="1437">
        <f>SUM(J569:J570)</f>
        <v>1400100</v>
      </c>
      <c r="M571" s="578"/>
      <c r="N571" s="600"/>
      <c r="O571" s="600"/>
      <c r="P571" s="600"/>
      <c r="Q571" s="600"/>
      <c r="R571" s="600"/>
      <c r="S571" s="600"/>
      <c r="T571" s="600"/>
      <c r="U571" s="600"/>
      <c r="V571" s="600"/>
      <c r="W571" s="600"/>
    </row>
    <row r="572" spans="1:23" x14ac:dyDescent="0.25">
      <c r="A572" s="560"/>
      <c r="B572" s="560"/>
      <c r="C572" s="560"/>
      <c r="D572" s="560"/>
      <c r="E572" s="560"/>
      <c r="F572" s="560"/>
      <c r="G572" s="560"/>
      <c r="H572" s="554"/>
      <c r="I572" s="554"/>
      <c r="J572" s="554"/>
      <c r="M572" s="578"/>
      <c r="N572" s="600"/>
      <c r="O572" s="600"/>
      <c r="P572" s="600"/>
      <c r="Q572" s="600"/>
      <c r="R572" s="600"/>
      <c r="S572" s="600"/>
      <c r="T572" s="600"/>
      <c r="U572" s="600"/>
      <c r="V572" s="600"/>
      <c r="W572" s="600"/>
    </row>
    <row r="573" spans="1:23" hidden="1" x14ac:dyDescent="0.25">
      <c r="A573" s="973" t="s">
        <v>26</v>
      </c>
      <c r="B573" s="981"/>
      <c r="C573" s="981"/>
      <c r="D573" s="981"/>
      <c r="E573" s="975" t="s">
        <v>626</v>
      </c>
      <c r="F573" s="976"/>
      <c r="G573" s="976"/>
      <c r="H573" s="977"/>
      <c r="I573" s="978"/>
      <c r="J573" s="979">
        <f>J574</f>
        <v>0</v>
      </c>
      <c r="K573" s="341"/>
      <c r="L573" s="2" t="s">
        <v>1284</v>
      </c>
      <c r="M573" s="75"/>
      <c r="N573" s="889"/>
      <c r="O573" s="890"/>
    </row>
    <row r="574" spans="1:23" hidden="1" x14ac:dyDescent="0.25">
      <c r="A574" s="507" t="s">
        <v>27</v>
      </c>
      <c r="B574" s="504"/>
      <c r="C574" s="504"/>
      <c r="D574" s="504"/>
      <c r="E574" s="509" t="s">
        <v>1837</v>
      </c>
      <c r="J574" s="511">
        <f>J579</f>
        <v>0</v>
      </c>
      <c r="K574" s="341"/>
      <c r="L574" s="2" t="s">
        <v>1285</v>
      </c>
      <c r="M574" s="81"/>
      <c r="N574" s="341"/>
    </row>
    <row r="575" spans="1:23" hidden="1" x14ac:dyDescent="0.25">
      <c r="A575" s="1449" t="s">
        <v>318</v>
      </c>
      <c r="K575" s="341"/>
      <c r="L575" s="828" t="s">
        <v>1286</v>
      </c>
      <c r="M575" s="573"/>
      <c r="N575" s="829" t="s">
        <v>1287</v>
      </c>
    </row>
    <row r="576" spans="1:23" hidden="1" x14ac:dyDescent="0.25">
      <c r="A576" s="2183" t="s">
        <v>8</v>
      </c>
      <c r="B576" s="2183" t="s">
        <v>35</v>
      </c>
      <c r="C576" s="2183"/>
      <c r="D576" s="2183"/>
      <c r="E576" s="2183"/>
      <c r="F576" s="2183"/>
      <c r="G576" s="2183" t="s">
        <v>61</v>
      </c>
      <c r="H576" s="2184" t="s">
        <v>1827</v>
      </c>
      <c r="I576" s="2185"/>
      <c r="J576" s="2186"/>
      <c r="K576" s="593"/>
      <c r="M576" s="578"/>
    </row>
    <row r="577" spans="1:28" ht="30" hidden="1" customHeight="1" x14ac:dyDescent="0.25">
      <c r="A577" s="2183"/>
      <c r="B577" s="2183"/>
      <c r="C577" s="2183"/>
      <c r="D577" s="2183"/>
      <c r="E577" s="2183"/>
      <c r="F577" s="2183"/>
      <c r="G577" s="2183"/>
      <c r="H577" s="1408" t="s">
        <v>248</v>
      </c>
      <c r="I577" s="1434" t="s">
        <v>264</v>
      </c>
      <c r="J577" s="1434" t="s">
        <v>256</v>
      </c>
      <c r="M577" s="578"/>
    </row>
    <row r="578" spans="1:28" hidden="1" x14ac:dyDescent="0.25">
      <c r="A578" s="1447">
        <v>1</v>
      </c>
      <c r="B578" s="2180" t="s">
        <v>1942</v>
      </c>
      <c r="C578" s="2180"/>
      <c r="D578" s="2180"/>
      <c r="E578" s="2180"/>
      <c r="F578" s="2180"/>
      <c r="G578" s="1434" t="s">
        <v>643</v>
      </c>
      <c r="H578" s="513"/>
      <c r="I578" s="572">
        <v>500000</v>
      </c>
      <c r="J578" s="1404">
        <f t="shared" ref="J578" si="9">H578*I578</f>
        <v>0</v>
      </c>
      <c r="K578" s="564"/>
      <c r="L578" s="739"/>
      <c r="M578" s="578"/>
    </row>
    <row r="579" spans="1:28" hidden="1" x14ac:dyDescent="0.25">
      <c r="A579" s="2181" t="s">
        <v>39</v>
      </c>
      <c r="B579" s="2181"/>
      <c r="C579" s="2181"/>
      <c r="D579" s="2181"/>
      <c r="E579" s="2181"/>
      <c r="F579" s="2181"/>
      <c r="G579" s="2181"/>
      <c r="H579" s="1437" t="s">
        <v>5</v>
      </c>
      <c r="I579" s="1437" t="s">
        <v>5</v>
      </c>
      <c r="J579" s="1437">
        <f>SUM(J578:J578)</f>
        <v>0</v>
      </c>
      <c r="M579" s="578"/>
    </row>
    <row r="580" spans="1:28" hidden="1" x14ac:dyDescent="0.25">
      <c r="M580" s="578"/>
    </row>
    <row r="581" spans="1:28" hidden="1" x14ac:dyDescent="0.25">
      <c r="A581" s="2264" t="s">
        <v>514</v>
      </c>
      <c r="B581" s="2265"/>
      <c r="C581" s="2265"/>
      <c r="D581" s="2265"/>
      <c r="E581" s="2265"/>
      <c r="F581" s="2265"/>
      <c r="G581" s="2265"/>
      <c r="H581" s="2265"/>
      <c r="I581" s="2265"/>
      <c r="J581" s="2265"/>
      <c r="K581" s="551"/>
      <c r="L581" s="551"/>
      <c r="M581" s="551"/>
      <c r="O581" s="551"/>
      <c r="P581" s="551"/>
      <c r="Q581" s="551"/>
      <c r="R581" s="551"/>
      <c r="S581" s="551"/>
      <c r="T581" s="551"/>
      <c r="U581" s="551"/>
      <c r="V581" s="551"/>
      <c r="W581" s="551"/>
      <c r="X581" s="551"/>
      <c r="Y581" s="551"/>
      <c r="Z581" s="551"/>
      <c r="AA581" s="551"/>
      <c r="AB581" s="551"/>
    </row>
    <row r="582" spans="1:28" hidden="1" x14ac:dyDescent="0.25">
      <c r="A582" s="2266" t="s">
        <v>153</v>
      </c>
      <c r="B582" s="2266"/>
      <c r="C582" s="2266"/>
      <c r="D582" s="2266"/>
      <c r="E582" s="2266"/>
      <c r="F582" s="2266"/>
      <c r="G582" s="2266"/>
      <c r="H582" s="2266"/>
      <c r="I582" s="2266"/>
      <c r="J582" s="724">
        <v>73195</v>
      </c>
      <c r="K582" s="551"/>
      <c r="L582" s="551"/>
      <c r="M582" s="551"/>
      <c r="O582" s="551"/>
      <c r="P582" s="551"/>
      <c r="Q582" s="551"/>
      <c r="R582" s="551"/>
      <c r="S582" s="551"/>
      <c r="T582" s="551"/>
      <c r="U582" s="551"/>
      <c r="V582" s="551"/>
      <c r="W582" s="551"/>
      <c r="X582" s="551"/>
      <c r="Y582" s="551"/>
      <c r="Z582" s="551"/>
      <c r="AA582" s="551"/>
      <c r="AB582" s="551"/>
    </row>
    <row r="583" spans="1:28" hidden="1" x14ac:dyDescent="0.25">
      <c r="A583" s="2258" t="s">
        <v>619</v>
      </c>
      <c r="B583" s="2258"/>
      <c r="C583" s="2258"/>
      <c r="D583" s="2258"/>
      <c r="E583" s="2258"/>
      <c r="F583" s="2258"/>
      <c r="G583" s="2258"/>
      <c r="H583" s="2258"/>
      <c r="I583" s="2258"/>
      <c r="J583" s="624">
        <f>J554-J582</f>
        <v>0</v>
      </c>
      <c r="K583" s="551"/>
      <c r="L583" s="551"/>
      <c r="M583" s="551"/>
      <c r="O583" s="551"/>
      <c r="P583" s="551"/>
      <c r="Q583" s="551"/>
      <c r="R583" s="551"/>
      <c r="S583" s="551"/>
      <c r="T583" s="551"/>
      <c r="U583" s="551"/>
      <c r="V583" s="551"/>
      <c r="W583" s="551"/>
      <c r="X583" s="551"/>
      <c r="Y583" s="551"/>
      <c r="Z583" s="551"/>
      <c r="AA583" s="551"/>
      <c r="AB583" s="551"/>
    </row>
    <row r="584" spans="1:28" x14ac:dyDescent="0.25">
      <c r="A584" s="507" t="s">
        <v>63</v>
      </c>
      <c r="B584" s="504"/>
      <c r="C584" s="504"/>
      <c r="D584" s="508"/>
      <c r="E584" s="509" t="s">
        <v>79</v>
      </c>
      <c r="J584" s="511">
        <f>J585+J597</f>
        <v>14300</v>
      </c>
      <c r="L584" s="551"/>
      <c r="M584" s="552"/>
      <c r="N584" s="551"/>
      <c r="O584" s="551"/>
      <c r="P584" s="551"/>
      <c r="Q584" s="551"/>
      <c r="R584" s="551"/>
      <c r="S584" s="551"/>
      <c r="T584" s="551"/>
      <c r="U584" s="551"/>
      <c r="V584" s="551"/>
      <c r="W584" s="551"/>
      <c r="X584" s="551"/>
      <c r="Y584" s="551"/>
      <c r="Z584" s="551"/>
      <c r="AA584" s="551"/>
      <c r="AB584" s="551"/>
    </row>
    <row r="585" spans="1:28" hidden="1" x14ac:dyDescent="0.25">
      <c r="A585" s="786" t="s">
        <v>26</v>
      </c>
      <c r="B585" s="794"/>
      <c r="C585" s="794"/>
      <c r="D585" s="935"/>
      <c r="E585" s="793" t="s">
        <v>624</v>
      </c>
      <c r="F585" s="787"/>
      <c r="G585" s="787"/>
      <c r="H585" s="788"/>
      <c r="I585" s="986"/>
      <c r="J585" s="789">
        <f>J594</f>
        <v>0</v>
      </c>
      <c r="L585" s="582"/>
      <c r="M585" s="551"/>
      <c r="N585" s="551"/>
      <c r="O585" s="551"/>
      <c r="P585" s="551"/>
      <c r="Q585" s="551"/>
      <c r="R585" s="551"/>
      <c r="S585" s="551"/>
      <c r="T585" s="551"/>
      <c r="U585" s="551"/>
      <c r="V585" s="551"/>
      <c r="W585" s="551"/>
      <c r="X585" s="551"/>
      <c r="Y585" s="551"/>
      <c r="Z585" s="551"/>
      <c r="AA585" s="551"/>
      <c r="AB585" s="551"/>
    </row>
    <row r="586" spans="1:28" hidden="1" x14ac:dyDescent="0.25">
      <c r="A586" s="507" t="s">
        <v>27</v>
      </c>
      <c r="B586" s="504"/>
      <c r="C586" s="504"/>
      <c r="D586" s="508"/>
      <c r="E586" s="509" t="s">
        <v>1477</v>
      </c>
      <c r="K586" s="551"/>
      <c r="L586" s="551"/>
      <c r="M586" s="551"/>
      <c r="N586" s="551"/>
      <c r="O586" s="551"/>
      <c r="P586" s="551"/>
      <c r="Q586" s="551"/>
      <c r="R586" s="551"/>
      <c r="S586" s="551"/>
      <c r="T586" s="551"/>
      <c r="U586" s="551"/>
      <c r="V586" s="551"/>
      <c r="W586" s="551"/>
      <c r="X586" s="551"/>
      <c r="Y586" s="551"/>
      <c r="Z586" s="551"/>
      <c r="AA586" s="551"/>
      <c r="AB586" s="551"/>
    </row>
    <row r="587" spans="1:28" hidden="1" x14ac:dyDescent="0.25">
      <c r="A587" s="1449" t="s">
        <v>325</v>
      </c>
      <c r="K587" s="551"/>
      <c r="L587" s="551"/>
      <c r="M587" s="551"/>
      <c r="N587" s="551"/>
      <c r="O587" s="551"/>
      <c r="P587" s="551"/>
      <c r="Q587" s="551"/>
      <c r="R587" s="551"/>
      <c r="S587" s="551"/>
      <c r="T587" s="551"/>
      <c r="U587" s="551"/>
      <c r="V587" s="551"/>
      <c r="W587" s="551"/>
      <c r="X587" s="551"/>
      <c r="Y587" s="551"/>
      <c r="Z587" s="551"/>
      <c r="AA587" s="551"/>
      <c r="AB587" s="551"/>
    </row>
    <row r="588" spans="1:28" hidden="1" x14ac:dyDescent="0.25">
      <c r="A588" s="2183" t="s">
        <v>8</v>
      </c>
      <c r="B588" s="2183" t="s">
        <v>35</v>
      </c>
      <c r="C588" s="2183"/>
      <c r="D588" s="2183"/>
      <c r="E588" s="2183"/>
      <c r="F588" s="2183"/>
      <c r="G588" s="2183" t="s">
        <v>61</v>
      </c>
      <c r="H588" s="2184" t="s">
        <v>1476</v>
      </c>
      <c r="I588" s="2185"/>
      <c r="J588" s="2186"/>
      <c r="L588" s="551"/>
      <c r="M588" s="551"/>
      <c r="N588" s="551"/>
      <c r="O588" s="551"/>
      <c r="P588" s="551"/>
      <c r="Q588" s="551"/>
      <c r="R588" s="551"/>
      <c r="S588" s="551"/>
      <c r="T588" s="551"/>
      <c r="U588" s="551"/>
      <c r="V588" s="551"/>
      <c r="W588" s="551"/>
      <c r="X588" s="551"/>
      <c r="Y588" s="551"/>
      <c r="Z588" s="551"/>
      <c r="AA588" s="551"/>
      <c r="AB588" s="551"/>
    </row>
    <row r="589" spans="1:28" ht="30" hidden="1" x14ac:dyDescent="0.25">
      <c r="A589" s="2183"/>
      <c r="B589" s="2183"/>
      <c r="C589" s="2183"/>
      <c r="D589" s="2183"/>
      <c r="E589" s="2183"/>
      <c r="F589" s="2183"/>
      <c r="G589" s="2183"/>
      <c r="H589" s="1408" t="s">
        <v>248</v>
      </c>
      <c r="I589" s="1434" t="s">
        <v>264</v>
      </c>
      <c r="J589" s="1434" t="s">
        <v>256</v>
      </c>
      <c r="K589" s="551"/>
      <c r="L589" s="551"/>
      <c r="M589" s="551"/>
      <c r="N589" s="551"/>
      <c r="O589" s="551"/>
      <c r="P589" s="551"/>
      <c r="Q589" s="551"/>
      <c r="R589" s="551"/>
      <c r="S589" s="551"/>
      <c r="T589" s="551"/>
      <c r="U589" s="551"/>
      <c r="V589" s="551"/>
      <c r="W589" s="551"/>
      <c r="X589" s="551"/>
      <c r="Y589" s="551"/>
      <c r="Z589" s="551"/>
      <c r="AA589" s="551"/>
      <c r="AB589" s="551"/>
    </row>
    <row r="590" spans="1:28" ht="33" hidden="1" customHeight="1" x14ac:dyDescent="0.25">
      <c r="A590" s="1447">
        <v>1</v>
      </c>
      <c r="B590" s="2180" t="s">
        <v>734</v>
      </c>
      <c r="C590" s="2180"/>
      <c r="D590" s="2180"/>
      <c r="E590" s="2180"/>
      <c r="F590" s="2180"/>
      <c r="G590" s="1434" t="s">
        <v>633</v>
      </c>
      <c r="H590" s="513">
        <v>1</v>
      </c>
      <c r="I590" s="1434">
        <v>9971.16</v>
      </c>
      <c r="J590" s="1434">
        <f>H590*I590</f>
        <v>9971.16</v>
      </c>
      <c r="K590" s="551"/>
      <c r="L590" s="551"/>
      <c r="M590" s="551"/>
      <c r="N590" s="551"/>
      <c r="O590" s="551"/>
      <c r="P590" s="551"/>
      <c r="Q590" s="551"/>
      <c r="R590" s="551"/>
      <c r="S590" s="551"/>
      <c r="T590" s="551"/>
      <c r="U590" s="551"/>
      <c r="V590" s="551"/>
      <c r="W590" s="551"/>
      <c r="X590" s="551"/>
      <c r="Y590" s="551"/>
      <c r="Z590" s="551"/>
      <c r="AA590" s="551"/>
      <c r="AB590" s="551"/>
    </row>
    <row r="591" spans="1:28" hidden="1" x14ac:dyDescent="0.25">
      <c r="A591" s="1447">
        <v>1</v>
      </c>
      <c r="B591" s="2210" t="s">
        <v>301</v>
      </c>
      <c r="C591" s="2211"/>
      <c r="D591" s="2212"/>
      <c r="E591" s="2212"/>
      <c r="F591" s="2339"/>
      <c r="G591" s="1434" t="s">
        <v>108</v>
      </c>
      <c r="H591" s="513">
        <v>1</v>
      </c>
      <c r="I591" s="1434">
        <v>4000</v>
      </c>
      <c r="J591" s="1434">
        <f>H591*I591</f>
        <v>4000</v>
      </c>
      <c r="K591" s="551"/>
      <c r="L591" s="551"/>
      <c r="M591" s="551"/>
      <c r="N591" s="551"/>
      <c r="O591" s="551"/>
      <c r="P591" s="551"/>
      <c r="Q591" s="551"/>
      <c r="R591" s="551"/>
      <c r="S591" s="551"/>
      <c r="T591" s="551"/>
      <c r="U591" s="551"/>
      <c r="V591" s="551"/>
      <c r="W591" s="551"/>
      <c r="X591" s="551"/>
      <c r="Y591" s="551"/>
      <c r="Z591" s="551"/>
      <c r="AA591" s="551"/>
      <c r="AB591" s="551"/>
    </row>
    <row r="592" spans="1:28" hidden="1" x14ac:dyDescent="0.25">
      <c r="A592" s="2181" t="s">
        <v>39</v>
      </c>
      <c r="B592" s="2181"/>
      <c r="C592" s="2181"/>
      <c r="D592" s="2181"/>
      <c r="E592" s="2181"/>
      <c r="F592" s="2181"/>
      <c r="G592" s="2181"/>
      <c r="H592" s="1437" t="s">
        <v>5</v>
      </c>
      <c r="I592" s="1437" t="s">
        <v>5</v>
      </c>
      <c r="J592" s="1437">
        <f>J591</f>
        <v>4000</v>
      </c>
      <c r="K592" s="551"/>
      <c r="M592" s="551"/>
      <c r="N592" s="551"/>
      <c r="O592" s="551"/>
      <c r="P592" s="551"/>
      <c r="Q592" s="551"/>
      <c r="R592" s="551"/>
      <c r="S592" s="551"/>
      <c r="T592" s="551"/>
      <c r="U592" s="551"/>
      <c r="V592" s="551"/>
      <c r="W592" s="551"/>
      <c r="X592" s="551"/>
      <c r="Y592" s="551"/>
      <c r="Z592" s="551"/>
      <c r="AA592" s="551"/>
      <c r="AB592" s="551"/>
    </row>
    <row r="593" spans="1:28" hidden="1" x14ac:dyDescent="0.25">
      <c r="A593" s="2264" t="s">
        <v>514</v>
      </c>
      <c r="B593" s="2265"/>
      <c r="C593" s="2265"/>
      <c r="D593" s="2265"/>
      <c r="E593" s="2265"/>
      <c r="F593" s="2265"/>
      <c r="G593" s="2265"/>
      <c r="H593" s="2265"/>
      <c r="I593" s="2265"/>
      <c r="J593" s="2265"/>
      <c r="K593" s="551"/>
      <c r="L593" s="551"/>
      <c r="M593" s="551"/>
      <c r="O593" s="551"/>
      <c r="P593" s="551"/>
      <c r="Q593" s="551"/>
      <c r="R593" s="551"/>
      <c r="S593" s="551"/>
      <c r="T593" s="551"/>
      <c r="U593" s="551"/>
      <c r="V593" s="551"/>
      <c r="W593" s="551"/>
      <c r="X593" s="551"/>
      <c r="Y593" s="551"/>
      <c r="Z593" s="551"/>
      <c r="AA593" s="551"/>
      <c r="AB593" s="551"/>
    </row>
    <row r="594" spans="1:28" hidden="1" x14ac:dyDescent="0.25">
      <c r="A594" s="2266" t="s">
        <v>153</v>
      </c>
      <c r="B594" s="2266"/>
      <c r="C594" s="2266"/>
      <c r="D594" s="2266"/>
      <c r="E594" s="2266"/>
      <c r="F594" s="2266"/>
      <c r="G594" s="2266"/>
      <c r="H594" s="2266"/>
      <c r="I594" s="2266"/>
      <c r="J594" s="1403"/>
      <c r="K594" s="551"/>
      <c r="L594" s="551"/>
      <c r="M594" s="551"/>
      <c r="O594" s="551"/>
      <c r="P594" s="551"/>
      <c r="Q594" s="551"/>
      <c r="R594" s="551"/>
      <c r="S594" s="551"/>
      <c r="T594" s="551"/>
      <c r="U594" s="551"/>
      <c r="V594" s="551"/>
      <c r="W594" s="551"/>
      <c r="X594" s="551"/>
      <c r="Y594" s="551"/>
      <c r="Z594" s="551"/>
      <c r="AA594" s="551"/>
      <c r="AB594" s="551"/>
    </row>
    <row r="595" spans="1:28" hidden="1" x14ac:dyDescent="0.25">
      <c r="A595" s="2258" t="s">
        <v>619</v>
      </c>
      <c r="B595" s="2258"/>
      <c r="C595" s="2258"/>
      <c r="D595" s="2258"/>
      <c r="E595" s="2258"/>
      <c r="F595" s="2258"/>
      <c r="G595" s="2258"/>
      <c r="H595" s="2258"/>
      <c r="I595" s="2258"/>
      <c r="J595" s="624"/>
      <c r="K595" s="551"/>
      <c r="L595" s="551"/>
      <c r="M595" s="551"/>
      <c r="O595" s="551"/>
      <c r="P595" s="551"/>
      <c r="Q595" s="551"/>
      <c r="R595" s="551"/>
      <c r="S595" s="551"/>
      <c r="T595" s="551"/>
      <c r="U595" s="551"/>
      <c r="V595" s="551"/>
      <c r="W595" s="551"/>
      <c r="X595" s="551"/>
      <c r="Y595" s="551"/>
      <c r="Z595" s="551"/>
      <c r="AA595" s="551"/>
      <c r="AB595" s="551"/>
    </row>
    <row r="596" spans="1:28" hidden="1" x14ac:dyDescent="0.25">
      <c r="K596" s="551"/>
      <c r="L596" s="551"/>
      <c r="M596" s="551"/>
      <c r="N596" s="551"/>
      <c r="O596" s="551"/>
      <c r="P596" s="551"/>
      <c r="Q596" s="551"/>
      <c r="R596" s="551"/>
      <c r="S596" s="551"/>
      <c r="T596" s="551"/>
      <c r="U596" s="551"/>
      <c r="V596" s="551"/>
      <c r="W596" s="551"/>
      <c r="X596" s="551"/>
      <c r="Y596" s="551"/>
      <c r="Z596" s="551"/>
      <c r="AA596" s="551"/>
      <c r="AB596" s="551"/>
    </row>
    <row r="597" spans="1:28" x14ac:dyDescent="0.25">
      <c r="A597" s="994" t="s">
        <v>26</v>
      </c>
      <c r="B597" s="796"/>
      <c r="C597" s="796"/>
      <c r="D597" s="1000"/>
      <c r="E597" s="795" t="s">
        <v>624</v>
      </c>
      <c r="F597" s="995"/>
      <c r="G597" s="995"/>
      <c r="H597" s="996"/>
      <c r="I597" s="997"/>
      <c r="J597" s="998">
        <f>J605</f>
        <v>14300</v>
      </c>
      <c r="L597" s="582"/>
      <c r="M597" s="551"/>
      <c r="N597" s="551"/>
      <c r="O597" s="551"/>
      <c r="P597" s="551"/>
      <c r="Q597" s="551"/>
      <c r="R597" s="551"/>
      <c r="S597" s="551"/>
      <c r="T597" s="551"/>
      <c r="U597" s="551"/>
      <c r="V597" s="551"/>
      <c r="W597" s="551"/>
      <c r="X597" s="551"/>
      <c r="Y597" s="551"/>
      <c r="Z597" s="551"/>
      <c r="AA597" s="551"/>
      <c r="AB597" s="551"/>
    </row>
    <row r="598" spans="1:28" x14ac:dyDescent="0.25">
      <c r="A598" s="507" t="s">
        <v>27</v>
      </c>
      <c r="B598" s="504"/>
      <c r="C598" s="504"/>
      <c r="D598" s="508"/>
      <c r="E598" s="71" t="s">
        <v>1896</v>
      </c>
      <c r="J598" s="511">
        <f>J605</f>
        <v>14300</v>
      </c>
      <c r="K598" s="579"/>
      <c r="L598" s="510"/>
      <c r="M598" s="510"/>
      <c r="N598" s="510"/>
      <c r="O598" s="551"/>
      <c r="P598" s="551"/>
      <c r="Q598" s="551"/>
      <c r="R598" s="551"/>
      <c r="S598" s="551"/>
      <c r="T598" s="551"/>
      <c r="U598" s="551"/>
      <c r="V598" s="551"/>
      <c r="W598" s="551"/>
      <c r="X598" s="551"/>
      <c r="Y598" s="551"/>
      <c r="Z598" s="551"/>
      <c r="AA598" s="551"/>
      <c r="AB598" s="551"/>
    </row>
    <row r="599" spans="1:28" x14ac:dyDescent="0.25">
      <c r="A599" s="1449" t="s">
        <v>325</v>
      </c>
      <c r="K599" s="551"/>
      <c r="L599" s="551"/>
      <c r="M599" s="551"/>
      <c r="N599" s="551"/>
      <c r="O599" s="551"/>
      <c r="P599" s="551"/>
      <c r="Q599" s="551"/>
      <c r="R599" s="551"/>
      <c r="S599" s="551"/>
      <c r="T599" s="551"/>
      <c r="U599" s="551"/>
      <c r="V599" s="551"/>
      <c r="W599" s="551"/>
      <c r="X599" s="551"/>
      <c r="Y599" s="551"/>
      <c r="Z599" s="551"/>
      <c r="AA599" s="551"/>
      <c r="AB599" s="551"/>
    </row>
    <row r="600" spans="1:28" x14ac:dyDescent="0.25">
      <c r="A600" s="2183" t="s">
        <v>8</v>
      </c>
      <c r="B600" s="2183" t="s">
        <v>35</v>
      </c>
      <c r="C600" s="2183"/>
      <c r="D600" s="2183"/>
      <c r="E600" s="2183"/>
      <c r="F600" s="2183"/>
      <c r="G600" s="2184" t="s">
        <v>2048</v>
      </c>
      <c r="H600" s="2337"/>
      <c r="I600" s="2337"/>
      <c r="J600" s="2338"/>
      <c r="L600" s="551"/>
      <c r="M600" s="551"/>
      <c r="N600" s="551"/>
      <c r="O600" s="551"/>
      <c r="P600" s="551"/>
      <c r="Q600" s="551"/>
      <c r="R600" s="551"/>
      <c r="S600" s="551"/>
      <c r="T600" s="551"/>
      <c r="U600" s="551"/>
      <c r="V600" s="551"/>
      <c r="W600" s="551"/>
      <c r="X600" s="551"/>
      <c r="Y600" s="551"/>
      <c r="Z600" s="551"/>
      <c r="AA600" s="551"/>
      <c r="AB600" s="551"/>
    </row>
    <row r="601" spans="1:28" ht="30" customHeight="1" x14ac:dyDescent="0.25">
      <c r="A601" s="2183"/>
      <c r="B601" s="2183"/>
      <c r="C601" s="2183"/>
      <c r="D601" s="2183"/>
      <c r="E601" s="2183"/>
      <c r="F601" s="2183"/>
      <c r="G601" s="1408" t="s">
        <v>36</v>
      </c>
      <c r="H601" s="1408" t="s">
        <v>638</v>
      </c>
      <c r="I601" s="1434" t="s">
        <v>639</v>
      </c>
      <c r="J601" s="1434" t="s">
        <v>297</v>
      </c>
      <c r="K601" s="551"/>
      <c r="L601" s="551"/>
      <c r="M601" s="551"/>
      <c r="N601" s="551"/>
      <c r="O601" s="551"/>
      <c r="P601" s="551"/>
      <c r="Q601" s="551"/>
      <c r="R601" s="551"/>
      <c r="S601" s="551"/>
      <c r="T601" s="551"/>
      <c r="U601" s="551"/>
      <c r="V601" s="551"/>
      <c r="W601" s="551"/>
      <c r="X601" s="551"/>
      <c r="Y601" s="551"/>
      <c r="Z601" s="551"/>
      <c r="AA601" s="551"/>
      <c r="AB601" s="551"/>
    </row>
    <row r="602" spans="1:28" ht="30" customHeight="1" x14ac:dyDescent="0.25">
      <c r="A602" s="1447">
        <v>1</v>
      </c>
      <c r="B602" s="2180" t="s">
        <v>1894</v>
      </c>
      <c r="C602" s="2180"/>
      <c r="D602" s="2180"/>
      <c r="E602" s="2180"/>
      <c r="F602" s="2180"/>
      <c r="G602" s="513">
        <v>21</v>
      </c>
      <c r="H602" s="513">
        <v>125</v>
      </c>
      <c r="I602" s="1434">
        <v>2.2000000000000002</v>
      </c>
      <c r="J602" s="1404">
        <f>G602*H602*I602</f>
        <v>5775</v>
      </c>
      <c r="K602" s="551"/>
      <c r="M602" s="582"/>
      <c r="N602" s="551"/>
      <c r="O602" s="551"/>
      <c r="P602" s="551"/>
      <c r="Q602" s="551"/>
      <c r="R602" s="551"/>
      <c r="S602" s="551"/>
      <c r="T602" s="551"/>
      <c r="U602" s="551"/>
      <c r="V602" s="551"/>
      <c r="W602" s="551"/>
      <c r="X602" s="551"/>
      <c r="Y602" s="551"/>
      <c r="Z602" s="551"/>
      <c r="AA602" s="551"/>
      <c r="AB602" s="551"/>
    </row>
    <row r="603" spans="1:28" ht="30" customHeight="1" x14ac:dyDescent="0.25">
      <c r="A603" s="1447">
        <v>2</v>
      </c>
      <c r="B603" s="2180" t="s">
        <v>1895</v>
      </c>
      <c r="C603" s="2180"/>
      <c r="D603" s="2180"/>
      <c r="E603" s="2180"/>
      <c r="F603" s="2180"/>
      <c r="G603" s="513">
        <v>21</v>
      </c>
      <c r="H603" s="513">
        <v>125</v>
      </c>
      <c r="I603" s="1434">
        <v>2.2000000000000002</v>
      </c>
      <c r="J603" s="1404">
        <f>G603*H603*I603</f>
        <v>5775</v>
      </c>
      <c r="K603" s="1201"/>
      <c r="M603" s="582"/>
      <c r="N603" s="551"/>
      <c r="O603" s="551"/>
      <c r="P603" s="551"/>
      <c r="Q603" s="551"/>
      <c r="R603" s="551"/>
      <c r="S603" s="551"/>
      <c r="T603" s="551"/>
      <c r="U603" s="551"/>
      <c r="V603" s="551"/>
      <c r="W603" s="551"/>
      <c r="X603" s="551"/>
      <c r="Y603" s="551"/>
      <c r="Z603" s="551"/>
      <c r="AA603" s="551"/>
      <c r="AB603" s="551"/>
    </row>
    <row r="604" spans="1:28" ht="32.25" customHeight="1" x14ac:dyDescent="0.25">
      <c r="A604" s="1447">
        <v>3</v>
      </c>
      <c r="B604" s="2180" t="s">
        <v>1490</v>
      </c>
      <c r="C604" s="2180"/>
      <c r="D604" s="2180"/>
      <c r="E604" s="2180"/>
      <c r="F604" s="2180"/>
      <c r="G604" s="513">
        <v>5</v>
      </c>
      <c r="H604" s="513">
        <f>125+125</f>
        <v>250</v>
      </c>
      <c r="I604" s="1434">
        <v>2.2000000000000002</v>
      </c>
      <c r="J604" s="1404">
        <f>G604*H604*I604</f>
        <v>2750</v>
      </c>
      <c r="K604" s="551"/>
      <c r="L604" s="551"/>
      <c r="M604" s="551"/>
      <c r="N604" s="551"/>
      <c r="O604" s="551"/>
      <c r="P604" s="551"/>
      <c r="Q604" s="551"/>
      <c r="R604" s="551"/>
      <c r="S604" s="551"/>
      <c r="T604" s="551"/>
      <c r="U604" s="551"/>
      <c r="V604" s="551"/>
      <c r="W604" s="551"/>
      <c r="X604" s="551"/>
      <c r="Y604" s="551"/>
      <c r="Z604" s="551"/>
      <c r="AA604" s="551"/>
      <c r="AB604" s="551"/>
    </row>
    <row r="605" spans="1:28" x14ac:dyDescent="0.25">
      <c r="A605" s="2181" t="s">
        <v>39</v>
      </c>
      <c r="B605" s="2181"/>
      <c r="C605" s="2181"/>
      <c r="D605" s="2181"/>
      <c r="E605" s="2181"/>
      <c r="F605" s="2181"/>
      <c r="G605" s="2181"/>
      <c r="H605" s="1437" t="s">
        <v>5</v>
      </c>
      <c r="I605" s="1437" t="s">
        <v>5</v>
      </c>
      <c r="J605" s="1406">
        <f>SUM(J602:J604)</f>
        <v>14300</v>
      </c>
      <c r="K605" s="551"/>
      <c r="L605" s="551"/>
      <c r="M605" s="551"/>
      <c r="N605" s="551"/>
      <c r="O605" s="551"/>
      <c r="P605" s="551"/>
      <c r="Q605" s="551"/>
      <c r="R605" s="551"/>
      <c r="S605" s="551"/>
      <c r="T605" s="551"/>
      <c r="U605" s="551"/>
      <c r="V605" s="551"/>
      <c r="W605" s="551"/>
      <c r="X605" s="551"/>
      <c r="Y605" s="551"/>
      <c r="Z605" s="551"/>
      <c r="AA605" s="551"/>
      <c r="AB605" s="551"/>
    </row>
    <row r="606" spans="1:28" x14ac:dyDescent="0.25">
      <c r="K606" s="551"/>
      <c r="L606" s="551"/>
      <c r="M606" s="551"/>
      <c r="N606" s="551"/>
      <c r="O606" s="551"/>
      <c r="P606" s="551"/>
      <c r="Q606" s="551"/>
      <c r="R606" s="551"/>
      <c r="S606" s="551"/>
      <c r="T606" s="551"/>
      <c r="U606" s="551"/>
      <c r="V606" s="551"/>
      <c r="W606" s="551"/>
      <c r="X606" s="551"/>
      <c r="Y606" s="551"/>
      <c r="Z606" s="551"/>
      <c r="AA606" s="551"/>
      <c r="AB606" s="551"/>
    </row>
    <row r="607" spans="1:28" x14ac:dyDescent="0.25">
      <c r="A607" s="1449" t="s">
        <v>311</v>
      </c>
      <c r="K607" s="551"/>
      <c r="L607" s="551"/>
      <c r="M607" s="551"/>
      <c r="P607" s="551"/>
      <c r="Q607" s="551"/>
      <c r="R607" s="551"/>
      <c r="S607" s="551"/>
      <c r="T607" s="551"/>
      <c r="U607" s="551"/>
      <c r="V607" s="551"/>
      <c r="W607" s="551"/>
      <c r="X607" s="551"/>
      <c r="Y607" s="551"/>
      <c r="Z607" s="551"/>
      <c r="AA607" s="551"/>
      <c r="AB607" s="551"/>
    </row>
    <row r="608" spans="1:28" x14ac:dyDescent="0.25">
      <c r="A608" s="507" t="s">
        <v>63</v>
      </c>
      <c r="B608" s="504"/>
      <c r="C608" s="504"/>
      <c r="D608" s="508"/>
      <c r="E608" s="509" t="s">
        <v>80</v>
      </c>
      <c r="J608" s="511">
        <f>J609</f>
        <v>7650000</v>
      </c>
      <c r="K608" s="341"/>
      <c r="L608" s="2" t="s">
        <v>1284</v>
      </c>
      <c r="M608" s="883"/>
      <c r="N608" s="889"/>
      <c r="O608" s="890"/>
      <c r="P608" s="551"/>
      <c r="Q608" s="551"/>
      <c r="R608" s="551"/>
      <c r="S608" s="551"/>
      <c r="T608" s="551"/>
      <c r="U608" s="551"/>
      <c r="V608" s="551"/>
      <c r="W608" s="551"/>
      <c r="X608" s="551"/>
      <c r="Y608" s="551"/>
      <c r="Z608" s="551"/>
      <c r="AA608" s="551"/>
      <c r="AB608" s="551"/>
    </row>
    <row r="609" spans="1:33" x14ac:dyDescent="0.25">
      <c r="A609" s="973" t="s">
        <v>26</v>
      </c>
      <c r="B609" s="981"/>
      <c r="C609" s="981"/>
      <c r="D609" s="982"/>
      <c r="E609" s="975" t="s">
        <v>626</v>
      </c>
      <c r="F609" s="976"/>
      <c r="G609" s="976"/>
      <c r="H609" s="977"/>
      <c r="I609" s="978"/>
      <c r="J609" s="979">
        <f>J610</f>
        <v>7650000</v>
      </c>
      <c r="K609" s="341"/>
      <c r="L609" s="2" t="s">
        <v>1285</v>
      </c>
      <c r="M609" s="81"/>
      <c r="N609" s="341"/>
      <c r="O609" s="551"/>
      <c r="Q609" s="551"/>
      <c r="R609" s="551"/>
      <c r="S609" s="551"/>
      <c r="T609" s="551"/>
      <c r="U609" s="551"/>
      <c r="V609" s="551"/>
      <c r="W609" s="551"/>
      <c r="X609" s="551"/>
      <c r="Y609" s="551"/>
      <c r="Z609" s="551"/>
      <c r="AA609" s="551"/>
      <c r="AB609" s="551"/>
    </row>
    <row r="610" spans="1:33" x14ac:dyDescent="0.25">
      <c r="A610" s="507" t="s">
        <v>27</v>
      </c>
      <c r="B610" s="504"/>
      <c r="C610" s="504"/>
      <c r="D610" s="508"/>
      <c r="E610" s="509" t="s">
        <v>67</v>
      </c>
      <c r="J610" s="511">
        <f>J617</f>
        <v>7650000</v>
      </c>
      <c r="K610" s="341"/>
      <c r="L610" s="828" t="s">
        <v>1286</v>
      </c>
      <c r="M610" s="573"/>
      <c r="N610" s="829" t="s">
        <v>1287</v>
      </c>
      <c r="O610" s="551"/>
      <c r="Q610" s="551"/>
      <c r="R610" s="551"/>
      <c r="S610" s="551"/>
      <c r="T610" s="551"/>
      <c r="U610" s="551"/>
      <c r="V610" s="551"/>
      <c r="W610" s="551"/>
      <c r="X610" s="551"/>
      <c r="Y610" s="551"/>
      <c r="Z610" s="551"/>
      <c r="AA610" s="551"/>
      <c r="AB610" s="551"/>
    </row>
    <row r="611" spans="1:33" x14ac:dyDescent="0.25">
      <c r="A611" s="1449" t="s">
        <v>326</v>
      </c>
      <c r="K611" s="510"/>
      <c r="L611" s="582" t="s">
        <v>1288</v>
      </c>
      <c r="M611" s="551"/>
      <c r="N611" s="551"/>
      <c r="O611" s="551"/>
      <c r="P611" s="551"/>
      <c r="Q611" s="551"/>
      <c r="R611" s="551"/>
      <c r="S611" s="551"/>
      <c r="T611" s="551"/>
      <c r="U611" s="551"/>
      <c r="V611" s="551"/>
      <c r="W611" s="551"/>
      <c r="X611" s="551"/>
      <c r="Y611" s="551"/>
      <c r="Z611" s="551"/>
      <c r="AA611" s="551"/>
      <c r="AB611" s="551"/>
    </row>
    <row r="612" spans="1:33" ht="15" customHeight="1" x14ac:dyDescent="0.25">
      <c r="A612" s="2170" t="s">
        <v>8</v>
      </c>
      <c r="B612" s="2170" t="s">
        <v>35</v>
      </c>
      <c r="C612" s="2170"/>
      <c r="D612" s="2170"/>
      <c r="E612" s="2170"/>
      <c r="F612" s="2170"/>
      <c r="G612" s="2170" t="s">
        <v>61</v>
      </c>
      <c r="H612" s="2193" t="s">
        <v>2048</v>
      </c>
      <c r="I612" s="2240"/>
      <c r="J612" s="2179"/>
      <c r="K612" s="551"/>
      <c r="L612" s="551"/>
      <c r="M612" s="551"/>
      <c r="N612" s="551"/>
      <c r="O612" s="551"/>
      <c r="P612" s="551"/>
      <c r="Q612" s="551"/>
      <c r="R612" s="551"/>
      <c r="S612" s="551"/>
      <c r="T612" s="551"/>
      <c r="U612" s="551"/>
      <c r="V612" s="551"/>
      <c r="W612" s="551"/>
      <c r="X612" s="551"/>
      <c r="Y612" s="551"/>
      <c r="Z612" s="551"/>
      <c r="AA612" s="551"/>
      <c r="AB612" s="551"/>
    </row>
    <row r="613" spans="1:33" ht="31.5" customHeight="1" x14ac:dyDescent="0.25">
      <c r="A613" s="2170"/>
      <c r="B613" s="2170"/>
      <c r="C613" s="2170"/>
      <c r="D613" s="2170"/>
      <c r="E613" s="2170"/>
      <c r="F613" s="2170"/>
      <c r="G613" s="2170"/>
      <c r="H613" s="1410" t="s">
        <v>248</v>
      </c>
      <c r="I613" s="1420" t="s">
        <v>264</v>
      </c>
      <c r="J613" s="1420" t="s">
        <v>256</v>
      </c>
      <c r="K613" s="551"/>
      <c r="L613" s="551"/>
      <c r="N613" s="551"/>
      <c r="O613" s="551"/>
      <c r="P613" s="551"/>
      <c r="Q613" s="551"/>
      <c r="R613" s="551"/>
      <c r="S613" s="551"/>
      <c r="T613" s="551"/>
      <c r="U613" s="551"/>
      <c r="V613" s="551"/>
      <c r="W613" s="551"/>
      <c r="X613" s="551"/>
      <c r="Y613" s="551"/>
      <c r="Z613" s="551"/>
      <c r="AA613" s="551"/>
      <c r="AB613" s="551"/>
    </row>
    <row r="614" spans="1:33" s="556" customFormat="1" ht="14.25" hidden="1" customHeight="1" x14ac:dyDescent="0.25">
      <c r="A614" s="2318" t="s">
        <v>1621</v>
      </c>
      <c r="B614" s="2319"/>
      <c r="C614" s="2319"/>
      <c r="D614" s="2319"/>
      <c r="E614" s="2319"/>
      <c r="F614" s="2319"/>
      <c r="G614" s="2319"/>
      <c r="H614" s="2319"/>
      <c r="I614" s="2320"/>
      <c r="J614" s="1228">
        <f>SUM(J615:J616)</f>
        <v>7650000</v>
      </c>
      <c r="K614" s="582"/>
      <c r="L614" s="1182"/>
      <c r="M614" s="579"/>
      <c r="N614" s="579"/>
      <c r="Q614" s="1183"/>
      <c r="R614" s="1184"/>
      <c r="S614" s="1185"/>
      <c r="T614" s="1186"/>
    </row>
    <row r="615" spans="1:33" s="61" customFormat="1" x14ac:dyDescent="0.25">
      <c r="A615" s="1079">
        <v>1</v>
      </c>
      <c r="B615" s="1986" t="s">
        <v>1621</v>
      </c>
      <c r="C615" s="2219"/>
      <c r="D615" s="2219"/>
      <c r="E615" s="2219"/>
      <c r="F615" s="2219"/>
      <c r="G615" s="1426" t="s">
        <v>245</v>
      </c>
      <c r="H615" s="1462">
        <v>7250</v>
      </c>
      <c r="I615" s="1463">
        <v>800</v>
      </c>
      <c r="J615" s="1426">
        <f>H615*I615</f>
        <v>5800000</v>
      </c>
      <c r="L615" s="1464"/>
      <c r="M615" s="1036"/>
      <c r="N615" s="1036"/>
      <c r="O615" s="1402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  <c r="AA615" s="75"/>
      <c r="AB615" s="75"/>
      <c r="AC615" s="75"/>
      <c r="AD615" s="75"/>
      <c r="AE615" s="75"/>
      <c r="AF615" s="75"/>
      <c r="AG615" s="75"/>
    </row>
    <row r="616" spans="1:33" s="61" customFormat="1" x14ac:dyDescent="0.25">
      <c r="A616" s="1079">
        <v>2</v>
      </c>
      <c r="B616" s="1986" t="s">
        <v>1621</v>
      </c>
      <c r="C616" s="2219"/>
      <c r="D616" s="2219"/>
      <c r="E616" s="2219"/>
      <c r="F616" s="2219"/>
      <c r="G616" s="1426" t="s">
        <v>245</v>
      </c>
      <c r="H616" s="1462">
        <v>3700</v>
      </c>
      <c r="I616" s="1463">
        <v>500</v>
      </c>
      <c r="J616" s="1426">
        <f>H616*I616</f>
        <v>1850000</v>
      </c>
      <c r="L616" s="1464"/>
      <c r="M616" s="1036"/>
      <c r="N616" s="1036"/>
      <c r="O616" s="1402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  <c r="AA616" s="75"/>
      <c r="AB616" s="75"/>
      <c r="AC616" s="75"/>
      <c r="AD616" s="75"/>
      <c r="AE616" s="75"/>
      <c r="AF616" s="75"/>
      <c r="AG616" s="75"/>
    </row>
    <row r="617" spans="1:33" x14ac:dyDescent="0.25">
      <c r="A617" s="2278" t="s">
        <v>39</v>
      </c>
      <c r="B617" s="2278"/>
      <c r="C617" s="2278"/>
      <c r="D617" s="2278"/>
      <c r="E617" s="2278"/>
      <c r="F617" s="2278"/>
      <c r="G617" s="2278"/>
      <c r="H617" s="1190" t="s">
        <v>5</v>
      </c>
      <c r="I617" s="1190" t="s">
        <v>5</v>
      </c>
      <c r="J617" s="1192">
        <f>J615+J616</f>
        <v>7650000</v>
      </c>
      <c r="K617" s="582"/>
      <c r="L617" s="1059"/>
      <c r="M617" s="551"/>
      <c r="N617" s="551"/>
      <c r="O617" s="551"/>
      <c r="P617" s="551"/>
      <c r="Q617" s="1137"/>
      <c r="R617" s="1138"/>
      <c r="S617" s="1139"/>
      <c r="T617" s="1140"/>
      <c r="U617" s="551"/>
      <c r="V617" s="551"/>
      <c r="W617" s="551"/>
      <c r="X617" s="551"/>
      <c r="Y617" s="551"/>
      <c r="Z617" s="551"/>
      <c r="AA617" s="551"/>
      <c r="AB617" s="551"/>
    </row>
    <row r="618" spans="1:33" x14ac:dyDescent="0.25">
      <c r="A618" s="560"/>
      <c r="B618" s="560"/>
      <c r="C618" s="560"/>
      <c r="D618" s="560"/>
      <c r="E618" s="560"/>
      <c r="F618" s="560"/>
      <c r="G618" s="560"/>
      <c r="H618" s="554"/>
      <c r="I618" s="554"/>
      <c r="J618" s="554"/>
      <c r="K618" s="551"/>
      <c r="M618" s="551"/>
      <c r="P618" s="551"/>
      <c r="Q618" s="1137"/>
      <c r="R618" s="1138"/>
      <c r="S618" s="1139"/>
      <c r="T618" s="1140"/>
      <c r="U618" s="551"/>
      <c r="V618" s="551"/>
      <c r="W618" s="551"/>
      <c r="X618" s="551"/>
      <c r="Y618" s="551"/>
      <c r="Z618" s="551"/>
      <c r="AA618" s="551"/>
      <c r="AB618" s="551"/>
    </row>
    <row r="619" spans="1:33" hidden="1" x14ac:dyDescent="0.25">
      <c r="A619" s="507" t="s">
        <v>63</v>
      </c>
      <c r="B619" s="504"/>
      <c r="C619" s="504"/>
      <c r="D619" s="508"/>
      <c r="E619" s="563" t="s">
        <v>1505</v>
      </c>
      <c r="J619" s="511">
        <f>J620</f>
        <v>0</v>
      </c>
      <c r="K619" s="582"/>
      <c r="L619" s="564"/>
      <c r="M619" s="551"/>
      <c r="N619" s="551"/>
      <c r="O619" s="551"/>
      <c r="P619" s="551"/>
      <c r="Q619" s="551"/>
      <c r="R619" s="551"/>
      <c r="S619" s="551"/>
      <c r="T619" s="551"/>
      <c r="U619" s="551"/>
      <c r="V619" s="551"/>
      <c r="W619" s="551"/>
      <c r="X619" s="551"/>
      <c r="Y619" s="551"/>
      <c r="Z619" s="551"/>
      <c r="AA619" s="551"/>
      <c r="AB619" s="551"/>
    </row>
    <row r="620" spans="1:33" hidden="1" x14ac:dyDescent="0.25">
      <c r="A620" s="973" t="s">
        <v>26</v>
      </c>
      <c r="B620" s="981"/>
      <c r="C620" s="981"/>
      <c r="D620" s="981"/>
      <c r="E620" s="975" t="s">
        <v>626</v>
      </c>
      <c r="F620" s="976"/>
      <c r="G620" s="976"/>
      <c r="H620" s="977"/>
      <c r="I620" s="978"/>
      <c r="J620" s="979">
        <f>J621</f>
        <v>0</v>
      </c>
      <c r="K620" s="341"/>
      <c r="L620" s="2"/>
      <c r="M620" s="883"/>
      <c r="N620" s="889"/>
      <c r="O620" s="890"/>
      <c r="P620" s="551"/>
      <c r="Q620" s="551"/>
      <c r="R620" s="551"/>
      <c r="S620" s="551"/>
      <c r="T620" s="551"/>
      <c r="U620" s="551"/>
      <c r="V620" s="551"/>
      <c r="W620" s="551"/>
      <c r="X620" s="551"/>
      <c r="Y620" s="551"/>
      <c r="Z620" s="551"/>
      <c r="AA620" s="551"/>
      <c r="AB620" s="551"/>
    </row>
    <row r="621" spans="1:33" hidden="1" x14ac:dyDescent="0.25">
      <c r="A621" s="507" t="s">
        <v>27</v>
      </c>
      <c r="B621" s="504"/>
      <c r="C621" s="504"/>
      <c r="D621" s="504"/>
      <c r="E621" s="509" t="s">
        <v>67</v>
      </c>
      <c r="J621" s="506">
        <f>J627</f>
        <v>0</v>
      </c>
      <c r="K621" s="341"/>
      <c r="L621" s="2"/>
      <c r="M621" s="341"/>
      <c r="N621" s="341"/>
      <c r="O621" s="765"/>
      <c r="P621" s="551"/>
      <c r="Q621" s="551"/>
      <c r="R621" s="551"/>
      <c r="S621" s="551"/>
      <c r="T621" s="551"/>
      <c r="U621" s="551"/>
      <c r="V621" s="551"/>
      <c r="W621" s="551"/>
      <c r="X621" s="551"/>
      <c r="Y621" s="551"/>
      <c r="Z621" s="551"/>
      <c r="AA621" s="551"/>
      <c r="AB621" s="551"/>
    </row>
    <row r="622" spans="1:33" hidden="1" x14ac:dyDescent="0.25">
      <c r="A622" s="1449" t="s">
        <v>1761</v>
      </c>
      <c r="K622" s="582"/>
      <c r="L622" s="564"/>
      <c r="M622" s="551"/>
      <c r="N622" s="551"/>
      <c r="O622" s="551"/>
      <c r="P622" s="551"/>
      <c r="Q622" s="551"/>
      <c r="R622" s="551"/>
      <c r="S622" s="551"/>
      <c r="T622" s="551"/>
      <c r="U622" s="551"/>
      <c r="V622" s="551"/>
      <c r="W622" s="551"/>
      <c r="X622" s="551"/>
      <c r="Y622" s="551"/>
      <c r="Z622" s="551"/>
      <c r="AA622" s="551"/>
      <c r="AB622" s="551"/>
    </row>
    <row r="623" spans="1:33" hidden="1" x14ac:dyDescent="0.25">
      <c r="A623" s="2170" t="s">
        <v>8</v>
      </c>
      <c r="B623" s="2170" t="s">
        <v>35</v>
      </c>
      <c r="C623" s="2170"/>
      <c r="D623" s="2170"/>
      <c r="E623" s="2170"/>
      <c r="F623" s="2170"/>
      <c r="G623" s="2170" t="s">
        <v>61</v>
      </c>
      <c r="H623" s="2193" t="s">
        <v>1605</v>
      </c>
      <c r="I623" s="2240"/>
      <c r="J623" s="2179"/>
      <c r="K623" s="582"/>
      <c r="L623" s="564"/>
      <c r="M623" s="551"/>
      <c r="N623" s="551"/>
      <c r="O623" s="551"/>
      <c r="P623" s="551"/>
      <c r="Q623" s="551"/>
      <c r="R623" s="551"/>
      <c r="S623" s="551"/>
      <c r="T623" s="551"/>
      <c r="U623" s="551"/>
      <c r="V623" s="551"/>
      <c r="W623" s="551"/>
      <c r="X623" s="551"/>
      <c r="Y623" s="551"/>
      <c r="Z623" s="551"/>
      <c r="AA623" s="551"/>
      <c r="AB623" s="551"/>
    </row>
    <row r="624" spans="1:33" ht="30" hidden="1" x14ac:dyDescent="0.25">
      <c r="A624" s="2170"/>
      <c r="B624" s="2170"/>
      <c r="C624" s="2170"/>
      <c r="D624" s="2170"/>
      <c r="E624" s="2170"/>
      <c r="F624" s="2170"/>
      <c r="G624" s="2170"/>
      <c r="H624" s="1410" t="s">
        <v>248</v>
      </c>
      <c r="I624" s="1420" t="s">
        <v>264</v>
      </c>
      <c r="J624" s="1420" t="s">
        <v>256</v>
      </c>
      <c r="K624" s="582"/>
      <c r="L624" s="564"/>
      <c r="M624" s="551"/>
      <c r="N624" s="551"/>
      <c r="O624" s="551"/>
      <c r="P624" s="551"/>
      <c r="Q624" s="551"/>
      <c r="R624" s="551"/>
      <c r="S624" s="551"/>
      <c r="T624" s="551"/>
      <c r="U624" s="551"/>
      <c r="V624" s="551"/>
      <c r="W624" s="551"/>
      <c r="X624" s="551"/>
      <c r="Y624" s="551"/>
      <c r="Z624" s="551"/>
      <c r="AA624" s="551"/>
      <c r="AB624" s="551"/>
    </row>
    <row r="625" spans="1:28" ht="15.75" hidden="1" x14ac:dyDescent="0.25">
      <c r="A625" s="1127">
        <v>1</v>
      </c>
      <c r="B625" s="1986" t="s">
        <v>1738</v>
      </c>
      <c r="C625" s="1986"/>
      <c r="D625" s="1986"/>
      <c r="E625" s="1986"/>
      <c r="F625" s="1986"/>
      <c r="G625" s="1420" t="s">
        <v>304</v>
      </c>
      <c r="H625" s="1199"/>
      <c r="I625" s="1200">
        <v>2900</v>
      </c>
      <c r="J625" s="1426">
        <f>H625*I625</f>
        <v>0</v>
      </c>
      <c r="L625" s="578"/>
      <c r="M625" s="2072"/>
      <c r="N625" s="2072"/>
      <c r="O625" s="1254"/>
      <c r="P625" s="1254"/>
      <c r="Q625" s="1254"/>
      <c r="R625" s="1138"/>
      <c r="S625" s="1139"/>
      <c r="T625" s="1140"/>
      <c r="U625" s="551"/>
      <c r="V625" s="551"/>
      <c r="W625" s="551"/>
      <c r="X625" s="551"/>
      <c r="Y625" s="551"/>
      <c r="Z625" s="551"/>
      <c r="AA625" s="551"/>
      <c r="AB625" s="551"/>
    </row>
    <row r="626" spans="1:28" ht="15.75" hidden="1" x14ac:dyDescent="0.25">
      <c r="A626" s="1127">
        <v>2</v>
      </c>
      <c r="B626" s="1986" t="s">
        <v>1742</v>
      </c>
      <c r="C626" s="1986"/>
      <c r="D626" s="1986"/>
      <c r="E626" s="1986"/>
      <c r="F626" s="1986"/>
      <c r="G626" s="1420" t="s">
        <v>304</v>
      </c>
      <c r="H626" s="1199"/>
      <c r="I626" s="1200">
        <v>8900</v>
      </c>
      <c r="J626" s="1426">
        <f t="shared" ref="J626" si="10">H626*I626</f>
        <v>0</v>
      </c>
      <c r="L626" s="578"/>
      <c r="M626" s="551"/>
      <c r="N626" s="551"/>
      <c r="O626" s="1254"/>
      <c r="P626" s="1254"/>
      <c r="Q626" s="1254"/>
      <c r="R626" s="1138"/>
      <c r="S626" s="1139"/>
      <c r="T626" s="1140"/>
      <c r="U626" s="551"/>
      <c r="V626" s="551"/>
      <c r="W626" s="551"/>
      <c r="X626" s="551"/>
      <c r="Y626" s="551"/>
      <c r="Z626" s="551"/>
      <c r="AA626" s="551"/>
      <c r="AB626" s="551"/>
    </row>
    <row r="627" spans="1:28" hidden="1" x14ac:dyDescent="0.25">
      <c r="A627" s="2278" t="s">
        <v>39</v>
      </c>
      <c r="B627" s="2278"/>
      <c r="C627" s="2278"/>
      <c r="D627" s="2278"/>
      <c r="E627" s="2278"/>
      <c r="F627" s="2278"/>
      <c r="G627" s="2278"/>
      <c r="H627" s="1190" t="s">
        <v>5</v>
      </c>
      <c r="I627" s="1190" t="s">
        <v>5</v>
      </c>
      <c r="J627" s="1192">
        <f>SUM(J625:J626)</f>
        <v>0</v>
      </c>
      <c r="K627" s="582"/>
      <c r="L627" s="564"/>
      <c r="M627" s="551"/>
      <c r="N627" s="551"/>
      <c r="O627" s="551"/>
      <c r="P627" s="551"/>
      <c r="Q627" s="551"/>
      <c r="R627" s="551"/>
      <c r="S627" s="551"/>
      <c r="T627" s="551"/>
      <c r="U627" s="551"/>
      <c r="V627" s="551"/>
      <c r="W627" s="551"/>
      <c r="X627" s="551"/>
      <c r="Y627" s="551"/>
      <c r="Z627" s="551"/>
      <c r="AA627" s="551"/>
      <c r="AB627" s="551"/>
    </row>
    <row r="628" spans="1:28" hidden="1" x14ac:dyDescent="0.25">
      <c r="A628" s="560"/>
      <c r="B628" s="560"/>
      <c r="C628" s="560"/>
      <c r="D628" s="560"/>
      <c r="E628" s="560"/>
      <c r="F628" s="560"/>
      <c r="G628" s="560"/>
      <c r="H628" s="554"/>
      <c r="I628" s="554"/>
      <c r="J628" s="554"/>
      <c r="K628" s="582"/>
      <c r="L628" s="564"/>
      <c r="M628" s="551"/>
      <c r="N628" s="551"/>
      <c r="O628" s="551"/>
      <c r="P628" s="551"/>
      <c r="Q628" s="551"/>
      <c r="R628" s="551"/>
      <c r="S628" s="551"/>
      <c r="T628" s="551"/>
      <c r="U628" s="551"/>
      <c r="V628" s="551"/>
      <c r="W628" s="551"/>
      <c r="X628" s="551"/>
      <c r="Y628" s="551"/>
      <c r="Z628" s="551"/>
      <c r="AA628" s="551"/>
      <c r="AB628" s="551"/>
    </row>
    <row r="629" spans="1:28" hidden="1" x14ac:dyDescent="0.25">
      <c r="A629" s="507" t="s">
        <v>63</v>
      </c>
      <c r="B629" s="504"/>
      <c r="C629" s="504"/>
      <c r="D629" s="508"/>
      <c r="E629" s="563" t="s">
        <v>99</v>
      </c>
      <c r="J629" s="511">
        <f>J630</f>
        <v>0</v>
      </c>
      <c r="L629" s="551"/>
      <c r="M629" s="552"/>
      <c r="N629" s="551"/>
      <c r="O629" s="551"/>
      <c r="P629" s="551"/>
      <c r="Q629" s="551"/>
      <c r="R629" s="551"/>
      <c r="S629" s="551"/>
      <c r="T629" s="551"/>
      <c r="U629" s="551"/>
      <c r="V629" s="551"/>
      <c r="W629" s="551"/>
      <c r="X629" s="551"/>
      <c r="Y629" s="551"/>
      <c r="Z629" s="551"/>
      <c r="AA629" s="551"/>
      <c r="AB629" s="551"/>
    </row>
    <row r="630" spans="1:28" hidden="1" x14ac:dyDescent="0.25">
      <c r="A630" s="786" t="s">
        <v>26</v>
      </c>
      <c r="B630" s="794"/>
      <c r="C630" s="794"/>
      <c r="D630" s="935"/>
      <c r="E630" s="793" t="s">
        <v>624</v>
      </c>
      <c r="F630" s="787"/>
      <c r="G630" s="787"/>
      <c r="H630" s="788"/>
      <c r="I630" s="986"/>
      <c r="J630" s="789">
        <f>J639</f>
        <v>0</v>
      </c>
      <c r="L630" s="552"/>
      <c r="M630" s="551"/>
      <c r="N630" s="551"/>
      <c r="O630" s="551"/>
      <c r="P630" s="551"/>
      <c r="Q630" s="551"/>
      <c r="R630" s="551"/>
      <c r="S630" s="551"/>
      <c r="T630" s="551"/>
      <c r="U630" s="551"/>
      <c r="V630" s="551"/>
      <c r="W630" s="551"/>
      <c r="X630" s="551"/>
      <c r="Y630" s="551"/>
      <c r="Z630" s="551"/>
      <c r="AA630" s="551"/>
      <c r="AB630" s="551"/>
    </row>
    <row r="631" spans="1:28" hidden="1" x14ac:dyDescent="0.25">
      <c r="A631" s="507" t="s">
        <v>27</v>
      </c>
      <c r="B631" s="504"/>
      <c r="C631" s="504"/>
      <c r="D631" s="508"/>
      <c r="E631" s="509" t="s">
        <v>1477</v>
      </c>
      <c r="J631" s="511"/>
      <c r="K631" s="551"/>
      <c r="L631" s="551"/>
      <c r="M631" s="551"/>
      <c r="N631" s="551"/>
      <c r="O631" s="551"/>
      <c r="P631" s="551"/>
      <c r="Q631" s="551"/>
      <c r="R631" s="551"/>
      <c r="S631" s="551"/>
      <c r="T631" s="551"/>
      <c r="U631" s="551"/>
      <c r="V631" s="551"/>
      <c r="W631" s="551"/>
      <c r="X631" s="551"/>
      <c r="Y631" s="551"/>
      <c r="Z631" s="551"/>
      <c r="AA631" s="551"/>
      <c r="AB631" s="551"/>
    </row>
    <row r="632" spans="1:28" hidden="1" x14ac:dyDescent="0.25">
      <c r="A632" s="1449" t="s">
        <v>327</v>
      </c>
      <c r="K632" s="551"/>
      <c r="L632" s="551"/>
      <c r="M632" s="551"/>
      <c r="N632" s="551"/>
      <c r="O632" s="551"/>
      <c r="P632" s="551"/>
      <c r="Q632" s="551"/>
      <c r="R632" s="551"/>
      <c r="S632" s="551"/>
      <c r="T632" s="551"/>
      <c r="U632" s="551"/>
      <c r="V632" s="551"/>
      <c r="W632" s="551"/>
      <c r="X632" s="551"/>
      <c r="Y632" s="551"/>
      <c r="Z632" s="551"/>
      <c r="AA632" s="551"/>
      <c r="AB632" s="551"/>
    </row>
    <row r="633" spans="1:28" hidden="1" x14ac:dyDescent="0.25">
      <c r="A633" s="2183" t="s">
        <v>8</v>
      </c>
      <c r="B633" s="2183" t="s">
        <v>35</v>
      </c>
      <c r="C633" s="2183"/>
      <c r="D633" s="2183"/>
      <c r="E633" s="2183"/>
      <c r="F633" s="2183"/>
      <c r="G633" s="2183" t="s">
        <v>61</v>
      </c>
      <c r="H633" s="2184" t="s">
        <v>1476</v>
      </c>
      <c r="I633" s="2185"/>
      <c r="J633" s="2186"/>
      <c r="K633" s="551"/>
      <c r="L633" s="551"/>
      <c r="M633" s="551"/>
      <c r="N633" s="551"/>
      <c r="O633" s="551"/>
      <c r="P633" s="551"/>
      <c r="Q633" s="551"/>
      <c r="R633" s="551"/>
      <c r="S633" s="551"/>
      <c r="T633" s="551"/>
      <c r="U633" s="551"/>
      <c r="V633" s="551"/>
      <c r="W633" s="551"/>
      <c r="X633" s="551"/>
      <c r="Y633" s="551"/>
      <c r="Z633" s="551"/>
      <c r="AA633" s="551"/>
      <c r="AB633" s="551"/>
    </row>
    <row r="634" spans="1:28" ht="32.25" hidden="1" customHeight="1" x14ac:dyDescent="0.25">
      <c r="A634" s="2183"/>
      <c r="B634" s="2183"/>
      <c r="C634" s="2183"/>
      <c r="D634" s="2183"/>
      <c r="E634" s="2183"/>
      <c r="F634" s="2183"/>
      <c r="G634" s="2183"/>
      <c r="H634" s="1408" t="s">
        <v>248</v>
      </c>
      <c r="I634" s="1434" t="s">
        <v>264</v>
      </c>
      <c r="J634" s="1434" t="s">
        <v>256</v>
      </c>
      <c r="K634" s="551"/>
      <c r="L634" s="551"/>
      <c r="M634" s="551"/>
      <c r="N634" s="551"/>
      <c r="O634" s="551"/>
      <c r="P634" s="551"/>
      <c r="Q634" s="551"/>
      <c r="R634" s="551"/>
      <c r="S634" s="551"/>
      <c r="T634" s="551"/>
      <c r="U634" s="551"/>
      <c r="V634" s="551"/>
      <c r="W634" s="551"/>
      <c r="X634" s="551"/>
      <c r="Y634" s="551"/>
      <c r="Z634" s="551"/>
      <c r="AA634" s="551"/>
      <c r="AB634" s="551"/>
    </row>
    <row r="635" spans="1:28" hidden="1" x14ac:dyDescent="0.25">
      <c r="A635" s="1447">
        <v>1</v>
      </c>
      <c r="B635" s="2180" t="s">
        <v>730</v>
      </c>
      <c r="C635" s="2180"/>
      <c r="D635" s="2180"/>
      <c r="E635" s="2180"/>
      <c r="F635" s="2180"/>
      <c r="G635" s="1434" t="s">
        <v>303</v>
      </c>
      <c r="H635" s="1434">
        <f>1750-450</f>
        <v>1300</v>
      </c>
      <c r="I635" s="1434">
        <v>57</v>
      </c>
      <c r="J635" s="1434">
        <f>H635*I635</f>
        <v>74100</v>
      </c>
      <c r="K635" s="551"/>
      <c r="L635" s="551"/>
      <c r="M635" s="551"/>
      <c r="N635" s="551"/>
      <c r="O635" s="551"/>
      <c r="P635" s="551"/>
      <c r="Q635" s="551"/>
      <c r="R635" s="551"/>
      <c r="S635" s="551"/>
      <c r="T635" s="551"/>
      <c r="U635" s="551"/>
      <c r="V635" s="551"/>
      <c r="W635" s="551"/>
      <c r="X635" s="551"/>
      <c r="Y635" s="551"/>
      <c r="Z635" s="551"/>
      <c r="AA635" s="551"/>
      <c r="AB635" s="551"/>
    </row>
    <row r="636" spans="1:28" hidden="1" x14ac:dyDescent="0.25">
      <c r="A636" s="2181" t="s">
        <v>39</v>
      </c>
      <c r="B636" s="2181"/>
      <c r="C636" s="2181"/>
      <c r="D636" s="2181"/>
      <c r="E636" s="2181"/>
      <c r="F636" s="2181"/>
      <c r="G636" s="2181"/>
      <c r="H636" s="1437" t="s">
        <v>5</v>
      </c>
      <c r="I636" s="1437" t="s">
        <v>5</v>
      </c>
      <c r="J636" s="1406">
        <f>SUM(J635:J635)</f>
        <v>74100</v>
      </c>
      <c r="K636" s="564"/>
      <c r="L636" s="594"/>
      <c r="M636" s="551"/>
      <c r="N636" s="551"/>
      <c r="O636" s="551"/>
      <c r="P636" s="551"/>
      <c r="Q636" s="551"/>
      <c r="R636" s="551"/>
      <c r="S636" s="551"/>
      <c r="T636" s="551"/>
      <c r="U636" s="551"/>
      <c r="V636" s="551"/>
      <c r="W636" s="551"/>
      <c r="X636" s="551"/>
      <c r="Y636" s="551"/>
      <c r="Z636" s="551"/>
      <c r="AA636" s="551"/>
      <c r="AB636" s="551"/>
    </row>
    <row r="637" spans="1:28" ht="15" hidden="1" customHeight="1" x14ac:dyDescent="0.25">
      <c r="A637" s="2264" t="s">
        <v>514</v>
      </c>
      <c r="B637" s="2265"/>
      <c r="C637" s="2265"/>
      <c r="D637" s="2265"/>
      <c r="E637" s="2265"/>
      <c r="F637" s="2265"/>
      <c r="G637" s="2265"/>
      <c r="H637" s="2265"/>
      <c r="I637" s="2265"/>
      <c r="J637" s="2265"/>
      <c r="K637" s="564"/>
      <c r="L637" s="594"/>
      <c r="M637" s="551"/>
      <c r="N637" s="551"/>
      <c r="O637" s="551"/>
      <c r="P637" s="551"/>
      <c r="Q637" s="551"/>
      <c r="R637" s="551"/>
      <c r="S637" s="551"/>
      <c r="T637" s="551"/>
      <c r="U637" s="551"/>
      <c r="V637" s="551"/>
      <c r="W637" s="551"/>
      <c r="X637" s="551"/>
      <c r="Y637" s="551"/>
      <c r="Z637" s="551"/>
      <c r="AA637" s="551"/>
      <c r="AB637" s="551"/>
    </row>
    <row r="638" spans="1:28" hidden="1" x14ac:dyDescent="0.25">
      <c r="A638" s="2266" t="s">
        <v>1134</v>
      </c>
      <c r="B638" s="2266"/>
      <c r="C638" s="2266"/>
      <c r="D638" s="2266"/>
      <c r="E638" s="2266"/>
      <c r="F638" s="2266"/>
      <c r="G638" s="2266"/>
      <c r="H638" s="2266"/>
      <c r="I638" s="2266"/>
      <c r="J638" s="1435">
        <v>0</v>
      </c>
      <c r="K638" s="564"/>
      <c r="L638" s="594"/>
      <c r="M638" s="551"/>
      <c r="N638" s="551"/>
      <c r="O638" s="551"/>
      <c r="P638" s="551"/>
      <c r="Q638" s="551"/>
      <c r="R638" s="551"/>
      <c r="S638" s="551"/>
      <c r="T638" s="551"/>
      <c r="U638" s="551"/>
      <c r="V638" s="551"/>
      <c r="W638" s="551"/>
      <c r="X638" s="551"/>
      <c r="Y638" s="551"/>
      <c r="Z638" s="551"/>
      <c r="AA638" s="551"/>
      <c r="AB638" s="551"/>
    </row>
    <row r="639" spans="1:28" hidden="1" x14ac:dyDescent="0.25">
      <c r="A639" s="2266" t="s">
        <v>153</v>
      </c>
      <c r="B639" s="2266"/>
      <c r="C639" s="2266"/>
      <c r="D639" s="2266"/>
      <c r="E639" s="2266"/>
      <c r="F639" s="2266"/>
      <c r="G639" s="2266"/>
      <c r="H639" s="2266"/>
      <c r="I639" s="2266"/>
      <c r="J639" s="1403"/>
      <c r="K639" s="564">
        <v>0</v>
      </c>
      <c r="L639" s="859">
        <f>J639-K639</f>
        <v>0</v>
      </c>
      <c r="M639" s="551"/>
      <c r="N639" s="551"/>
      <c r="O639" s="551"/>
      <c r="P639" s="551"/>
      <c r="Q639" s="551"/>
      <c r="R639" s="551"/>
      <c r="S639" s="551"/>
      <c r="T639" s="551"/>
      <c r="U639" s="551"/>
      <c r="V639" s="551"/>
      <c r="W639" s="551"/>
      <c r="X639" s="551"/>
      <c r="Y639" s="551"/>
      <c r="Z639" s="551"/>
      <c r="AA639" s="551"/>
      <c r="AB639" s="551"/>
    </row>
    <row r="640" spans="1:28" hidden="1" x14ac:dyDescent="0.25">
      <c r="A640" s="2258" t="s">
        <v>619</v>
      </c>
      <c r="B640" s="2258"/>
      <c r="C640" s="2258"/>
      <c r="D640" s="2258"/>
      <c r="E640" s="2258"/>
      <c r="F640" s="2258"/>
      <c r="G640" s="2258"/>
      <c r="H640" s="2258"/>
      <c r="I640" s="2258"/>
      <c r="J640" s="821"/>
      <c r="K640" s="564">
        <v>0</v>
      </c>
      <c r="L640" s="859">
        <f>J640-K640</f>
        <v>0</v>
      </c>
      <c r="M640" s="551"/>
      <c r="N640" s="551"/>
      <c r="O640" s="551"/>
      <c r="P640" s="551"/>
      <c r="Q640" s="551"/>
      <c r="R640" s="551"/>
      <c r="S640" s="551"/>
      <c r="T640" s="551"/>
      <c r="U640" s="551"/>
      <c r="V640" s="551"/>
      <c r="W640" s="551"/>
      <c r="X640" s="551"/>
      <c r="Y640" s="551"/>
      <c r="Z640" s="551"/>
      <c r="AA640" s="551"/>
      <c r="AB640" s="551"/>
    </row>
    <row r="641" spans="1:28" hidden="1" x14ac:dyDescent="0.25">
      <c r="A641" s="2258" t="s">
        <v>1147</v>
      </c>
      <c r="B641" s="2258"/>
      <c r="C641" s="2258"/>
      <c r="D641" s="2258"/>
      <c r="E641" s="2258"/>
      <c r="F641" s="2258"/>
      <c r="G641" s="2258"/>
      <c r="H641" s="2258"/>
      <c r="I641" s="2258"/>
      <c r="J641" s="360"/>
      <c r="K641" s="564"/>
      <c r="L641" s="594"/>
      <c r="M641" s="551"/>
      <c r="N641" s="551"/>
      <c r="O641" s="551"/>
      <c r="P641" s="551"/>
      <c r="Q641" s="551"/>
      <c r="R641" s="551"/>
      <c r="S641" s="551"/>
      <c r="T641" s="551"/>
      <c r="U641" s="551"/>
      <c r="V641" s="551"/>
      <c r="W641" s="551"/>
      <c r="X641" s="551"/>
      <c r="Y641" s="551"/>
      <c r="Z641" s="551"/>
      <c r="AA641" s="551"/>
      <c r="AB641" s="551"/>
    </row>
    <row r="642" spans="1:28" hidden="1" x14ac:dyDescent="0.25">
      <c r="A642" s="657"/>
      <c r="B642" s="657"/>
      <c r="C642" s="657"/>
      <c r="D642" s="657"/>
      <c r="E642" s="657"/>
      <c r="F642" s="657"/>
      <c r="G642" s="657"/>
      <c r="H642" s="657"/>
      <c r="I642" s="657"/>
      <c r="J642" s="596"/>
      <c r="K642" s="564">
        <f>K639</f>
        <v>0</v>
      </c>
      <c r="L642" s="594"/>
      <c r="M642" s="551"/>
      <c r="N642" s="551"/>
      <c r="O642" s="551"/>
      <c r="P642" s="551"/>
      <c r="Q642" s="551"/>
      <c r="R642" s="551"/>
      <c r="S642" s="551"/>
      <c r="T642" s="551"/>
      <c r="U642" s="551"/>
      <c r="V642" s="551"/>
      <c r="W642" s="551"/>
      <c r="X642" s="551"/>
      <c r="Y642" s="551"/>
      <c r="Z642" s="551"/>
      <c r="AA642" s="551"/>
      <c r="AB642" s="551"/>
    </row>
    <row r="643" spans="1:28" x14ac:dyDescent="0.25">
      <c r="A643" s="507" t="s">
        <v>63</v>
      </c>
      <c r="B643" s="504"/>
      <c r="C643" s="504"/>
      <c r="D643" s="508"/>
      <c r="E643" s="563" t="s">
        <v>127</v>
      </c>
      <c r="F643" s="560"/>
      <c r="G643" s="560"/>
      <c r="H643" s="554"/>
      <c r="I643" s="554"/>
      <c r="J643" s="554">
        <f>J644+J657</f>
        <v>150560</v>
      </c>
      <c r="K643" s="582"/>
      <c r="M643" s="551"/>
      <c r="N643" s="747"/>
      <c r="O643" s="551"/>
      <c r="P643" s="551"/>
      <c r="Q643" s="551"/>
      <c r="R643" s="551"/>
      <c r="S643" s="551"/>
      <c r="T643" s="551"/>
      <c r="U643" s="551"/>
      <c r="V643" s="551"/>
      <c r="W643" s="551"/>
      <c r="X643" s="551"/>
      <c r="Y643" s="551"/>
      <c r="Z643" s="551"/>
      <c r="AA643" s="551"/>
      <c r="AB643" s="551"/>
    </row>
    <row r="644" spans="1:28" x14ac:dyDescent="0.25">
      <c r="A644" s="786" t="s">
        <v>26</v>
      </c>
      <c r="B644" s="794"/>
      <c r="C644" s="935"/>
      <c r="D644" s="935"/>
      <c r="E644" s="793" t="s">
        <v>624</v>
      </c>
      <c r="F644" s="787"/>
      <c r="G644" s="787"/>
      <c r="H644" s="788"/>
      <c r="I644" s="986"/>
      <c r="J644" s="789">
        <f>J655</f>
        <v>150560</v>
      </c>
      <c r="K644" s="582"/>
      <c r="M644" s="551"/>
      <c r="N644" s="747"/>
      <c r="O644" s="551"/>
      <c r="P644" s="551"/>
      <c r="Q644" s="551"/>
      <c r="R644" s="551"/>
      <c r="S644" s="551"/>
      <c r="T644" s="551"/>
      <c r="U644" s="551"/>
      <c r="V644" s="551"/>
      <c r="W644" s="551"/>
      <c r="X644" s="551"/>
      <c r="Y644" s="551"/>
      <c r="Z644" s="551"/>
      <c r="AA644" s="551"/>
      <c r="AB644" s="551"/>
    </row>
    <row r="645" spans="1:28" x14ac:dyDescent="0.25">
      <c r="A645" s="1458" t="s">
        <v>27</v>
      </c>
      <c r="B645" s="72"/>
      <c r="C645" s="75"/>
      <c r="D645" s="75"/>
      <c r="E645" s="71" t="s">
        <v>1830</v>
      </c>
      <c r="F645" s="1457"/>
      <c r="G645" s="1457"/>
      <c r="H645" s="60"/>
      <c r="I645" s="69"/>
      <c r="J645" s="85">
        <f>J655</f>
        <v>150560</v>
      </c>
      <c r="K645" s="582"/>
      <c r="M645" s="551"/>
      <c r="N645" s="747"/>
      <c r="O645" s="551"/>
      <c r="P645" s="551"/>
      <c r="Q645" s="551"/>
      <c r="R645" s="551"/>
      <c r="S645" s="551"/>
      <c r="T645" s="551"/>
      <c r="U645" s="551"/>
      <c r="V645" s="551"/>
      <c r="W645" s="551"/>
      <c r="X645" s="551"/>
      <c r="Y645" s="551"/>
      <c r="Z645" s="551"/>
      <c r="AA645" s="551"/>
      <c r="AB645" s="551"/>
    </row>
    <row r="646" spans="1:28" x14ac:dyDescent="0.25">
      <c r="A646" s="1457" t="s">
        <v>1933</v>
      </c>
      <c r="B646" s="72"/>
      <c r="C646" s="75"/>
      <c r="D646" s="75"/>
      <c r="E646" s="71"/>
      <c r="F646" s="1457"/>
      <c r="G646" s="1457"/>
      <c r="H646" s="60"/>
      <c r="I646" s="69"/>
      <c r="J646" s="85"/>
      <c r="K646" s="582"/>
      <c r="M646" s="551"/>
      <c r="N646" s="747"/>
      <c r="O646" s="551"/>
      <c r="P646" s="551"/>
      <c r="Q646" s="551"/>
      <c r="R646" s="551"/>
      <c r="S646" s="551"/>
      <c r="T646" s="551"/>
      <c r="U646" s="551"/>
      <c r="V646" s="551"/>
      <c r="W646" s="551"/>
      <c r="X646" s="551"/>
      <c r="Y646" s="551"/>
      <c r="Z646" s="551"/>
      <c r="AA646" s="551"/>
      <c r="AB646" s="551"/>
    </row>
    <row r="647" spans="1:28" x14ac:dyDescent="0.25">
      <c r="A647" s="2170" t="s">
        <v>8</v>
      </c>
      <c r="B647" s="2170" t="s">
        <v>35</v>
      </c>
      <c r="C647" s="2170"/>
      <c r="D647" s="2170"/>
      <c r="E647" s="2170"/>
      <c r="F647" s="2170"/>
      <c r="G647" s="2170" t="s">
        <v>61</v>
      </c>
      <c r="H647" s="2193" t="s">
        <v>2048</v>
      </c>
      <c r="I647" s="2240"/>
      <c r="J647" s="2179"/>
      <c r="K647" s="582"/>
      <c r="M647" s="551"/>
      <c r="N647" s="747"/>
      <c r="O647" s="551"/>
      <c r="P647" s="551"/>
      <c r="Q647" s="551"/>
      <c r="R647" s="551"/>
      <c r="S647" s="551"/>
      <c r="T647" s="551"/>
      <c r="U647" s="551"/>
      <c r="V647" s="551"/>
      <c r="W647" s="551"/>
      <c r="X647" s="551"/>
      <c r="Y647" s="551"/>
      <c r="Z647" s="551"/>
      <c r="AA647" s="551"/>
      <c r="AB647" s="551"/>
    </row>
    <row r="648" spans="1:28" ht="30" x14ac:dyDescent="0.25">
      <c r="A648" s="2170"/>
      <c r="B648" s="2170"/>
      <c r="C648" s="2170"/>
      <c r="D648" s="2170"/>
      <c r="E648" s="2170"/>
      <c r="F648" s="2170"/>
      <c r="G648" s="2170"/>
      <c r="H648" s="1410" t="s">
        <v>248</v>
      </c>
      <c r="I648" s="1420" t="s">
        <v>264</v>
      </c>
      <c r="J648" s="1420" t="s">
        <v>256</v>
      </c>
      <c r="K648" s="582"/>
      <c r="M648" s="551"/>
      <c r="N648" s="747"/>
      <c r="O648" s="551"/>
      <c r="P648" s="551"/>
      <c r="Q648" s="551"/>
      <c r="R648" s="551"/>
      <c r="S648" s="551"/>
      <c r="T648" s="551"/>
      <c r="U648" s="551"/>
      <c r="V648" s="551"/>
      <c r="W648" s="551"/>
      <c r="X648" s="551"/>
      <c r="Y648" s="551"/>
      <c r="Z648" s="551"/>
      <c r="AA648" s="551"/>
      <c r="AB648" s="551"/>
    </row>
    <row r="649" spans="1:28" x14ac:dyDescent="0.25">
      <c r="A649" s="1141">
        <v>1</v>
      </c>
      <c r="B649" s="1986" t="s">
        <v>1934</v>
      </c>
      <c r="C649" s="1986"/>
      <c r="D649" s="1986"/>
      <c r="E649" s="1986"/>
      <c r="F649" s="1986"/>
      <c r="G649" s="1426" t="s">
        <v>1935</v>
      </c>
      <c r="H649" s="1364">
        <v>2</v>
      </c>
      <c r="I649" s="1426">
        <v>1550</v>
      </c>
      <c r="J649" s="1426">
        <f t="shared" ref="J649:J654" si="11">H649*I649</f>
        <v>3100</v>
      </c>
      <c r="K649" s="582"/>
      <c r="M649" s="551"/>
      <c r="N649" s="747"/>
      <c r="O649" s="551"/>
      <c r="P649" s="551"/>
      <c r="Q649" s="551"/>
      <c r="R649" s="551"/>
      <c r="S649" s="551"/>
      <c r="T649" s="551"/>
      <c r="U649" s="551"/>
      <c r="V649" s="551"/>
      <c r="W649" s="551"/>
      <c r="X649" s="551"/>
      <c r="Y649" s="551"/>
      <c r="Z649" s="551"/>
      <c r="AA649" s="551"/>
      <c r="AB649" s="551"/>
    </row>
    <row r="650" spans="1:28" x14ac:dyDescent="0.25">
      <c r="A650" s="1141">
        <v>2</v>
      </c>
      <c r="B650" s="1986" t="s">
        <v>1936</v>
      </c>
      <c r="C650" s="1986"/>
      <c r="D650" s="1986"/>
      <c r="E650" s="1986"/>
      <c r="F650" s="1986"/>
      <c r="G650" s="1426" t="s">
        <v>304</v>
      </c>
      <c r="H650" s="1364">
        <v>65</v>
      </c>
      <c r="I650" s="1426">
        <v>2100</v>
      </c>
      <c r="J650" s="1426">
        <f t="shared" si="11"/>
        <v>136500</v>
      </c>
      <c r="K650" s="582"/>
      <c r="M650" s="551"/>
      <c r="N650" s="747"/>
      <c r="O650" s="551"/>
      <c r="P650" s="551"/>
      <c r="Q650" s="551"/>
      <c r="R650" s="551"/>
      <c r="S650" s="551"/>
      <c r="T650" s="551"/>
      <c r="U650" s="551"/>
      <c r="V650" s="551"/>
      <c r="W650" s="551"/>
      <c r="X650" s="551"/>
      <c r="Y650" s="551"/>
      <c r="Z650" s="551"/>
      <c r="AA650" s="551"/>
      <c r="AB650" s="551"/>
    </row>
    <row r="651" spans="1:28" x14ac:dyDescent="0.25">
      <c r="A651" s="1141">
        <v>3</v>
      </c>
      <c r="B651" s="1986" t="s">
        <v>1940</v>
      </c>
      <c r="C651" s="1986"/>
      <c r="D651" s="1986"/>
      <c r="E651" s="1986"/>
      <c r="F651" s="1986"/>
      <c r="G651" s="1426" t="s">
        <v>304</v>
      </c>
      <c r="H651" s="1364">
        <v>2</v>
      </c>
      <c r="I651" s="1426">
        <v>2150</v>
      </c>
      <c r="J651" s="1426">
        <f t="shared" si="11"/>
        <v>4300</v>
      </c>
      <c r="K651" s="582"/>
      <c r="M651" s="551"/>
      <c r="N651" s="747"/>
      <c r="O651" s="551"/>
      <c r="P651" s="551"/>
      <c r="Q651" s="551"/>
      <c r="R651" s="551"/>
      <c r="S651" s="551"/>
      <c r="T651" s="551"/>
      <c r="U651" s="551"/>
      <c r="V651" s="551"/>
      <c r="W651" s="551"/>
      <c r="X651" s="551"/>
      <c r="Y651" s="551"/>
      <c r="Z651" s="551"/>
      <c r="AA651" s="551"/>
      <c r="AB651" s="551"/>
    </row>
    <row r="652" spans="1:28" x14ac:dyDescent="0.25">
      <c r="A652" s="1141">
        <v>4</v>
      </c>
      <c r="B652" s="1986" t="s">
        <v>1937</v>
      </c>
      <c r="C652" s="1986"/>
      <c r="D652" s="1986"/>
      <c r="E652" s="1986"/>
      <c r="F652" s="1986"/>
      <c r="G652" s="1426" t="s">
        <v>1931</v>
      </c>
      <c r="H652" s="1364">
        <v>18</v>
      </c>
      <c r="I652" s="1426">
        <v>120</v>
      </c>
      <c r="J652" s="1426">
        <f t="shared" si="11"/>
        <v>2160</v>
      </c>
      <c r="K652" s="582"/>
      <c r="M652" s="551"/>
      <c r="N652" s="747"/>
      <c r="O652" s="551"/>
      <c r="P652" s="551"/>
      <c r="Q652" s="551"/>
      <c r="R652" s="551"/>
      <c r="S652" s="551"/>
      <c r="T652" s="551"/>
      <c r="U652" s="551"/>
      <c r="V652" s="551"/>
      <c r="W652" s="551"/>
      <c r="X652" s="551"/>
      <c r="Y652" s="551"/>
      <c r="Z652" s="551"/>
      <c r="AA652" s="551"/>
      <c r="AB652" s="551"/>
    </row>
    <row r="653" spans="1:28" x14ac:dyDescent="0.25">
      <c r="A653" s="1141">
        <v>5</v>
      </c>
      <c r="B653" s="1986" t="s">
        <v>1938</v>
      </c>
      <c r="C653" s="1986"/>
      <c r="D653" s="1986"/>
      <c r="E653" s="1986"/>
      <c r="F653" s="1986"/>
      <c r="G653" s="1426" t="s">
        <v>1935</v>
      </c>
      <c r="H653" s="1364">
        <v>2</v>
      </c>
      <c r="I653" s="1426">
        <v>1250</v>
      </c>
      <c r="J653" s="1426">
        <f t="shared" si="11"/>
        <v>2500</v>
      </c>
      <c r="K653" s="582"/>
      <c r="M653" s="551"/>
      <c r="N653" s="747"/>
      <c r="O653" s="551"/>
      <c r="P653" s="551"/>
      <c r="Q653" s="551"/>
      <c r="R653" s="551"/>
      <c r="S653" s="551"/>
      <c r="T653" s="551"/>
      <c r="U653" s="551"/>
      <c r="V653" s="551"/>
      <c r="W653" s="551"/>
      <c r="X653" s="551"/>
      <c r="Y653" s="551"/>
      <c r="Z653" s="551"/>
      <c r="AA653" s="551"/>
      <c r="AB653" s="551"/>
    </row>
    <row r="654" spans="1:28" x14ac:dyDescent="0.25">
      <c r="A654" s="1141">
        <v>6</v>
      </c>
      <c r="B654" s="1986" t="s">
        <v>1939</v>
      </c>
      <c r="C654" s="1986"/>
      <c r="D654" s="1986"/>
      <c r="E654" s="1986"/>
      <c r="F654" s="1986"/>
      <c r="G654" s="1426" t="s">
        <v>304</v>
      </c>
      <c r="H654" s="1364">
        <v>2</v>
      </c>
      <c r="I654" s="1426">
        <v>1000</v>
      </c>
      <c r="J654" s="1426">
        <f t="shared" si="11"/>
        <v>2000</v>
      </c>
      <c r="K654" s="582"/>
      <c r="M654" s="551"/>
      <c r="N654" s="747"/>
      <c r="O654" s="551"/>
      <c r="P654" s="551"/>
      <c r="Q654" s="551"/>
      <c r="R654" s="551"/>
      <c r="S654" s="551"/>
      <c r="T654" s="551"/>
      <c r="U654" s="551"/>
      <c r="V654" s="551"/>
      <c r="W654" s="551"/>
      <c r="X654" s="551"/>
      <c r="Y654" s="551"/>
      <c r="Z654" s="551"/>
      <c r="AA654" s="551"/>
      <c r="AB654" s="551"/>
    </row>
    <row r="655" spans="1:28" x14ac:dyDescent="0.25">
      <c r="A655" s="1993" t="s">
        <v>39</v>
      </c>
      <c r="B655" s="1993"/>
      <c r="C655" s="1993"/>
      <c r="D655" s="1993"/>
      <c r="E655" s="1993"/>
      <c r="F655" s="1993"/>
      <c r="G655" s="1993"/>
      <c r="H655" s="1192" t="s">
        <v>5</v>
      </c>
      <c r="I655" s="1192" t="s">
        <v>5</v>
      </c>
      <c r="J655" s="1192">
        <f>SUM(J649:J654)</f>
        <v>150560</v>
      </c>
      <c r="K655" s="582"/>
      <c r="M655" s="551"/>
      <c r="N655" s="747"/>
      <c r="O655" s="551"/>
      <c r="P655" s="551"/>
      <c r="Q655" s="551"/>
      <c r="R655" s="551"/>
      <c r="S655" s="551"/>
      <c r="T655" s="551"/>
      <c r="U655" s="551"/>
      <c r="V655" s="551"/>
      <c r="W655" s="551"/>
      <c r="X655" s="551"/>
      <c r="Y655" s="551"/>
      <c r="Z655" s="551"/>
      <c r="AA655" s="551"/>
      <c r="AB655" s="551"/>
    </row>
    <row r="656" spans="1:28" x14ac:dyDescent="0.25">
      <c r="A656" s="507"/>
      <c r="B656" s="504"/>
      <c r="C656" s="504"/>
      <c r="D656" s="508"/>
      <c r="E656" s="563"/>
      <c r="F656" s="560"/>
      <c r="G656" s="560"/>
      <c r="H656" s="554"/>
      <c r="I656" s="554"/>
      <c r="J656" s="554"/>
      <c r="K656" s="582"/>
      <c r="M656" s="551"/>
      <c r="N656" s="747"/>
      <c r="O656" s="551"/>
      <c r="P656" s="551"/>
      <c r="Q656" s="551"/>
      <c r="R656" s="551"/>
      <c r="S656" s="551"/>
      <c r="T656" s="551"/>
      <c r="U656" s="551"/>
      <c r="V656" s="551"/>
      <c r="W656" s="551"/>
      <c r="X656" s="551"/>
      <c r="Y656" s="551"/>
      <c r="Z656" s="551"/>
      <c r="AA656" s="551"/>
      <c r="AB656" s="551"/>
    </row>
    <row r="657" spans="1:28" hidden="1" x14ac:dyDescent="0.25">
      <c r="A657" s="973" t="s">
        <v>26</v>
      </c>
      <c r="B657" s="981"/>
      <c r="C657" s="981"/>
      <c r="D657" s="981"/>
      <c r="E657" s="975" t="s">
        <v>626</v>
      </c>
      <c r="F657" s="976"/>
      <c r="G657" s="983"/>
      <c r="H657" s="984"/>
      <c r="I657" s="984"/>
      <c r="J657" s="984">
        <f>J666</f>
        <v>0</v>
      </c>
      <c r="K657" s="582"/>
      <c r="L657" s="551"/>
      <c r="M657" s="551"/>
      <c r="N657" s="551"/>
      <c r="O657" s="551"/>
      <c r="P657" s="551"/>
      <c r="Q657" s="551"/>
      <c r="R657" s="551"/>
      <c r="S657" s="551"/>
      <c r="T657" s="551"/>
      <c r="U657" s="551"/>
      <c r="V657" s="551"/>
      <c r="W657" s="551"/>
      <c r="X657" s="551"/>
      <c r="Y657" s="551"/>
      <c r="Z657" s="551"/>
      <c r="AA657" s="551"/>
      <c r="AB657" s="551"/>
    </row>
    <row r="658" spans="1:28" hidden="1" x14ac:dyDescent="0.25">
      <c r="A658" s="507" t="s">
        <v>27</v>
      </c>
      <c r="B658" s="504"/>
      <c r="C658" s="504"/>
      <c r="D658" s="504"/>
      <c r="E658" s="509" t="s">
        <v>67</v>
      </c>
      <c r="G658" s="560"/>
      <c r="H658" s="554"/>
      <c r="I658" s="554"/>
      <c r="J658" s="554"/>
      <c r="K658" s="582"/>
      <c r="L658" s="551"/>
      <c r="M658" s="551"/>
      <c r="N658" s="551"/>
      <c r="O658" s="551"/>
      <c r="P658" s="551"/>
      <c r="Q658" s="551"/>
      <c r="R658" s="551"/>
      <c r="S658" s="551"/>
      <c r="T658" s="551"/>
      <c r="U658" s="551"/>
      <c r="V658" s="551"/>
      <c r="W658" s="551"/>
      <c r="X658" s="551"/>
      <c r="Y658" s="551"/>
      <c r="Z658" s="551"/>
      <c r="AA658" s="551"/>
      <c r="AB658" s="551"/>
    </row>
    <row r="659" spans="1:28" ht="16.5" hidden="1" customHeight="1" x14ac:dyDescent="0.25">
      <c r="A659" s="1449" t="s">
        <v>1082</v>
      </c>
      <c r="K659" s="582"/>
      <c r="L659" s="551"/>
      <c r="M659" s="551"/>
      <c r="N659" s="551"/>
      <c r="O659" s="551"/>
      <c r="P659" s="551"/>
      <c r="Q659" s="551"/>
      <c r="R659" s="551"/>
      <c r="S659" s="551"/>
      <c r="T659" s="551"/>
      <c r="U659" s="551"/>
      <c r="V659" s="551"/>
      <c r="W659" s="551"/>
      <c r="X659" s="551"/>
      <c r="Y659" s="551"/>
      <c r="Z659" s="551"/>
      <c r="AA659" s="551"/>
      <c r="AB659" s="551"/>
    </row>
    <row r="660" spans="1:28" hidden="1" x14ac:dyDescent="0.25">
      <c r="A660" s="2183" t="s">
        <v>8</v>
      </c>
      <c r="B660" s="2183" t="s">
        <v>35</v>
      </c>
      <c r="C660" s="2183"/>
      <c r="D660" s="2183"/>
      <c r="E660" s="2183"/>
      <c r="F660" s="2183"/>
      <c r="G660" s="2183" t="s">
        <v>61</v>
      </c>
      <c r="H660" s="2184" t="s">
        <v>735</v>
      </c>
      <c r="I660" s="2185"/>
      <c r="J660" s="2186"/>
      <c r="K660" s="582"/>
      <c r="L660" s="551"/>
      <c r="M660" s="551"/>
      <c r="N660" s="551"/>
      <c r="O660" s="551"/>
      <c r="P660" s="551"/>
      <c r="Q660" s="551"/>
      <c r="R660" s="551"/>
      <c r="S660" s="551"/>
      <c r="T660" s="551"/>
      <c r="U660" s="551"/>
      <c r="V660" s="551"/>
      <c r="W660" s="551"/>
      <c r="X660" s="551"/>
      <c r="Y660" s="551"/>
      <c r="Z660" s="551"/>
      <c r="AA660" s="551"/>
      <c r="AB660" s="551"/>
    </row>
    <row r="661" spans="1:28" ht="31.5" hidden="1" customHeight="1" x14ac:dyDescent="0.25">
      <c r="A661" s="2183"/>
      <c r="B661" s="2183"/>
      <c r="C661" s="2183"/>
      <c r="D661" s="2183"/>
      <c r="E661" s="2183"/>
      <c r="F661" s="2183"/>
      <c r="G661" s="2183"/>
      <c r="H661" s="1408" t="s">
        <v>248</v>
      </c>
      <c r="I661" s="1434" t="s">
        <v>264</v>
      </c>
      <c r="J661" s="1434" t="s">
        <v>256</v>
      </c>
      <c r="K661" s="582"/>
      <c r="L661" s="551"/>
      <c r="M661" s="551"/>
      <c r="N661" s="551"/>
      <c r="O661" s="551"/>
      <c r="P661" s="551"/>
      <c r="Q661" s="551"/>
      <c r="R661" s="551"/>
      <c r="S661" s="551"/>
      <c r="T661" s="551"/>
      <c r="U661" s="551"/>
      <c r="V661" s="551"/>
      <c r="W661" s="551"/>
      <c r="X661" s="551"/>
      <c r="Y661" s="551"/>
      <c r="Z661" s="551"/>
      <c r="AA661" s="551"/>
      <c r="AB661" s="551"/>
    </row>
    <row r="662" spans="1:28" hidden="1" x14ac:dyDescent="0.25">
      <c r="A662" s="1447">
        <v>1</v>
      </c>
      <c r="B662" s="2340" t="s">
        <v>1175</v>
      </c>
      <c r="C662" s="2341"/>
      <c r="D662" s="2341"/>
      <c r="E662" s="2341"/>
      <c r="F662" s="2342"/>
      <c r="G662" s="1434" t="s">
        <v>245</v>
      </c>
      <c r="H662" s="614"/>
      <c r="I662" s="615">
        <v>5333</v>
      </c>
      <c r="J662" s="361">
        <f>H662*I662</f>
        <v>0</v>
      </c>
      <c r="K662" s="582"/>
      <c r="M662" s="551"/>
      <c r="N662" s="551"/>
      <c r="O662" s="551"/>
      <c r="P662" s="551"/>
      <c r="Q662" s="551"/>
      <c r="R662" s="551"/>
      <c r="S662" s="551"/>
      <c r="T662" s="551"/>
      <c r="U662" s="551"/>
      <c r="V662" s="551"/>
      <c r="W662" s="551"/>
      <c r="X662" s="551"/>
      <c r="Y662" s="551"/>
      <c r="Z662" s="551"/>
      <c r="AA662" s="551"/>
      <c r="AB662" s="551"/>
    </row>
    <row r="663" spans="1:28" hidden="1" x14ac:dyDescent="0.25">
      <c r="A663" s="1447">
        <v>5</v>
      </c>
      <c r="B663" s="2340" t="s">
        <v>1175</v>
      </c>
      <c r="C663" s="2341"/>
      <c r="D663" s="2341"/>
      <c r="E663" s="2341"/>
      <c r="F663" s="2342"/>
      <c r="G663" s="1434" t="s">
        <v>245</v>
      </c>
      <c r="H663" s="614"/>
      <c r="I663" s="615"/>
      <c r="J663" s="613">
        <f>H663*I663</f>
        <v>0</v>
      </c>
      <c r="K663" s="582"/>
      <c r="M663" s="551"/>
      <c r="N663" s="551"/>
      <c r="O663" s="551"/>
      <c r="P663" s="551"/>
      <c r="Q663" s="551"/>
      <c r="R663" s="551"/>
      <c r="S663" s="551"/>
      <c r="T663" s="551"/>
      <c r="U663" s="551"/>
      <c r="V663" s="551"/>
      <c r="W663" s="551"/>
      <c r="X663" s="551"/>
      <c r="Y663" s="551"/>
      <c r="Z663" s="551"/>
      <c r="AA663" s="551"/>
      <c r="AB663" s="551"/>
    </row>
    <row r="664" spans="1:28" hidden="1" x14ac:dyDescent="0.25">
      <c r="A664" s="1447">
        <v>6</v>
      </c>
      <c r="B664" s="2340" t="s">
        <v>1176</v>
      </c>
      <c r="C664" s="2341"/>
      <c r="D664" s="2341"/>
      <c r="E664" s="2341"/>
      <c r="F664" s="2342"/>
      <c r="G664" s="1434" t="s">
        <v>245</v>
      </c>
      <c r="H664" s="614"/>
      <c r="I664" s="615"/>
      <c r="J664" s="613">
        <f>H664*I664</f>
        <v>0</v>
      </c>
      <c r="K664" s="582"/>
      <c r="M664" s="551"/>
      <c r="N664" s="551"/>
      <c r="O664" s="551"/>
      <c r="P664" s="551"/>
      <c r="Q664" s="551"/>
      <c r="R664" s="551"/>
      <c r="S664" s="551"/>
      <c r="T664" s="551"/>
      <c r="U664" s="551"/>
      <c r="V664" s="551"/>
      <c r="W664" s="551"/>
      <c r="X664" s="551"/>
      <c r="Y664" s="551"/>
      <c r="Z664" s="551"/>
      <c r="AA664" s="551"/>
      <c r="AB664" s="551"/>
    </row>
    <row r="665" spans="1:28" hidden="1" x14ac:dyDescent="0.25">
      <c r="A665" s="1447">
        <v>7</v>
      </c>
      <c r="B665" s="2340" t="s">
        <v>1177</v>
      </c>
      <c r="C665" s="2341"/>
      <c r="D665" s="2341"/>
      <c r="E665" s="2341"/>
      <c r="F665" s="2342"/>
      <c r="G665" s="1434" t="s">
        <v>245</v>
      </c>
      <c r="H665" s="614"/>
      <c r="I665" s="615"/>
      <c r="J665" s="613">
        <f>H665*I665</f>
        <v>0</v>
      </c>
      <c r="K665" s="582"/>
      <c r="M665" s="551"/>
      <c r="N665" s="551"/>
      <c r="O665" s="551"/>
      <c r="P665" s="551"/>
      <c r="Q665" s="551"/>
      <c r="R665" s="551"/>
      <c r="S665" s="551"/>
      <c r="T665" s="551"/>
      <c r="U665" s="551"/>
      <c r="V665" s="551"/>
      <c r="W665" s="551"/>
      <c r="X665" s="551"/>
      <c r="Y665" s="551"/>
      <c r="Z665" s="551"/>
      <c r="AA665" s="551"/>
      <c r="AB665" s="551"/>
    </row>
    <row r="666" spans="1:28" hidden="1" x14ac:dyDescent="0.25">
      <c r="A666" s="2181" t="s">
        <v>39</v>
      </c>
      <c r="B666" s="2181"/>
      <c r="C666" s="2181"/>
      <c r="D666" s="2181"/>
      <c r="E666" s="2181"/>
      <c r="F666" s="2181"/>
      <c r="G666" s="2181"/>
      <c r="H666" s="1437" t="s">
        <v>5</v>
      </c>
      <c r="I666" s="1437" t="s">
        <v>5</v>
      </c>
      <c r="J666" s="1406">
        <f>SUM(J662:J665)</f>
        <v>0</v>
      </c>
      <c r="K666" s="582"/>
      <c r="L666" s="550"/>
      <c r="M666" s="551"/>
      <c r="N666" s="551"/>
      <c r="O666" s="551"/>
      <c r="P666" s="551"/>
      <c r="Q666" s="551"/>
      <c r="R666" s="551"/>
      <c r="S666" s="551"/>
      <c r="T666" s="551"/>
      <c r="U666" s="551"/>
      <c r="V666" s="551"/>
      <c r="W666" s="551"/>
      <c r="X666" s="551"/>
      <c r="Y666" s="551"/>
      <c r="Z666" s="551"/>
      <c r="AA666" s="551"/>
      <c r="AB666" s="551"/>
    </row>
    <row r="667" spans="1:28" hidden="1" x14ac:dyDescent="0.25">
      <c r="A667" s="560"/>
      <c r="B667" s="560"/>
      <c r="C667" s="560"/>
      <c r="D667" s="560"/>
      <c r="E667" s="560"/>
      <c r="F667" s="560"/>
      <c r="G667" s="560"/>
      <c r="H667" s="554"/>
      <c r="I667" s="554"/>
      <c r="J667" s="64"/>
      <c r="K667" s="582"/>
      <c r="L667" s="550"/>
      <c r="M667" s="551"/>
      <c r="N667" s="551"/>
      <c r="O667" s="551"/>
      <c r="P667" s="551"/>
      <c r="Q667" s="551"/>
      <c r="R667" s="551"/>
      <c r="S667" s="551"/>
      <c r="T667" s="551"/>
      <c r="U667" s="551"/>
      <c r="V667" s="551"/>
      <c r="W667" s="551"/>
      <c r="X667" s="551"/>
      <c r="Y667" s="551"/>
      <c r="Z667" s="551"/>
      <c r="AA667" s="551"/>
      <c r="AB667" s="551"/>
    </row>
    <row r="668" spans="1:28" x14ac:dyDescent="0.25">
      <c r="A668" s="507" t="s">
        <v>63</v>
      </c>
      <c r="B668" s="504"/>
      <c r="C668" s="504"/>
      <c r="D668" s="508"/>
      <c r="E668" s="509" t="s">
        <v>81</v>
      </c>
      <c r="J668" s="511">
        <f>J669+J752</f>
        <v>705054.74</v>
      </c>
      <c r="L668" s="551"/>
      <c r="M668" s="552"/>
      <c r="P668" s="551"/>
      <c r="Q668" s="551"/>
      <c r="R668" s="551"/>
      <c r="S668" s="551"/>
      <c r="T668" s="551"/>
      <c r="U668" s="551"/>
      <c r="V668" s="551"/>
      <c r="W668" s="551"/>
      <c r="X668" s="551"/>
      <c r="Y668" s="551"/>
      <c r="Z668" s="551"/>
      <c r="AA668" s="551"/>
      <c r="AB668" s="551"/>
    </row>
    <row r="669" spans="1:28" s="61" customFormat="1" ht="15" customHeight="1" x14ac:dyDescent="0.25">
      <c r="A669" s="786" t="s">
        <v>26</v>
      </c>
      <c r="B669" s="794"/>
      <c r="C669" s="794"/>
      <c r="D669" s="936"/>
      <c r="E669" s="793" t="s">
        <v>624</v>
      </c>
      <c r="F669" s="787"/>
      <c r="G669" s="787"/>
      <c r="H669" s="788"/>
      <c r="I669" s="986"/>
      <c r="J669" s="789">
        <f>J670+J733</f>
        <v>635979.4</v>
      </c>
      <c r="K669" s="341"/>
      <c r="L669" s="2"/>
      <c r="M669" s="81"/>
      <c r="N669" s="341"/>
    </row>
    <row r="670" spans="1:28" x14ac:dyDescent="0.25">
      <c r="A670" s="1458" t="s">
        <v>27</v>
      </c>
      <c r="B670" s="72"/>
      <c r="C670" s="72"/>
      <c r="D670" s="61"/>
      <c r="E670" s="71" t="s">
        <v>1830</v>
      </c>
      <c r="F670" s="1457"/>
      <c r="G670" s="1457"/>
      <c r="H670" s="60"/>
      <c r="I670" s="69"/>
      <c r="J670" s="85">
        <f>J688+J718+J731</f>
        <v>595979.4</v>
      </c>
      <c r="K670" s="341"/>
      <c r="L670" s="828"/>
      <c r="M670" s="573"/>
      <c r="N670" s="829"/>
      <c r="P670" s="551"/>
      <c r="Q670" s="551"/>
      <c r="R670" s="551"/>
      <c r="S670" s="551"/>
      <c r="T670" s="551"/>
      <c r="U670" s="551"/>
      <c r="V670" s="551"/>
      <c r="W670" s="551"/>
      <c r="X670" s="551"/>
      <c r="Y670" s="551"/>
      <c r="Z670" s="551"/>
      <c r="AA670" s="551"/>
      <c r="AB670" s="551"/>
    </row>
    <row r="671" spans="1:28" s="87" customFormat="1" x14ac:dyDescent="0.25">
      <c r="A671" s="1457" t="s">
        <v>1254</v>
      </c>
      <c r="B671" s="72"/>
      <c r="C671" s="75"/>
      <c r="D671" s="75"/>
      <c r="E671" s="71"/>
      <c r="F671" s="1457"/>
      <c r="G671" s="1457"/>
      <c r="H671" s="60"/>
      <c r="I671" s="69"/>
      <c r="J671" s="85"/>
    </row>
    <row r="672" spans="1:28" s="87" customFormat="1" x14ac:dyDescent="0.25">
      <c r="A672" s="1926" t="s">
        <v>8</v>
      </c>
      <c r="B672" s="1926" t="s">
        <v>35</v>
      </c>
      <c r="C672" s="2171"/>
      <c r="D672" s="2171"/>
      <c r="E672" s="2171"/>
      <c r="F672" s="2171"/>
      <c r="G672" s="2183" t="s">
        <v>61</v>
      </c>
      <c r="H672" s="2184" t="s">
        <v>2048</v>
      </c>
      <c r="I672" s="2185"/>
      <c r="J672" s="2186"/>
    </row>
    <row r="673" spans="1:10" s="87" customFormat="1" ht="31.5" customHeight="1" x14ac:dyDescent="0.25">
      <c r="A673" s="2171"/>
      <c r="B673" s="2171"/>
      <c r="C673" s="2171"/>
      <c r="D673" s="2171"/>
      <c r="E673" s="2171"/>
      <c r="F673" s="2171"/>
      <c r="G673" s="2183"/>
      <c r="H673" s="1408" t="s">
        <v>248</v>
      </c>
      <c r="I673" s="1434" t="s">
        <v>264</v>
      </c>
      <c r="J673" s="1434" t="s">
        <v>256</v>
      </c>
    </row>
    <row r="674" spans="1:10" s="87" customFormat="1" ht="15" customHeight="1" x14ac:dyDescent="0.25">
      <c r="A674" s="2143" t="s">
        <v>1253</v>
      </c>
      <c r="B674" s="2164"/>
      <c r="C674" s="2164"/>
      <c r="D674" s="2164"/>
      <c r="E674" s="2164"/>
      <c r="F674" s="2164"/>
      <c r="G674" s="2164"/>
      <c r="H674" s="2164"/>
      <c r="I674" s="2165"/>
      <c r="J674" s="1188">
        <f>SUM(J675:J687)</f>
        <v>156324.6</v>
      </c>
    </row>
    <row r="675" spans="1:10" s="87" customFormat="1" x14ac:dyDescent="0.25">
      <c r="A675" s="1418">
        <v>1</v>
      </c>
      <c r="B675" s="1986" t="s">
        <v>1814</v>
      </c>
      <c r="C675" s="1986"/>
      <c r="D675" s="1986"/>
      <c r="E675" s="1986"/>
      <c r="F675" s="1986"/>
      <c r="G675" s="1145" t="s">
        <v>303</v>
      </c>
      <c r="H675" s="1145">
        <v>16</v>
      </c>
      <c r="I675" s="1146">
        <v>224</v>
      </c>
      <c r="J675" s="1426">
        <f>H675*I675</f>
        <v>3584</v>
      </c>
    </row>
    <row r="676" spans="1:10" s="87" customFormat="1" ht="15" customHeight="1" x14ac:dyDescent="0.25">
      <c r="A676" s="1418">
        <v>2</v>
      </c>
      <c r="B676" s="1986" t="s">
        <v>1815</v>
      </c>
      <c r="C676" s="1986"/>
      <c r="D676" s="1986"/>
      <c r="E676" s="1986"/>
      <c r="F676" s="1986"/>
      <c r="G676" s="1145" t="s">
        <v>303</v>
      </c>
      <c r="H676" s="1145">
        <v>40</v>
      </c>
      <c r="I676" s="1146">
        <v>363</v>
      </c>
      <c r="J676" s="1426">
        <f t="shared" ref="J676:J687" si="12">H676*I676</f>
        <v>14520</v>
      </c>
    </row>
    <row r="677" spans="1:10" s="87" customFormat="1" ht="15" customHeight="1" x14ac:dyDescent="0.25">
      <c r="A677" s="1418">
        <v>3</v>
      </c>
      <c r="B677" s="1986" t="s">
        <v>1816</v>
      </c>
      <c r="C677" s="1986"/>
      <c r="D677" s="1986"/>
      <c r="E677" s="1986"/>
      <c r="F677" s="1986"/>
      <c r="G677" s="1145" t="s">
        <v>934</v>
      </c>
      <c r="H677" s="1145">
        <v>96</v>
      </c>
      <c r="I677" s="1146">
        <v>418</v>
      </c>
      <c r="J677" s="1426">
        <f t="shared" si="12"/>
        <v>40128</v>
      </c>
    </row>
    <row r="678" spans="1:10" s="87" customFormat="1" ht="15" customHeight="1" x14ac:dyDescent="0.25">
      <c r="A678" s="1418">
        <v>4</v>
      </c>
      <c r="B678" s="1986" t="s">
        <v>1817</v>
      </c>
      <c r="C678" s="1986"/>
      <c r="D678" s="1986"/>
      <c r="E678" s="1986"/>
      <c r="F678" s="1986"/>
      <c r="G678" s="1145" t="s">
        <v>303</v>
      </c>
      <c r="H678" s="1145">
        <v>16</v>
      </c>
      <c r="I678" s="1146">
        <v>1694</v>
      </c>
      <c r="J678" s="1426">
        <f t="shared" si="12"/>
        <v>27104</v>
      </c>
    </row>
    <row r="679" spans="1:10" s="87" customFormat="1" ht="15" customHeight="1" x14ac:dyDescent="0.25">
      <c r="A679" s="1418">
        <v>5</v>
      </c>
      <c r="B679" s="1986" t="s">
        <v>1818</v>
      </c>
      <c r="C679" s="1986"/>
      <c r="D679" s="1986"/>
      <c r="E679" s="1986"/>
      <c r="F679" s="1986"/>
      <c r="G679" s="1145" t="s">
        <v>303</v>
      </c>
      <c r="H679" s="1145">
        <v>16</v>
      </c>
      <c r="I679" s="1146">
        <v>1848</v>
      </c>
      <c r="J679" s="1426">
        <f t="shared" si="12"/>
        <v>29568</v>
      </c>
    </row>
    <row r="680" spans="1:10" s="87" customFormat="1" x14ac:dyDescent="0.25">
      <c r="A680" s="1418">
        <v>6</v>
      </c>
      <c r="B680" s="1986" t="s">
        <v>1819</v>
      </c>
      <c r="C680" s="1986"/>
      <c r="D680" s="1986"/>
      <c r="E680" s="1986"/>
      <c r="F680" s="1986"/>
      <c r="G680" s="1145" t="s">
        <v>303</v>
      </c>
      <c r="H680" s="1145">
        <v>16</v>
      </c>
      <c r="I680" s="1146">
        <v>1914</v>
      </c>
      <c r="J680" s="1426">
        <f t="shared" si="12"/>
        <v>30624</v>
      </c>
    </row>
    <row r="681" spans="1:10" s="87" customFormat="1" ht="15" customHeight="1" x14ac:dyDescent="0.25">
      <c r="A681" s="1418">
        <v>7</v>
      </c>
      <c r="B681" s="1986" t="s">
        <v>1820</v>
      </c>
      <c r="C681" s="1986"/>
      <c r="D681" s="1986"/>
      <c r="E681" s="1986"/>
      <c r="F681" s="1986"/>
      <c r="G681" s="1145" t="s">
        <v>934</v>
      </c>
      <c r="H681" s="1145">
        <v>2.5</v>
      </c>
      <c r="I681" s="1146">
        <v>67</v>
      </c>
      <c r="J681" s="1426">
        <f t="shared" si="12"/>
        <v>167.5</v>
      </c>
    </row>
    <row r="682" spans="1:10" s="87" customFormat="1" x14ac:dyDescent="0.25">
      <c r="A682" s="1418">
        <v>8</v>
      </c>
      <c r="B682" s="1986" t="s">
        <v>1821</v>
      </c>
      <c r="C682" s="1986"/>
      <c r="D682" s="1986"/>
      <c r="E682" s="1986"/>
      <c r="F682" s="1986"/>
      <c r="G682" s="1145" t="s">
        <v>934</v>
      </c>
      <c r="H682" s="1145">
        <v>0.2</v>
      </c>
      <c r="I682" s="1146">
        <v>803</v>
      </c>
      <c r="J682" s="1426">
        <f t="shared" si="12"/>
        <v>160.6</v>
      </c>
    </row>
    <row r="683" spans="1:10" s="87" customFormat="1" x14ac:dyDescent="0.25">
      <c r="A683" s="1418">
        <v>9</v>
      </c>
      <c r="B683" s="1986" t="s">
        <v>1822</v>
      </c>
      <c r="C683" s="1986"/>
      <c r="D683" s="1986"/>
      <c r="E683" s="1986"/>
      <c r="F683" s="1986"/>
      <c r="G683" s="1145" t="s">
        <v>303</v>
      </c>
      <c r="H683" s="1145">
        <v>1.5</v>
      </c>
      <c r="I683" s="1146">
        <v>715</v>
      </c>
      <c r="J683" s="1426">
        <f t="shared" si="12"/>
        <v>1072.5</v>
      </c>
    </row>
    <row r="684" spans="1:10" s="87" customFormat="1" x14ac:dyDescent="0.25">
      <c r="A684" s="1418">
        <v>10</v>
      </c>
      <c r="B684" s="1986" t="s">
        <v>1823</v>
      </c>
      <c r="C684" s="1986"/>
      <c r="D684" s="1986"/>
      <c r="E684" s="1986"/>
      <c r="F684" s="1986"/>
      <c r="G684" s="1145" t="s">
        <v>934</v>
      </c>
      <c r="H684" s="1145">
        <v>16</v>
      </c>
      <c r="I684" s="1146">
        <v>165</v>
      </c>
      <c r="J684" s="1426">
        <f t="shared" si="12"/>
        <v>2640</v>
      </c>
    </row>
    <row r="685" spans="1:10" s="87" customFormat="1" x14ac:dyDescent="0.25">
      <c r="A685" s="1418">
        <v>11</v>
      </c>
      <c r="B685" s="1986" t="s">
        <v>1824</v>
      </c>
      <c r="C685" s="1986"/>
      <c r="D685" s="1986"/>
      <c r="E685" s="1986"/>
      <c r="F685" s="1986"/>
      <c r="G685" s="1145" t="s">
        <v>304</v>
      </c>
      <c r="H685" s="1145">
        <v>72</v>
      </c>
      <c r="I685" s="1146">
        <v>8</v>
      </c>
      <c r="J685" s="1426">
        <f t="shared" si="12"/>
        <v>576</v>
      </c>
    </row>
    <row r="686" spans="1:10" s="87" customFormat="1" x14ac:dyDescent="0.25">
      <c r="A686" s="1418">
        <v>12</v>
      </c>
      <c r="B686" s="1986" t="s">
        <v>1825</v>
      </c>
      <c r="C686" s="1986"/>
      <c r="D686" s="1986"/>
      <c r="E686" s="1986"/>
      <c r="F686" s="1986"/>
      <c r="G686" s="1145" t="s">
        <v>304</v>
      </c>
      <c r="H686" s="1145">
        <v>72</v>
      </c>
      <c r="I686" s="1146">
        <v>24</v>
      </c>
      <c r="J686" s="1426">
        <f t="shared" si="12"/>
        <v>1728</v>
      </c>
    </row>
    <row r="687" spans="1:10" s="87" customFormat="1" x14ac:dyDescent="0.25">
      <c r="A687" s="1418">
        <v>13</v>
      </c>
      <c r="B687" s="1986" t="s">
        <v>1826</v>
      </c>
      <c r="C687" s="1986"/>
      <c r="D687" s="1986"/>
      <c r="E687" s="1986"/>
      <c r="F687" s="1986"/>
      <c r="G687" s="1145" t="s">
        <v>934</v>
      </c>
      <c r="H687" s="1145">
        <v>5.6</v>
      </c>
      <c r="I687" s="1146">
        <v>795</v>
      </c>
      <c r="J687" s="1426">
        <f t="shared" si="12"/>
        <v>4452</v>
      </c>
    </row>
    <row r="688" spans="1:10" s="87" customFormat="1" ht="14.25" x14ac:dyDescent="0.25">
      <c r="A688" s="1987" t="s">
        <v>39</v>
      </c>
      <c r="B688" s="1988"/>
      <c r="C688" s="1988"/>
      <c r="D688" s="1988"/>
      <c r="E688" s="1988"/>
      <c r="F688" s="1988"/>
      <c r="G688" s="1988"/>
      <c r="H688" s="1988"/>
      <c r="I688" s="1989"/>
      <c r="J688" s="1406">
        <f>J674</f>
        <v>156324.6</v>
      </c>
    </row>
    <row r="689" spans="1:10" s="87" customFormat="1" ht="14.25" x14ac:dyDescent="0.25">
      <c r="A689" s="1303"/>
      <c r="B689" s="1303"/>
      <c r="C689" s="1303"/>
      <c r="D689" s="1303"/>
      <c r="E689" s="1303"/>
      <c r="F689" s="1303"/>
      <c r="G689" s="1303"/>
      <c r="H689" s="1303"/>
      <c r="I689" s="1303"/>
      <c r="J689" s="64"/>
    </row>
    <row r="690" spans="1:10" s="87" customFormat="1" x14ac:dyDescent="0.25">
      <c r="A690" s="2038" t="s">
        <v>1576</v>
      </c>
      <c r="B690" s="2038"/>
      <c r="C690" s="2038"/>
      <c r="D690" s="2038"/>
      <c r="E690" s="2038"/>
      <c r="F690" s="2038"/>
      <c r="G690" s="2038"/>
      <c r="H690" s="2038"/>
      <c r="I690" s="2038"/>
      <c r="J690" s="2038"/>
    </row>
    <row r="691" spans="1:10" s="87" customFormat="1" x14ac:dyDescent="0.25">
      <c r="A691" s="1926" t="s">
        <v>8</v>
      </c>
      <c r="B691" s="1956" t="s">
        <v>35</v>
      </c>
      <c r="C691" s="1916"/>
      <c r="D691" s="1916"/>
      <c r="E691" s="1916"/>
      <c r="F691" s="1957"/>
      <c r="G691" s="1926" t="s">
        <v>2048</v>
      </c>
      <c r="H691" s="2173"/>
      <c r="I691" s="2173"/>
      <c r="J691" s="2173"/>
    </row>
    <row r="692" spans="1:10" s="87" customFormat="1" ht="30" x14ac:dyDescent="0.25">
      <c r="A692" s="1926"/>
      <c r="B692" s="2159"/>
      <c r="C692" s="2160"/>
      <c r="D692" s="2160"/>
      <c r="E692" s="2160"/>
      <c r="F692" s="2161"/>
      <c r="G692" s="1425" t="s">
        <v>61</v>
      </c>
      <c r="H692" s="1418" t="s">
        <v>248</v>
      </c>
      <c r="I692" s="1426" t="s">
        <v>264</v>
      </c>
      <c r="J692" s="1385" t="s">
        <v>256</v>
      </c>
    </row>
    <row r="693" spans="1:10" s="87" customFormat="1" x14ac:dyDescent="0.25">
      <c r="A693" s="1079">
        <v>1</v>
      </c>
      <c r="B693" s="1986" t="s">
        <v>1899</v>
      </c>
      <c r="C693" s="2219"/>
      <c r="D693" s="2219"/>
      <c r="E693" s="2219"/>
      <c r="F693" s="2219"/>
      <c r="G693" s="1230" t="s">
        <v>304</v>
      </c>
      <c r="H693" s="1230">
        <v>50</v>
      </c>
      <c r="I693" s="1426">
        <v>228</v>
      </c>
      <c r="J693" s="1426">
        <f t="shared" ref="J693:J717" si="13">H693*I693</f>
        <v>11400</v>
      </c>
    </row>
    <row r="694" spans="1:10" s="87" customFormat="1" x14ac:dyDescent="0.25">
      <c r="A694" s="1079">
        <v>3</v>
      </c>
      <c r="B694" s="1986" t="s">
        <v>1900</v>
      </c>
      <c r="C694" s="2219"/>
      <c r="D694" s="2219"/>
      <c r="E694" s="2219"/>
      <c r="F694" s="2219"/>
      <c r="G694" s="1230" t="s">
        <v>304</v>
      </c>
      <c r="H694" s="1230">
        <v>80</v>
      </c>
      <c r="I694" s="1426">
        <v>17.3</v>
      </c>
      <c r="J694" s="1426">
        <f t="shared" si="13"/>
        <v>1384</v>
      </c>
    </row>
    <row r="695" spans="1:10" s="87" customFormat="1" x14ac:dyDescent="0.25">
      <c r="A695" s="1079">
        <v>4</v>
      </c>
      <c r="B695" s="1986" t="s">
        <v>1901</v>
      </c>
      <c r="C695" s="2219"/>
      <c r="D695" s="2219"/>
      <c r="E695" s="2219"/>
      <c r="F695" s="2219"/>
      <c r="G695" s="1230" t="s">
        <v>304</v>
      </c>
      <c r="H695" s="1230">
        <v>120</v>
      </c>
      <c r="I695" s="1426">
        <v>34</v>
      </c>
      <c r="J695" s="1426">
        <f t="shared" si="13"/>
        <v>4080</v>
      </c>
    </row>
    <row r="696" spans="1:10" s="87" customFormat="1" x14ac:dyDescent="0.25">
      <c r="A696" s="1079">
        <v>5</v>
      </c>
      <c r="B696" s="1986" t="s">
        <v>1902</v>
      </c>
      <c r="C696" s="2219"/>
      <c r="D696" s="2219"/>
      <c r="E696" s="2219"/>
      <c r="F696" s="2219"/>
      <c r="G696" s="1230" t="s">
        <v>304</v>
      </c>
      <c r="H696" s="1230">
        <v>50</v>
      </c>
      <c r="I696" s="1426">
        <v>79</v>
      </c>
      <c r="J696" s="1426">
        <f t="shared" si="13"/>
        <v>3950</v>
      </c>
    </row>
    <row r="697" spans="1:10" s="87" customFormat="1" x14ac:dyDescent="0.25">
      <c r="A697" s="1079">
        <v>6</v>
      </c>
      <c r="B697" s="1986" t="s">
        <v>1903</v>
      </c>
      <c r="C697" s="2219"/>
      <c r="D697" s="2219"/>
      <c r="E697" s="2219"/>
      <c r="F697" s="2219"/>
      <c r="G697" s="1230" t="s">
        <v>304</v>
      </c>
      <c r="H697" s="1230">
        <v>40</v>
      </c>
      <c r="I697" s="1426">
        <v>150</v>
      </c>
      <c r="J697" s="1426">
        <f t="shared" si="13"/>
        <v>6000</v>
      </c>
    </row>
    <row r="698" spans="1:10" s="87" customFormat="1" x14ac:dyDescent="0.25">
      <c r="A698" s="1079">
        <v>7</v>
      </c>
      <c r="B698" s="1986" t="s">
        <v>1904</v>
      </c>
      <c r="C698" s="2219"/>
      <c r="D698" s="2219"/>
      <c r="E698" s="2219"/>
      <c r="F698" s="2219"/>
      <c r="G698" s="1230" t="s">
        <v>304</v>
      </c>
      <c r="H698" s="1230">
        <v>80</v>
      </c>
      <c r="I698" s="1426">
        <v>30</v>
      </c>
      <c r="J698" s="1426">
        <f t="shared" si="13"/>
        <v>2400</v>
      </c>
    </row>
    <row r="699" spans="1:10" s="87" customFormat="1" x14ac:dyDescent="0.25">
      <c r="A699" s="1079">
        <v>8</v>
      </c>
      <c r="B699" s="1986" t="s">
        <v>1905</v>
      </c>
      <c r="C699" s="2219"/>
      <c r="D699" s="2219"/>
      <c r="E699" s="2219"/>
      <c r="F699" s="2219"/>
      <c r="G699" s="1230" t="s">
        <v>304</v>
      </c>
      <c r="H699" s="1230">
        <v>50</v>
      </c>
      <c r="I699" s="1426">
        <v>273</v>
      </c>
      <c r="J699" s="1426">
        <f t="shared" si="13"/>
        <v>13650</v>
      </c>
    </row>
    <row r="700" spans="1:10" s="87" customFormat="1" x14ac:dyDescent="0.25">
      <c r="A700" s="1079">
        <v>9</v>
      </c>
      <c r="B700" s="1986" t="s">
        <v>1906</v>
      </c>
      <c r="C700" s="2219"/>
      <c r="D700" s="2219"/>
      <c r="E700" s="2219"/>
      <c r="F700" s="2219"/>
      <c r="G700" s="1230" t="s">
        <v>304</v>
      </c>
      <c r="H700" s="1230">
        <v>70</v>
      </c>
      <c r="I700" s="1426">
        <v>40</v>
      </c>
      <c r="J700" s="1426">
        <f t="shared" si="13"/>
        <v>2800</v>
      </c>
    </row>
    <row r="701" spans="1:10" s="87" customFormat="1" x14ac:dyDescent="0.25">
      <c r="A701" s="1079">
        <v>10</v>
      </c>
      <c r="B701" s="1986" t="s">
        <v>1907</v>
      </c>
      <c r="C701" s="2219"/>
      <c r="D701" s="2219"/>
      <c r="E701" s="2219"/>
      <c r="F701" s="2219"/>
      <c r="G701" s="1230" t="s">
        <v>304</v>
      </c>
      <c r="H701" s="1230">
        <v>20</v>
      </c>
      <c r="I701" s="1426">
        <v>155</v>
      </c>
      <c r="J701" s="1426">
        <f t="shared" si="13"/>
        <v>3100</v>
      </c>
    </row>
    <row r="702" spans="1:10" s="87" customFormat="1" x14ac:dyDescent="0.25">
      <c r="A702" s="1079">
        <v>11</v>
      </c>
      <c r="B702" s="1986" t="s">
        <v>1908</v>
      </c>
      <c r="C702" s="2219"/>
      <c r="D702" s="2219"/>
      <c r="E702" s="2219"/>
      <c r="F702" s="2219"/>
      <c r="G702" s="1230" t="s">
        <v>304</v>
      </c>
      <c r="H702" s="1230">
        <v>25</v>
      </c>
      <c r="I702" s="1426">
        <v>45</v>
      </c>
      <c r="J702" s="1426">
        <f t="shared" si="13"/>
        <v>1125</v>
      </c>
    </row>
    <row r="703" spans="1:10" s="87" customFormat="1" x14ac:dyDescent="0.25">
      <c r="A703" s="1079">
        <v>12</v>
      </c>
      <c r="B703" s="1986" t="s">
        <v>1909</v>
      </c>
      <c r="C703" s="2219"/>
      <c r="D703" s="2219"/>
      <c r="E703" s="2219"/>
      <c r="F703" s="2219"/>
      <c r="G703" s="1230" t="s">
        <v>304</v>
      </c>
      <c r="H703" s="1230">
        <v>25</v>
      </c>
      <c r="I703" s="1426">
        <v>135</v>
      </c>
      <c r="J703" s="1426">
        <f t="shared" si="13"/>
        <v>3375</v>
      </c>
    </row>
    <row r="704" spans="1:10" s="87" customFormat="1" x14ac:dyDescent="0.25">
      <c r="A704" s="1079">
        <v>13</v>
      </c>
      <c r="B704" s="1986" t="s">
        <v>1910</v>
      </c>
      <c r="C704" s="2219"/>
      <c r="D704" s="2219"/>
      <c r="E704" s="2219"/>
      <c r="F704" s="2219"/>
      <c r="G704" s="1230" t="s">
        <v>832</v>
      </c>
      <c r="H704" s="1230">
        <v>25</v>
      </c>
      <c r="I704" s="1426">
        <v>225</v>
      </c>
      <c r="J704" s="1426">
        <f t="shared" si="13"/>
        <v>5625</v>
      </c>
    </row>
    <row r="705" spans="1:10" s="87" customFormat="1" x14ac:dyDescent="0.25">
      <c r="A705" s="1079">
        <v>14</v>
      </c>
      <c r="B705" s="1986" t="s">
        <v>1911</v>
      </c>
      <c r="C705" s="2219"/>
      <c r="D705" s="2219"/>
      <c r="E705" s="2219"/>
      <c r="F705" s="2219"/>
      <c r="G705" s="1230" t="s">
        <v>304</v>
      </c>
      <c r="H705" s="1230">
        <v>100</v>
      </c>
      <c r="I705" s="1426">
        <v>190</v>
      </c>
      <c r="J705" s="1426">
        <f t="shared" si="13"/>
        <v>19000</v>
      </c>
    </row>
    <row r="706" spans="1:10" s="87" customFormat="1" x14ac:dyDescent="0.25">
      <c r="A706" s="1079">
        <v>15</v>
      </c>
      <c r="B706" s="1986" t="s">
        <v>1912</v>
      </c>
      <c r="C706" s="2219"/>
      <c r="D706" s="2219"/>
      <c r="E706" s="2219"/>
      <c r="F706" s="2219"/>
      <c r="G706" s="1230" t="s">
        <v>304</v>
      </c>
      <c r="H706" s="1230">
        <v>10</v>
      </c>
      <c r="I706" s="1426">
        <v>1200</v>
      </c>
      <c r="J706" s="1426">
        <f t="shared" si="13"/>
        <v>12000</v>
      </c>
    </row>
    <row r="707" spans="1:10" s="87" customFormat="1" x14ac:dyDescent="0.25">
      <c r="A707" s="1079">
        <v>17</v>
      </c>
      <c r="B707" s="1986" t="s">
        <v>1913</v>
      </c>
      <c r="C707" s="2219"/>
      <c r="D707" s="2219"/>
      <c r="E707" s="2219"/>
      <c r="F707" s="2219"/>
      <c r="G707" s="1230" t="s">
        <v>304</v>
      </c>
      <c r="H707" s="1230">
        <v>100</v>
      </c>
      <c r="I707" s="1426">
        <v>25</v>
      </c>
      <c r="J707" s="1426">
        <f t="shared" si="13"/>
        <v>2500</v>
      </c>
    </row>
    <row r="708" spans="1:10" s="87" customFormat="1" x14ac:dyDescent="0.25">
      <c r="A708" s="1079">
        <v>18</v>
      </c>
      <c r="B708" s="1986" t="s">
        <v>1914</v>
      </c>
      <c r="C708" s="2219"/>
      <c r="D708" s="2219"/>
      <c r="E708" s="2219"/>
      <c r="F708" s="2219"/>
      <c r="G708" s="1230" t="s">
        <v>304</v>
      </c>
      <c r="H708" s="1230">
        <v>100</v>
      </c>
      <c r="I708" s="1426">
        <v>43</v>
      </c>
      <c r="J708" s="1426">
        <f t="shared" si="13"/>
        <v>4300</v>
      </c>
    </row>
    <row r="709" spans="1:10" s="87" customFormat="1" x14ac:dyDescent="0.25">
      <c r="A709" s="1079">
        <v>19</v>
      </c>
      <c r="B709" s="1986" t="s">
        <v>1915</v>
      </c>
      <c r="C709" s="2219"/>
      <c r="D709" s="2219"/>
      <c r="E709" s="2219"/>
      <c r="F709" s="2219"/>
      <c r="G709" s="1230" t="s">
        <v>304</v>
      </c>
      <c r="H709" s="1230">
        <v>10</v>
      </c>
      <c r="I709" s="1426">
        <v>340</v>
      </c>
      <c r="J709" s="1426">
        <f t="shared" si="13"/>
        <v>3400</v>
      </c>
    </row>
    <row r="710" spans="1:10" s="87" customFormat="1" x14ac:dyDescent="0.25">
      <c r="A710" s="1079">
        <v>20</v>
      </c>
      <c r="B710" s="1986" t="s">
        <v>1916</v>
      </c>
      <c r="C710" s="2219"/>
      <c r="D710" s="2219"/>
      <c r="E710" s="2219"/>
      <c r="F710" s="2219"/>
      <c r="G710" s="1230" t="s">
        <v>832</v>
      </c>
      <c r="H710" s="1230">
        <v>15</v>
      </c>
      <c r="I710" s="1426">
        <v>220</v>
      </c>
      <c r="J710" s="1426">
        <f t="shared" si="13"/>
        <v>3300</v>
      </c>
    </row>
    <row r="711" spans="1:10" s="87" customFormat="1" x14ac:dyDescent="0.25">
      <c r="A711" s="1079">
        <v>21</v>
      </c>
      <c r="B711" s="1986" t="s">
        <v>1917</v>
      </c>
      <c r="C711" s="2219"/>
      <c r="D711" s="2219"/>
      <c r="E711" s="2219"/>
      <c r="F711" s="2219"/>
      <c r="G711" s="1230" t="s">
        <v>832</v>
      </c>
      <c r="H711" s="1230">
        <v>10</v>
      </c>
      <c r="I711" s="1426">
        <v>720</v>
      </c>
      <c r="J711" s="1426">
        <f t="shared" si="13"/>
        <v>7200</v>
      </c>
    </row>
    <row r="712" spans="1:10" s="87" customFormat="1" x14ac:dyDescent="0.25">
      <c r="A712" s="1079">
        <v>22</v>
      </c>
      <c r="B712" s="1986" t="s">
        <v>1918</v>
      </c>
      <c r="C712" s="2219"/>
      <c r="D712" s="2219"/>
      <c r="E712" s="2219"/>
      <c r="F712" s="2219"/>
      <c r="G712" s="1230" t="s">
        <v>304</v>
      </c>
      <c r="H712" s="1230">
        <v>30</v>
      </c>
      <c r="I712" s="1426">
        <v>60</v>
      </c>
      <c r="J712" s="1426">
        <f t="shared" si="13"/>
        <v>1800</v>
      </c>
    </row>
    <row r="713" spans="1:10" s="87" customFormat="1" x14ac:dyDescent="0.25">
      <c r="A713" s="1079">
        <v>23</v>
      </c>
      <c r="B713" s="1986" t="s">
        <v>1919</v>
      </c>
      <c r="C713" s="2219"/>
      <c r="D713" s="2219"/>
      <c r="E713" s="2219"/>
      <c r="F713" s="2219"/>
      <c r="G713" s="1230" t="s">
        <v>304</v>
      </c>
      <c r="H713" s="1230">
        <v>120</v>
      </c>
      <c r="I713" s="1426">
        <v>25</v>
      </c>
      <c r="J713" s="1426">
        <f t="shared" si="13"/>
        <v>3000</v>
      </c>
    </row>
    <row r="714" spans="1:10" s="87" customFormat="1" x14ac:dyDescent="0.25">
      <c r="A714" s="1079">
        <v>24</v>
      </c>
      <c r="B714" s="1986" t="s">
        <v>722</v>
      </c>
      <c r="C714" s="2219"/>
      <c r="D714" s="2219"/>
      <c r="E714" s="2219"/>
      <c r="F714" s="2219"/>
      <c r="G714" s="1230" t="s">
        <v>304</v>
      </c>
      <c r="H714" s="1230">
        <v>100</v>
      </c>
      <c r="I714" s="1426">
        <v>84</v>
      </c>
      <c r="J714" s="1426">
        <f t="shared" si="13"/>
        <v>8400</v>
      </c>
    </row>
    <row r="715" spans="1:10" s="87" customFormat="1" x14ac:dyDescent="0.25">
      <c r="A715" s="1079">
        <v>25</v>
      </c>
      <c r="B715" s="1986" t="s">
        <v>1920</v>
      </c>
      <c r="C715" s="2219"/>
      <c r="D715" s="2219"/>
      <c r="E715" s="2219"/>
      <c r="F715" s="2219"/>
      <c r="G715" s="1230" t="s">
        <v>304</v>
      </c>
      <c r="H715" s="1230">
        <v>50</v>
      </c>
      <c r="I715" s="1426">
        <v>145</v>
      </c>
      <c r="J715" s="1426">
        <f t="shared" si="13"/>
        <v>7250</v>
      </c>
    </row>
    <row r="716" spans="1:10" s="87" customFormat="1" x14ac:dyDescent="0.25">
      <c r="A716" s="1079">
        <v>26</v>
      </c>
      <c r="B716" s="1986" t="s">
        <v>1921</v>
      </c>
      <c r="C716" s="2219"/>
      <c r="D716" s="2219"/>
      <c r="E716" s="2219"/>
      <c r="F716" s="2219"/>
      <c r="G716" s="1230" t="s">
        <v>304</v>
      </c>
      <c r="H716" s="1230">
        <v>10</v>
      </c>
      <c r="I716" s="1426">
        <v>155</v>
      </c>
      <c r="J716" s="1426">
        <f t="shared" si="13"/>
        <v>1550</v>
      </c>
    </row>
    <row r="717" spans="1:10" s="87" customFormat="1" x14ac:dyDescent="0.25">
      <c r="A717" s="1079">
        <v>27</v>
      </c>
      <c r="B717" s="1986" t="s">
        <v>722</v>
      </c>
      <c r="C717" s="2219"/>
      <c r="D717" s="2219"/>
      <c r="E717" s="2219"/>
      <c r="F717" s="2219"/>
      <c r="G717" s="1230" t="s">
        <v>750</v>
      </c>
      <c r="H717" s="1230">
        <v>5</v>
      </c>
      <c r="I717" s="1426">
        <f>84-0.96</f>
        <v>83.04</v>
      </c>
      <c r="J717" s="1426">
        <f t="shared" si="13"/>
        <v>415.2</v>
      </c>
    </row>
    <row r="718" spans="1:10" s="87" customFormat="1" x14ac:dyDescent="0.25">
      <c r="A718" s="2036" t="s">
        <v>39</v>
      </c>
      <c r="B718" s="2037"/>
      <c r="C718" s="2037"/>
      <c r="D718" s="2037"/>
      <c r="E718" s="2037"/>
      <c r="F718" s="2037"/>
      <c r="G718" s="2037"/>
      <c r="H718" s="2168"/>
      <c r="I718" s="2169"/>
      <c r="J718" s="1192">
        <f>SUM(J693:J717)</f>
        <v>133004.20000000001</v>
      </c>
    </row>
    <row r="719" spans="1:10" s="87" customFormat="1" ht="14.25" x14ac:dyDescent="0.25">
      <c r="A719" s="1303"/>
      <c r="B719" s="1303"/>
      <c r="C719" s="1303"/>
      <c r="D719" s="1303"/>
      <c r="E719" s="1303"/>
      <c r="F719" s="1303"/>
      <c r="G719" s="1303"/>
      <c r="H719" s="1303"/>
      <c r="I719" s="1303"/>
      <c r="J719" s="64"/>
    </row>
    <row r="720" spans="1:10" s="87" customFormat="1" x14ac:dyDescent="0.25">
      <c r="A720" s="2038" t="s">
        <v>1922</v>
      </c>
      <c r="B720" s="2038"/>
      <c r="C720" s="2038"/>
      <c r="D720" s="2038"/>
      <c r="E720" s="2038"/>
      <c r="F720" s="2038"/>
      <c r="G720" s="2038"/>
      <c r="H720" s="2038"/>
      <c r="I720" s="2038"/>
      <c r="J720" s="2038"/>
    </row>
    <row r="721" spans="1:28" s="87" customFormat="1" x14ac:dyDescent="0.25">
      <c r="A721" s="1926" t="s">
        <v>8</v>
      </c>
      <c r="B721" s="1956" t="s">
        <v>35</v>
      </c>
      <c r="C721" s="1916"/>
      <c r="D721" s="1916"/>
      <c r="E721" s="1916"/>
      <c r="F721" s="1957"/>
      <c r="G721" s="1926" t="s">
        <v>2048</v>
      </c>
      <c r="H721" s="2173"/>
      <c r="I721" s="2173"/>
      <c r="J721" s="2173"/>
    </row>
    <row r="722" spans="1:28" s="87" customFormat="1" ht="30" x14ac:dyDescent="0.25">
      <c r="A722" s="1926"/>
      <c r="B722" s="2159"/>
      <c r="C722" s="2160"/>
      <c r="D722" s="2160"/>
      <c r="E722" s="2160"/>
      <c r="F722" s="2161"/>
      <c r="G722" s="1425" t="s">
        <v>61</v>
      </c>
      <c r="H722" s="1418" t="s">
        <v>248</v>
      </c>
      <c r="I722" s="1426" t="s">
        <v>264</v>
      </c>
      <c r="J722" s="1141" t="s">
        <v>256</v>
      </c>
    </row>
    <row r="723" spans="1:28" s="87" customFormat="1" x14ac:dyDescent="0.25">
      <c r="A723" s="1079">
        <v>1</v>
      </c>
      <c r="B723" s="1986" t="s">
        <v>1923</v>
      </c>
      <c r="C723" s="2219"/>
      <c r="D723" s="2219"/>
      <c r="E723" s="2219"/>
      <c r="F723" s="2219"/>
      <c r="G723" s="1230" t="s">
        <v>304</v>
      </c>
      <c r="H723" s="1230" t="s">
        <v>1665</v>
      </c>
      <c r="I723" s="1426">
        <v>380.02</v>
      </c>
      <c r="J723" s="1426">
        <f>H723*I723</f>
        <v>11400.6</v>
      </c>
    </row>
    <row r="724" spans="1:28" s="87" customFormat="1" x14ac:dyDescent="0.25">
      <c r="A724" s="1079">
        <v>2</v>
      </c>
      <c r="B724" s="1986" t="s">
        <v>1924</v>
      </c>
      <c r="C724" s="2219"/>
      <c r="D724" s="2219"/>
      <c r="E724" s="2219"/>
      <c r="F724" s="2219"/>
      <c r="G724" s="1230" t="s">
        <v>1925</v>
      </c>
      <c r="H724" s="1230">
        <v>20</v>
      </c>
      <c r="I724" s="1426">
        <v>3600</v>
      </c>
      <c r="J724" s="1426">
        <f t="shared" ref="J724:J730" si="14">H724*I724</f>
        <v>72000</v>
      </c>
    </row>
    <row r="725" spans="1:28" s="87" customFormat="1" x14ac:dyDescent="0.25">
      <c r="A725" s="1079">
        <v>3</v>
      </c>
      <c r="B725" s="1986" t="s">
        <v>1926</v>
      </c>
      <c r="C725" s="2219"/>
      <c r="D725" s="2219"/>
      <c r="E725" s="2219"/>
      <c r="F725" s="2219"/>
      <c r="G725" s="1230" t="s">
        <v>304</v>
      </c>
      <c r="H725" s="1230">
        <v>140</v>
      </c>
      <c r="I725" s="1426">
        <v>60</v>
      </c>
      <c r="J725" s="1426">
        <f t="shared" si="14"/>
        <v>8400</v>
      </c>
    </row>
    <row r="726" spans="1:28" s="87" customFormat="1" x14ac:dyDescent="0.25">
      <c r="A726" s="1079">
        <v>4</v>
      </c>
      <c r="B726" s="1986" t="s">
        <v>1927</v>
      </c>
      <c r="C726" s="2219"/>
      <c r="D726" s="2219"/>
      <c r="E726" s="2219"/>
      <c r="F726" s="2219"/>
      <c r="G726" s="1230" t="s">
        <v>304</v>
      </c>
      <c r="H726" s="1230" t="s">
        <v>598</v>
      </c>
      <c r="I726" s="1426">
        <v>330</v>
      </c>
      <c r="J726" s="1426">
        <f t="shared" si="14"/>
        <v>33000</v>
      </c>
    </row>
    <row r="727" spans="1:28" s="87" customFormat="1" x14ac:dyDescent="0.25">
      <c r="A727" s="1079">
        <v>5</v>
      </c>
      <c r="B727" s="1986" t="s">
        <v>1928</v>
      </c>
      <c r="C727" s="2219"/>
      <c r="D727" s="2219"/>
      <c r="E727" s="2219"/>
      <c r="F727" s="2219"/>
      <c r="G727" s="1230" t="s">
        <v>304</v>
      </c>
      <c r="H727" s="1230" t="s">
        <v>1010</v>
      </c>
      <c r="I727" s="1426">
        <v>149</v>
      </c>
      <c r="J727" s="1426">
        <f t="shared" si="14"/>
        <v>59600</v>
      </c>
    </row>
    <row r="728" spans="1:28" s="87" customFormat="1" x14ac:dyDescent="0.25">
      <c r="A728" s="1079">
        <v>6</v>
      </c>
      <c r="B728" s="1986" t="s">
        <v>1929</v>
      </c>
      <c r="C728" s="2219"/>
      <c r="D728" s="2219"/>
      <c r="E728" s="2219"/>
      <c r="F728" s="2219"/>
      <c r="G728" s="1230" t="s">
        <v>304</v>
      </c>
      <c r="H728" s="1230" t="s">
        <v>542</v>
      </c>
      <c r="I728" s="1426">
        <v>615</v>
      </c>
      <c r="J728" s="1426">
        <f t="shared" si="14"/>
        <v>92250</v>
      </c>
    </row>
    <row r="729" spans="1:28" s="87" customFormat="1" x14ac:dyDescent="0.25">
      <c r="A729" s="1079">
        <v>10</v>
      </c>
      <c r="B729" s="1986" t="s">
        <v>1930</v>
      </c>
      <c r="C729" s="2219"/>
      <c r="D729" s="2219"/>
      <c r="E729" s="2219"/>
      <c r="F729" s="2219"/>
      <c r="G729" s="1230" t="s">
        <v>1931</v>
      </c>
      <c r="H729" s="1230">
        <v>100</v>
      </c>
      <c r="I729" s="1426">
        <v>60</v>
      </c>
      <c r="J729" s="1426">
        <f t="shared" si="14"/>
        <v>6000</v>
      </c>
    </row>
    <row r="730" spans="1:28" s="87" customFormat="1" x14ac:dyDescent="0.25">
      <c r="A730" s="1079">
        <v>13</v>
      </c>
      <c r="B730" s="1986" t="s">
        <v>1932</v>
      </c>
      <c r="C730" s="2219"/>
      <c r="D730" s="2219"/>
      <c r="E730" s="2219"/>
      <c r="F730" s="2219"/>
      <c r="G730" s="1230" t="s">
        <v>304</v>
      </c>
      <c r="H730" s="1230">
        <v>20</v>
      </c>
      <c r="I730" s="1426">
        <v>1200</v>
      </c>
      <c r="J730" s="1426">
        <f t="shared" si="14"/>
        <v>24000</v>
      </c>
    </row>
    <row r="731" spans="1:28" s="87" customFormat="1" x14ac:dyDescent="0.25">
      <c r="A731" s="2036" t="s">
        <v>39</v>
      </c>
      <c r="B731" s="2037"/>
      <c r="C731" s="2037"/>
      <c r="D731" s="2037"/>
      <c r="E731" s="2037"/>
      <c r="F731" s="2037"/>
      <c r="G731" s="2037"/>
      <c r="H731" s="2168"/>
      <c r="I731" s="2169"/>
      <c r="J731" s="1192">
        <f>SUM(J723:J730)</f>
        <v>306650.59999999998</v>
      </c>
    </row>
    <row r="732" spans="1:28" s="87" customFormat="1" ht="14.25" x14ac:dyDescent="0.25">
      <c r="A732" s="1303"/>
      <c r="B732" s="1303"/>
      <c r="C732" s="1303"/>
      <c r="D732" s="1303"/>
      <c r="E732" s="1303"/>
      <c r="F732" s="1303"/>
      <c r="G732" s="1303"/>
      <c r="H732" s="1303"/>
      <c r="I732" s="1303"/>
      <c r="J732" s="64"/>
    </row>
    <row r="733" spans="1:28" x14ac:dyDescent="0.25">
      <c r="A733" s="994" t="s">
        <v>27</v>
      </c>
      <c r="B733" s="796"/>
      <c r="C733" s="796"/>
      <c r="D733" s="1000"/>
      <c r="E733" s="795" t="s">
        <v>1896</v>
      </c>
      <c r="F733" s="995"/>
      <c r="G733" s="995"/>
      <c r="H733" s="996"/>
      <c r="I733" s="997"/>
      <c r="J733" s="998">
        <f>J748</f>
        <v>40000</v>
      </c>
      <c r="K733" s="551"/>
      <c r="L733" s="551"/>
      <c r="M733" s="551"/>
      <c r="N733" s="551"/>
      <c r="O733" s="551"/>
      <c r="P733" s="551"/>
      <c r="Q733" s="551"/>
      <c r="R733" s="551"/>
      <c r="S733" s="551"/>
      <c r="T733" s="551"/>
      <c r="U733" s="551"/>
      <c r="V733" s="551"/>
      <c r="W733" s="551"/>
      <c r="X733" s="551"/>
      <c r="Y733" s="551"/>
      <c r="Z733" s="551"/>
      <c r="AA733" s="551"/>
      <c r="AB733" s="551"/>
    </row>
    <row r="734" spans="1:28" x14ac:dyDescent="0.25">
      <c r="A734" s="1449" t="s">
        <v>328</v>
      </c>
      <c r="K734" s="551"/>
      <c r="L734" s="551"/>
      <c r="M734" s="551"/>
      <c r="N734" s="551"/>
      <c r="O734" s="551"/>
      <c r="P734" s="551"/>
      <c r="Q734" s="551"/>
      <c r="R734" s="551"/>
      <c r="S734" s="551"/>
      <c r="T734" s="551"/>
      <c r="U734" s="551"/>
      <c r="V734" s="551"/>
      <c r="W734" s="551"/>
      <c r="X734" s="551"/>
      <c r="Y734" s="551"/>
      <c r="Z734" s="551"/>
      <c r="AA734" s="551"/>
      <c r="AB734" s="551"/>
    </row>
    <row r="735" spans="1:28" ht="15" customHeight="1" x14ac:dyDescent="0.25">
      <c r="A735" s="2315" t="s">
        <v>8</v>
      </c>
      <c r="B735" s="2192" t="s">
        <v>35</v>
      </c>
      <c r="C735" s="2202"/>
      <c r="D735" s="2202"/>
      <c r="E735" s="2202"/>
      <c r="F735" s="2220"/>
      <c r="G735" s="2315" t="s">
        <v>61</v>
      </c>
      <c r="H735" s="2193" t="s">
        <v>2048</v>
      </c>
      <c r="I735" s="2240"/>
      <c r="J735" s="2179"/>
      <c r="K735" s="551"/>
      <c r="L735" s="551"/>
      <c r="M735" s="551"/>
      <c r="N735" s="551"/>
      <c r="O735" s="551"/>
      <c r="P735" s="551"/>
      <c r="Q735" s="551"/>
      <c r="R735" s="551"/>
      <c r="S735" s="551"/>
      <c r="T735" s="551"/>
      <c r="U735" s="551"/>
      <c r="V735" s="551"/>
      <c r="W735" s="551"/>
      <c r="X735" s="551"/>
      <c r="Y735" s="551"/>
      <c r="Z735" s="551"/>
      <c r="AA735" s="551"/>
      <c r="AB735" s="551"/>
    </row>
    <row r="736" spans="1:28" ht="30" x14ac:dyDescent="0.25">
      <c r="A736" s="2200"/>
      <c r="B736" s="2206"/>
      <c r="C736" s="2207"/>
      <c r="D736" s="2207"/>
      <c r="E736" s="2207"/>
      <c r="F736" s="2221"/>
      <c r="G736" s="2200"/>
      <c r="H736" s="1408" t="s">
        <v>248</v>
      </c>
      <c r="I736" s="1434" t="s">
        <v>264</v>
      </c>
      <c r="J736" s="1434" t="s">
        <v>256</v>
      </c>
      <c r="K736" s="551"/>
      <c r="L736" s="551"/>
      <c r="M736" s="551"/>
      <c r="N736" s="551"/>
      <c r="O736" s="551"/>
      <c r="P736" s="551"/>
      <c r="Q736" s="551"/>
      <c r="R736" s="551"/>
      <c r="S736" s="551"/>
      <c r="T736" s="551"/>
      <c r="U736" s="551"/>
      <c r="V736" s="551"/>
      <c r="W736" s="551"/>
      <c r="X736" s="551"/>
      <c r="Y736" s="551"/>
      <c r="Z736" s="551"/>
      <c r="AA736" s="551"/>
      <c r="AB736" s="551"/>
    </row>
    <row r="737" spans="1:28" ht="15" customHeight="1" x14ac:dyDescent="0.25">
      <c r="A737" s="2140" t="s">
        <v>1492</v>
      </c>
      <c r="B737" s="2141"/>
      <c r="C737" s="2141"/>
      <c r="D737" s="2141"/>
      <c r="E737" s="2141"/>
      <c r="F737" s="2141"/>
      <c r="G737" s="2141"/>
      <c r="H737" s="2141"/>
      <c r="I737" s="2141"/>
      <c r="J737" s="2142"/>
      <c r="K737" s="551"/>
      <c r="L737" s="551"/>
      <c r="M737" s="551"/>
      <c r="N737" s="551"/>
      <c r="O737" s="551"/>
      <c r="P737" s="551"/>
      <c r="Q737" s="551"/>
      <c r="R737" s="551"/>
      <c r="S737" s="551"/>
      <c r="T737" s="551"/>
      <c r="U737" s="551"/>
      <c r="V737" s="551"/>
      <c r="W737" s="551"/>
      <c r="X737" s="551"/>
      <c r="Y737" s="551"/>
      <c r="Z737" s="551"/>
      <c r="AA737" s="551"/>
      <c r="AB737" s="551"/>
    </row>
    <row r="738" spans="1:28" ht="15" customHeight="1" x14ac:dyDescent="0.25">
      <c r="A738" s="1454">
        <v>1</v>
      </c>
      <c r="B738" s="1451" t="s">
        <v>722</v>
      </c>
      <c r="C738" s="1105"/>
      <c r="D738" s="1105"/>
      <c r="E738" s="1105"/>
      <c r="F738" s="1105"/>
      <c r="G738" s="1128" t="s">
        <v>304</v>
      </c>
      <c r="H738" s="59">
        <v>20</v>
      </c>
      <c r="I738" s="1404">
        <v>69</v>
      </c>
      <c r="J738" s="1404">
        <f t="shared" ref="J738:J747" si="15">H738*I738</f>
        <v>1380</v>
      </c>
      <c r="K738" s="551"/>
      <c r="L738" s="551"/>
      <c r="M738" s="551"/>
      <c r="N738" s="551"/>
      <c r="O738" s="551"/>
      <c r="P738" s="551"/>
      <c r="Q738" s="551"/>
      <c r="R738" s="551"/>
      <c r="S738" s="551"/>
      <c r="T738" s="551"/>
      <c r="U738" s="551"/>
      <c r="V738" s="551"/>
      <c r="W738" s="551"/>
      <c r="X738" s="551"/>
      <c r="Y738" s="551"/>
      <c r="Z738" s="551"/>
      <c r="AA738" s="551"/>
      <c r="AB738" s="551"/>
    </row>
    <row r="739" spans="1:28" ht="15" customHeight="1" x14ac:dyDescent="0.25">
      <c r="A739" s="1454">
        <v>2</v>
      </c>
      <c r="B739" s="1451" t="s">
        <v>1615</v>
      </c>
      <c r="C739" s="1105"/>
      <c r="D739" s="1105"/>
      <c r="E739" s="1105"/>
      <c r="F739" s="1105"/>
      <c r="G739" s="1128" t="s">
        <v>1567</v>
      </c>
      <c r="H739" s="59">
        <v>10</v>
      </c>
      <c r="I739" s="1404">
        <v>265</v>
      </c>
      <c r="J739" s="1404">
        <f t="shared" si="15"/>
        <v>2650</v>
      </c>
      <c r="K739" s="551"/>
      <c r="L739" s="551"/>
      <c r="M739" s="551"/>
      <c r="N739" s="551"/>
      <c r="O739" s="551"/>
      <c r="P739" s="551"/>
      <c r="Q739" s="551"/>
      <c r="R739" s="551"/>
      <c r="S739" s="551"/>
      <c r="T739" s="551"/>
      <c r="U739" s="551"/>
      <c r="V739" s="551"/>
      <c r="W739" s="551"/>
      <c r="X739" s="551"/>
      <c r="Y739" s="551"/>
      <c r="Z739" s="551"/>
      <c r="AA739" s="551"/>
      <c r="AB739" s="551"/>
    </row>
    <row r="740" spans="1:28" ht="15" customHeight="1" x14ac:dyDescent="0.25">
      <c r="A740" s="1454">
        <v>3</v>
      </c>
      <c r="B740" s="1451" t="s">
        <v>1616</v>
      </c>
      <c r="C740" s="1105"/>
      <c r="D740" s="1105"/>
      <c r="E740" s="1105"/>
      <c r="F740" s="1105"/>
      <c r="G740" s="1128" t="s">
        <v>716</v>
      </c>
      <c r="H740" s="59">
        <v>30</v>
      </c>
      <c r="I740" s="1404">
        <v>59</v>
      </c>
      <c r="J740" s="1404">
        <f t="shared" si="15"/>
        <v>1770</v>
      </c>
      <c r="K740" s="551"/>
      <c r="L740" s="551"/>
      <c r="M740" s="551"/>
      <c r="N740" s="551"/>
      <c r="O740" s="551"/>
      <c r="P740" s="551"/>
      <c r="Q740" s="551"/>
      <c r="R740" s="551"/>
      <c r="S740" s="551"/>
      <c r="T740" s="551"/>
      <c r="U740" s="551"/>
      <c r="V740" s="551"/>
      <c r="W740" s="551"/>
      <c r="X740" s="551"/>
      <c r="Y740" s="551"/>
      <c r="Z740" s="551"/>
      <c r="AA740" s="551"/>
      <c r="AB740" s="551"/>
    </row>
    <row r="741" spans="1:28" ht="15" customHeight="1" x14ac:dyDescent="0.25">
      <c r="A741" s="1454">
        <v>4</v>
      </c>
      <c r="B741" s="1451" t="s">
        <v>1617</v>
      </c>
      <c r="C741" s="1105"/>
      <c r="D741" s="1105"/>
      <c r="E741" s="1105"/>
      <c r="F741" s="1105"/>
      <c r="G741" s="1128" t="s">
        <v>716</v>
      </c>
      <c r="H741" s="59">
        <v>20</v>
      </c>
      <c r="I741" s="1404">
        <v>52</v>
      </c>
      <c r="J741" s="1404">
        <f t="shared" si="15"/>
        <v>1040</v>
      </c>
      <c r="K741" s="551"/>
      <c r="L741" s="551"/>
      <c r="M741" s="551"/>
      <c r="N741" s="551"/>
      <c r="O741" s="551"/>
      <c r="P741" s="551"/>
      <c r="Q741" s="551"/>
      <c r="R741" s="551"/>
      <c r="S741" s="551"/>
      <c r="T741" s="551"/>
      <c r="U741" s="551"/>
      <c r="V741" s="551"/>
      <c r="W741" s="551"/>
      <c r="X741" s="551"/>
      <c r="Y741" s="551"/>
      <c r="Z741" s="551"/>
      <c r="AA741" s="551"/>
      <c r="AB741" s="551"/>
    </row>
    <row r="742" spans="1:28" ht="15" customHeight="1" x14ac:dyDescent="0.25">
      <c r="A742" s="1454">
        <v>5</v>
      </c>
      <c r="B742" s="1451" t="s">
        <v>720</v>
      </c>
      <c r="C742" s="1105"/>
      <c r="D742" s="1105"/>
      <c r="E742" s="1105"/>
      <c r="F742" s="1105"/>
      <c r="G742" s="1128" t="s">
        <v>304</v>
      </c>
      <c r="H742" s="59">
        <v>30</v>
      </c>
      <c r="I742" s="1404">
        <v>110</v>
      </c>
      <c r="J742" s="1404">
        <f t="shared" si="15"/>
        <v>3300</v>
      </c>
      <c r="K742" s="551"/>
      <c r="L742" s="551"/>
      <c r="M742" s="551"/>
      <c r="N742" s="551"/>
      <c r="O742" s="551"/>
      <c r="P742" s="551"/>
      <c r="Q742" s="551"/>
      <c r="R742" s="551"/>
      <c r="S742" s="551"/>
      <c r="T742" s="551"/>
      <c r="U742" s="551"/>
      <c r="V742" s="551"/>
      <c r="W742" s="551"/>
      <c r="X742" s="551"/>
      <c r="Y742" s="551"/>
      <c r="Z742" s="551"/>
      <c r="AA742" s="551"/>
      <c r="AB742" s="551"/>
    </row>
    <row r="743" spans="1:28" ht="15" customHeight="1" x14ac:dyDescent="0.25">
      <c r="A743" s="1454">
        <v>6</v>
      </c>
      <c r="B743" s="1451" t="s">
        <v>721</v>
      </c>
      <c r="C743" s="1105"/>
      <c r="D743" s="1105"/>
      <c r="E743" s="1105"/>
      <c r="F743" s="1105"/>
      <c r="G743" s="1128" t="s">
        <v>1567</v>
      </c>
      <c r="H743" s="59">
        <v>30</v>
      </c>
      <c r="I743" s="1404">
        <v>265</v>
      </c>
      <c r="J743" s="1404">
        <f t="shared" si="15"/>
        <v>7950</v>
      </c>
      <c r="K743" s="551"/>
      <c r="L743" s="551"/>
      <c r="M743" s="551"/>
      <c r="N743" s="551"/>
      <c r="O743" s="551"/>
      <c r="P743" s="551"/>
      <c r="Q743" s="551"/>
      <c r="R743" s="551"/>
      <c r="S743" s="551"/>
      <c r="T743" s="551"/>
      <c r="U743" s="551"/>
      <c r="V743" s="551"/>
      <c r="W743" s="551"/>
      <c r="X743" s="551"/>
      <c r="Y743" s="551"/>
      <c r="Z743" s="551"/>
      <c r="AA743" s="551"/>
      <c r="AB743" s="551"/>
    </row>
    <row r="744" spans="1:28" ht="15" customHeight="1" x14ac:dyDescent="0.25">
      <c r="A744" s="1454">
        <v>7</v>
      </c>
      <c r="B744" s="1451" t="s">
        <v>1573</v>
      </c>
      <c r="C744" s="1105"/>
      <c r="D744" s="1105"/>
      <c r="E744" s="1105"/>
      <c r="F744" s="1105"/>
      <c r="G744" s="1128" t="s">
        <v>304</v>
      </c>
      <c r="H744" s="59">
        <v>20</v>
      </c>
      <c r="I744" s="1404">
        <v>42</v>
      </c>
      <c r="J744" s="1404">
        <f t="shared" si="15"/>
        <v>840</v>
      </c>
      <c r="K744" s="551"/>
      <c r="L744" s="551"/>
      <c r="M744" s="551"/>
      <c r="N744" s="551"/>
      <c r="O744" s="551"/>
      <c r="P744" s="551"/>
      <c r="Q744" s="551"/>
      <c r="R744" s="551"/>
      <c r="S744" s="551"/>
      <c r="T744" s="551"/>
      <c r="U744" s="551"/>
      <c r="V744" s="551"/>
      <c r="W744" s="551"/>
      <c r="X744" s="551"/>
      <c r="Y744" s="551"/>
      <c r="Z744" s="551"/>
      <c r="AA744" s="551"/>
      <c r="AB744" s="551"/>
    </row>
    <row r="745" spans="1:28" ht="15" customHeight="1" x14ac:dyDescent="0.25">
      <c r="A745" s="1454">
        <v>8</v>
      </c>
      <c r="B745" s="1451" t="s">
        <v>719</v>
      </c>
      <c r="C745" s="1105"/>
      <c r="D745" s="1105"/>
      <c r="E745" s="1105"/>
      <c r="F745" s="1105"/>
      <c r="G745" s="1128" t="s">
        <v>1567</v>
      </c>
      <c r="H745" s="59">
        <v>1</v>
      </c>
      <c r="I745" s="1404">
        <v>2970</v>
      </c>
      <c r="J745" s="1404">
        <f t="shared" si="15"/>
        <v>2970</v>
      </c>
      <c r="K745" s="551"/>
      <c r="L745" s="551"/>
      <c r="M745" s="551"/>
      <c r="N745" s="551"/>
      <c r="O745" s="551"/>
      <c r="P745" s="551"/>
      <c r="Q745" s="551"/>
      <c r="R745" s="551"/>
      <c r="S745" s="551"/>
      <c r="T745" s="551"/>
      <c r="U745" s="551"/>
      <c r="V745" s="551"/>
      <c r="W745" s="551"/>
      <c r="X745" s="551"/>
      <c r="Y745" s="551"/>
      <c r="Z745" s="551"/>
      <c r="AA745" s="551"/>
      <c r="AB745" s="551"/>
    </row>
    <row r="746" spans="1:28" ht="15" customHeight="1" x14ac:dyDescent="0.25">
      <c r="A746" s="1454">
        <v>9</v>
      </c>
      <c r="B746" s="1451" t="s">
        <v>1618</v>
      </c>
      <c r="C746" s="1105"/>
      <c r="D746" s="1105"/>
      <c r="E746" s="1105"/>
      <c r="F746" s="1105"/>
      <c r="G746" s="1128" t="s">
        <v>1567</v>
      </c>
      <c r="H746" s="59">
        <v>100</v>
      </c>
      <c r="I746" s="1404">
        <v>150</v>
      </c>
      <c r="J746" s="1404">
        <f t="shared" si="15"/>
        <v>15000</v>
      </c>
      <c r="K746" s="551"/>
      <c r="L746" s="551"/>
      <c r="M746" s="551"/>
      <c r="N746" s="551"/>
      <c r="O746" s="551"/>
      <c r="P746" s="551"/>
      <c r="Q746" s="551"/>
      <c r="R746" s="551"/>
      <c r="S746" s="551"/>
      <c r="T746" s="551"/>
      <c r="U746" s="551"/>
      <c r="V746" s="551"/>
      <c r="W746" s="551"/>
      <c r="X746" s="551"/>
      <c r="Y746" s="551"/>
      <c r="Z746" s="551"/>
      <c r="AA746" s="551"/>
      <c r="AB746" s="551"/>
    </row>
    <row r="747" spans="1:28" ht="15" customHeight="1" x14ac:dyDescent="0.25">
      <c r="A747" s="1454">
        <v>10</v>
      </c>
      <c r="B747" s="1451" t="s">
        <v>1619</v>
      </c>
      <c r="C747" s="1105"/>
      <c r="D747" s="1105"/>
      <c r="E747" s="1105"/>
      <c r="F747" s="1105"/>
      <c r="G747" s="1128" t="s">
        <v>304</v>
      </c>
      <c r="H747" s="59">
        <v>10</v>
      </c>
      <c r="I747" s="1404">
        <v>310</v>
      </c>
      <c r="J747" s="1404">
        <f t="shared" si="15"/>
        <v>3100</v>
      </c>
      <c r="K747" s="551"/>
      <c r="L747" s="551"/>
      <c r="M747" s="551"/>
      <c r="N747" s="551"/>
      <c r="O747" s="551"/>
      <c r="P747" s="551"/>
      <c r="Q747" s="551"/>
      <c r="R747" s="551"/>
      <c r="S747" s="551"/>
      <c r="T747" s="551"/>
      <c r="U747" s="551"/>
      <c r="V747" s="551"/>
      <c r="W747" s="551"/>
      <c r="X747" s="551"/>
      <c r="Y747" s="551"/>
      <c r="Z747" s="551"/>
      <c r="AA747" s="551"/>
      <c r="AB747" s="551"/>
    </row>
    <row r="748" spans="1:28" x14ac:dyDescent="0.25">
      <c r="A748" s="1895" t="s">
        <v>39</v>
      </c>
      <c r="B748" s="1895"/>
      <c r="C748" s="1895"/>
      <c r="D748" s="1895"/>
      <c r="E748" s="1895"/>
      <c r="F748" s="1895"/>
      <c r="G748" s="1895"/>
      <c r="H748" s="1406" t="s">
        <v>5</v>
      </c>
      <c r="I748" s="1406" t="s">
        <v>5</v>
      </c>
      <c r="J748" s="1406">
        <f>SUM(J738:J747)</f>
        <v>40000</v>
      </c>
      <c r="K748" s="550"/>
      <c r="L748" s="551"/>
      <c r="M748" s="551"/>
      <c r="N748" s="551"/>
      <c r="O748" s="551"/>
      <c r="P748" s="551"/>
      <c r="Q748" s="551"/>
      <c r="R748" s="551"/>
      <c r="S748" s="551"/>
      <c r="T748" s="551"/>
      <c r="U748" s="551"/>
      <c r="V748" s="551"/>
      <c r="W748" s="551"/>
      <c r="X748" s="551"/>
      <c r="Y748" s="551"/>
      <c r="Z748" s="551"/>
      <c r="AA748" s="551"/>
      <c r="AB748" s="551"/>
    </row>
    <row r="749" spans="1:28" hidden="1" x14ac:dyDescent="0.25">
      <c r="A749" s="2347" t="s">
        <v>153</v>
      </c>
      <c r="B749" s="2348"/>
      <c r="C749" s="2348"/>
      <c r="D749" s="2348"/>
      <c r="E749" s="2348"/>
      <c r="F749" s="2348"/>
      <c r="G749" s="2348"/>
      <c r="H749" s="2348"/>
      <c r="I749" s="2349"/>
      <c r="J749" s="1070">
        <v>40000</v>
      </c>
      <c r="K749" s="550"/>
      <c r="L749" s="551"/>
      <c r="M749" s="551"/>
      <c r="N749" s="551"/>
      <c r="O749" s="551"/>
      <c r="P749" s="551"/>
      <c r="Q749" s="551"/>
      <c r="R749" s="551"/>
      <c r="S749" s="551"/>
      <c r="T749" s="551"/>
      <c r="U749" s="551"/>
      <c r="V749" s="551"/>
      <c r="W749" s="551"/>
      <c r="X749" s="551"/>
      <c r="Y749" s="551"/>
      <c r="Z749" s="551"/>
      <c r="AA749" s="551"/>
      <c r="AB749" s="551"/>
    </row>
    <row r="750" spans="1:28" hidden="1" x14ac:dyDescent="0.25">
      <c r="A750" s="2347" t="s">
        <v>619</v>
      </c>
      <c r="B750" s="2348"/>
      <c r="C750" s="2348"/>
      <c r="D750" s="2348"/>
      <c r="E750" s="2348"/>
      <c r="F750" s="2348"/>
      <c r="G750" s="2348"/>
      <c r="H750" s="2348"/>
      <c r="I750" s="2349"/>
      <c r="J750" s="711">
        <f>J748-J749</f>
        <v>0</v>
      </c>
      <c r="K750" s="550"/>
      <c r="L750" s="551"/>
      <c r="M750" s="551"/>
      <c r="N750" s="551"/>
      <c r="O750" s="551"/>
      <c r="P750" s="551"/>
      <c r="Q750" s="551"/>
      <c r="R750" s="551"/>
      <c r="S750" s="551"/>
      <c r="T750" s="551"/>
      <c r="U750" s="551"/>
      <c r="V750" s="551"/>
      <c r="W750" s="551"/>
      <c r="X750" s="551"/>
      <c r="Y750" s="551"/>
      <c r="Z750" s="551"/>
      <c r="AA750" s="551"/>
      <c r="AB750" s="551"/>
    </row>
    <row r="751" spans="1:28" x14ac:dyDescent="0.25">
      <c r="K751" s="551"/>
      <c r="L751" s="551"/>
      <c r="M751" s="551"/>
      <c r="N751" s="551"/>
      <c r="O751" s="551"/>
      <c r="P751" s="551"/>
      <c r="Q751" s="551"/>
      <c r="R751" s="551"/>
      <c r="S751" s="551"/>
      <c r="T751" s="551"/>
      <c r="U751" s="551"/>
      <c r="V751" s="551"/>
      <c r="W751" s="551"/>
      <c r="X751" s="551"/>
      <c r="Y751" s="551"/>
      <c r="Z751" s="551"/>
      <c r="AA751" s="551"/>
      <c r="AB751" s="551"/>
    </row>
    <row r="752" spans="1:28" x14ac:dyDescent="0.25">
      <c r="A752" s="973" t="s">
        <v>26</v>
      </c>
      <c r="B752" s="981"/>
      <c r="C752" s="981"/>
      <c r="D752" s="981"/>
      <c r="E752" s="975" t="s">
        <v>626</v>
      </c>
      <c r="F752" s="976"/>
      <c r="G752" s="976"/>
      <c r="H752" s="977"/>
      <c r="I752" s="978"/>
      <c r="J752" s="979">
        <f>J753</f>
        <v>69075.34</v>
      </c>
      <c r="K752" s="341"/>
      <c r="L752" s="2" t="s">
        <v>1284</v>
      </c>
      <c r="M752" s="883"/>
      <c r="N752" s="889"/>
      <c r="O752" s="890"/>
      <c r="P752" s="551"/>
      <c r="Q752" s="551"/>
      <c r="R752" s="551"/>
      <c r="S752" s="551"/>
      <c r="T752" s="551"/>
      <c r="U752" s="551"/>
      <c r="V752" s="551"/>
      <c r="W752" s="551"/>
      <c r="X752" s="551"/>
      <c r="Y752" s="551"/>
      <c r="Z752" s="551"/>
      <c r="AA752" s="551"/>
      <c r="AB752" s="551"/>
    </row>
    <row r="753" spans="1:28" x14ac:dyDescent="0.25">
      <c r="A753" s="507" t="s">
        <v>27</v>
      </c>
      <c r="B753" s="504"/>
      <c r="C753" s="504"/>
      <c r="D753" s="504"/>
      <c r="E753" s="509" t="s">
        <v>1837</v>
      </c>
      <c r="J753" s="506">
        <f>J855</f>
        <v>69075.34</v>
      </c>
      <c r="K753" s="341"/>
      <c r="L753" s="2" t="s">
        <v>1285</v>
      </c>
      <c r="M753" s="341"/>
      <c r="N753" s="341"/>
      <c r="O753" s="765"/>
      <c r="P753" s="551"/>
      <c r="Q753" s="551"/>
      <c r="R753" s="551"/>
      <c r="S753" s="551"/>
      <c r="T753" s="551"/>
      <c r="U753" s="551"/>
      <c r="V753" s="551"/>
      <c r="W753" s="551"/>
      <c r="X753" s="551"/>
      <c r="Y753" s="551"/>
      <c r="Z753" s="551"/>
      <c r="AA753" s="551"/>
      <c r="AB753" s="551"/>
    </row>
    <row r="754" spans="1:28" hidden="1" x14ac:dyDescent="0.25">
      <c r="A754" s="1449" t="s">
        <v>715</v>
      </c>
      <c r="K754" s="341"/>
      <c r="L754" s="828" t="s">
        <v>1286</v>
      </c>
      <c r="M754" s="573"/>
      <c r="N754" s="829" t="s">
        <v>1287</v>
      </c>
      <c r="O754" s="838">
        <f>K753+M754</f>
        <v>0</v>
      </c>
      <c r="P754" s="565">
        <f>J752-O754</f>
        <v>69075.34</v>
      </c>
      <c r="Q754" s="551"/>
      <c r="R754" s="551"/>
      <c r="S754" s="551"/>
      <c r="T754" s="551"/>
      <c r="U754" s="551"/>
      <c r="V754" s="551"/>
      <c r="W754" s="551"/>
      <c r="X754" s="551"/>
      <c r="Y754" s="551"/>
      <c r="Z754" s="551"/>
      <c r="AA754" s="551"/>
      <c r="AB754" s="551"/>
    </row>
    <row r="755" spans="1:28" ht="15" hidden="1" customHeight="1" x14ac:dyDescent="0.25">
      <c r="A755" s="2170" t="s">
        <v>8</v>
      </c>
      <c r="B755" s="2170" t="s">
        <v>35</v>
      </c>
      <c r="C755" s="2173"/>
      <c r="D755" s="2173"/>
      <c r="E755" s="2173"/>
      <c r="F755" s="2173"/>
      <c r="G755" s="2170" t="s">
        <v>61</v>
      </c>
      <c r="H755" s="2193" t="s">
        <v>1827</v>
      </c>
      <c r="I755" s="2240"/>
      <c r="J755" s="2179"/>
      <c r="K755" s="565"/>
      <c r="L755" s="600"/>
      <c r="M755" s="573"/>
      <c r="N755" s="508"/>
      <c r="O755" s="508"/>
      <c r="P755" s="508"/>
      <c r="Q755" s="508"/>
      <c r="R755" s="508"/>
      <c r="S755" s="508"/>
      <c r="T755" s="508"/>
      <c r="U755" s="551"/>
      <c r="V755" s="551"/>
      <c r="W755" s="551"/>
      <c r="X755" s="551"/>
      <c r="Y755" s="551"/>
      <c r="Z755" s="551"/>
      <c r="AA755" s="551"/>
      <c r="AB755" s="551"/>
    </row>
    <row r="756" spans="1:28" ht="33.75" hidden="1" customHeight="1" x14ac:dyDescent="0.25">
      <c r="A756" s="2170"/>
      <c r="B756" s="2173"/>
      <c r="C756" s="2173"/>
      <c r="D756" s="2173"/>
      <c r="E756" s="2173"/>
      <c r="F756" s="2173"/>
      <c r="G756" s="2170"/>
      <c r="H756" s="1410" t="s">
        <v>248</v>
      </c>
      <c r="I756" s="1420" t="s">
        <v>264</v>
      </c>
      <c r="J756" s="1420" t="s">
        <v>256</v>
      </c>
      <c r="K756" s="551"/>
      <c r="L756" s="600"/>
      <c r="M756" s="586"/>
      <c r="N756" s="586"/>
      <c r="O756" s="586"/>
      <c r="P756" s="586"/>
      <c r="Q756" s="559"/>
      <c r="R756" s="514"/>
      <c r="S756" s="559"/>
      <c r="T756" s="559"/>
      <c r="U756" s="551"/>
      <c r="V756" s="551"/>
      <c r="W756" s="551"/>
      <c r="X756" s="551"/>
      <c r="Y756" s="551"/>
      <c r="Z756" s="551"/>
      <c r="AA756" s="551"/>
      <c r="AB756" s="551"/>
    </row>
    <row r="757" spans="1:28" s="556" customFormat="1" ht="14.25" hidden="1" customHeight="1" x14ac:dyDescent="0.25">
      <c r="A757" s="2318" t="s">
        <v>1668</v>
      </c>
      <c r="B757" s="2319"/>
      <c r="C757" s="2319"/>
      <c r="D757" s="2319"/>
      <c r="E757" s="2319"/>
      <c r="F757" s="2319"/>
      <c r="G757" s="2319"/>
      <c r="H757" s="2319"/>
      <c r="I757" s="2320"/>
      <c r="J757" s="1228">
        <f>SUM(J758:J758)</f>
        <v>0</v>
      </c>
      <c r="K757" s="582"/>
      <c r="L757" s="1182"/>
      <c r="M757" s="579"/>
      <c r="N757" s="579"/>
      <c r="Q757" s="1183"/>
      <c r="R757" s="1184"/>
      <c r="S757" s="1185"/>
      <c r="T757" s="1186"/>
    </row>
    <row r="758" spans="1:28" ht="14.25" hidden="1" customHeight="1" x14ac:dyDescent="0.25">
      <c r="A758" s="1127">
        <v>2</v>
      </c>
      <c r="B758" s="2343" t="s">
        <v>755</v>
      </c>
      <c r="C758" s="2219"/>
      <c r="D758" s="2219"/>
      <c r="E758" s="2219"/>
      <c r="F758" s="2219"/>
      <c r="G758" s="1420" t="s">
        <v>304</v>
      </c>
      <c r="H758" s="1135"/>
      <c r="I758" s="1136">
        <v>330</v>
      </c>
      <c r="J758" s="1181">
        <f t="shared" ref="J758" si="16">H758*I758</f>
        <v>0</v>
      </c>
      <c r="K758" s="582"/>
      <c r="L758" s="815"/>
      <c r="O758" s="551"/>
      <c r="P758" s="551"/>
      <c r="Q758" s="1137"/>
      <c r="R758" s="1138"/>
      <c r="S758" s="1139"/>
      <c r="T758" s="1140"/>
      <c r="U758" s="551"/>
      <c r="V758" s="551"/>
      <c r="W758" s="551"/>
      <c r="X758" s="551"/>
      <c r="Y758" s="551"/>
      <c r="Z758" s="551"/>
      <c r="AA758" s="551"/>
      <c r="AB758" s="551"/>
    </row>
    <row r="759" spans="1:28" hidden="1" x14ac:dyDescent="0.25">
      <c r="A759" s="2344" t="s">
        <v>39</v>
      </c>
      <c r="B759" s="2345"/>
      <c r="C759" s="2345"/>
      <c r="D759" s="2345"/>
      <c r="E759" s="2345"/>
      <c r="F759" s="2345"/>
      <c r="G759" s="2345"/>
      <c r="H759" s="2345"/>
      <c r="I759" s="2346"/>
      <c r="J759" s="1192">
        <f>J757</f>
        <v>0</v>
      </c>
      <c r="L759" s="1125"/>
      <c r="M759" s="1126"/>
      <c r="N759" s="586"/>
      <c r="O759" s="586"/>
      <c r="P759" s="586"/>
      <c r="Q759" s="559"/>
      <c r="R759" s="514"/>
      <c r="S759" s="559"/>
      <c r="T759" s="559"/>
      <c r="U759" s="551"/>
      <c r="V759" s="551"/>
      <c r="W759" s="551"/>
      <c r="X759" s="551"/>
      <c r="Y759" s="551"/>
      <c r="Z759" s="551"/>
      <c r="AA759" s="551"/>
      <c r="AB759" s="551"/>
    </row>
    <row r="760" spans="1:28" hidden="1" x14ac:dyDescent="0.25">
      <c r="A760" s="507"/>
      <c r="B760" s="504"/>
      <c r="C760" s="504"/>
      <c r="D760" s="504"/>
      <c r="E760" s="509"/>
      <c r="K760" s="553"/>
      <c r="L760" s="1125"/>
      <c r="M760" s="1126"/>
      <c r="N760" s="551"/>
      <c r="O760" s="551"/>
      <c r="P760" s="551"/>
      <c r="Q760" s="551"/>
      <c r="R760" s="551"/>
      <c r="S760" s="551"/>
      <c r="T760" s="551"/>
      <c r="U760" s="551"/>
      <c r="V760" s="551"/>
      <c r="W760" s="551"/>
      <c r="X760" s="551"/>
      <c r="Y760" s="551"/>
      <c r="Z760" s="551"/>
      <c r="AA760" s="551"/>
      <c r="AB760" s="551"/>
    </row>
    <row r="761" spans="1:28" ht="15" hidden="1" customHeight="1" x14ac:dyDescent="0.25">
      <c r="A761" s="1449" t="s">
        <v>1174</v>
      </c>
      <c r="K761" s="553"/>
      <c r="L761" s="582"/>
      <c r="M761" s="1126">
        <v>13</v>
      </c>
      <c r="N761" s="551"/>
      <c r="O761" s="551"/>
      <c r="P761" s="551"/>
      <c r="Q761" s="551"/>
      <c r="R761" s="551"/>
      <c r="S761" s="551"/>
      <c r="T761" s="551"/>
      <c r="U761" s="551"/>
      <c r="V761" s="551"/>
      <c r="W761" s="551"/>
      <c r="X761" s="551"/>
      <c r="Y761" s="551"/>
      <c r="Z761" s="551"/>
      <c r="AA761" s="551"/>
      <c r="AB761" s="551"/>
    </row>
    <row r="762" spans="1:28" ht="15" hidden="1" customHeight="1" x14ac:dyDescent="0.25">
      <c r="A762" s="2170" t="s">
        <v>8</v>
      </c>
      <c r="B762" s="2170" t="s">
        <v>35</v>
      </c>
      <c r="C762" s="2170"/>
      <c r="D762" s="2170"/>
      <c r="E762" s="2170"/>
      <c r="F762" s="2170"/>
      <c r="G762" s="2170" t="s">
        <v>61</v>
      </c>
      <c r="H762" s="2193" t="s">
        <v>735</v>
      </c>
      <c r="I762" s="2240"/>
      <c r="J762" s="2179"/>
      <c r="K762" s="553"/>
      <c r="L762" s="582"/>
      <c r="M762" s="1126">
        <v>14</v>
      </c>
      <c r="N762" s="551"/>
      <c r="O762" s="551"/>
      <c r="P762" s="551"/>
      <c r="Q762" s="551"/>
      <c r="R762" s="551"/>
      <c r="S762" s="551"/>
      <c r="T762" s="551"/>
      <c r="U762" s="551"/>
      <c r="V762" s="551"/>
      <c r="W762" s="551"/>
      <c r="X762" s="551"/>
      <c r="Y762" s="551"/>
      <c r="Z762" s="551"/>
      <c r="AA762" s="551"/>
      <c r="AB762" s="551"/>
    </row>
    <row r="763" spans="1:28" ht="30" hidden="1" customHeight="1" x14ac:dyDescent="0.25">
      <c r="A763" s="2170"/>
      <c r="B763" s="2170"/>
      <c r="C763" s="2170"/>
      <c r="D763" s="2170"/>
      <c r="E763" s="2170"/>
      <c r="F763" s="2170"/>
      <c r="G763" s="2170"/>
      <c r="H763" s="1410" t="s">
        <v>248</v>
      </c>
      <c r="I763" s="1420" t="s">
        <v>264</v>
      </c>
      <c r="J763" s="1420" t="s">
        <v>256</v>
      </c>
      <c r="K763" s="553"/>
      <c r="L763" s="582"/>
      <c r="M763" s="1126">
        <v>15</v>
      </c>
      <c r="N763" s="551"/>
      <c r="O763" s="551"/>
      <c r="P763" s="551"/>
      <c r="Q763" s="551"/>
      <c r="R763" s="551"/>
      <c r="S763" s="551"/>
      <c r="T763" s="551"/>
      <c r="U763" s="551"/>
      <c r="V763" s="551"/>
      <c r="W763" s="551"/>
      <c r="X763" s="551"/>
      <c r="Y763" s="551"/>
      <c r="Z763" s="551"/>
      <c r="AA763" s="551"/>
      <c r="AB763" s="551"/>
    </row>
    <row r="764" spans="1:28" ht="15" hidden="1" customHeight="1" x14ac:dyDescent="0.25">
      <c r="A764" s="1127">
        <v>1</v>
      </c>
      <c r="B764" s="2283" t="s">
        <v>1178</v>
      </c>
      <c r="C764" s="2283"/>
      <c r="D764" s="2283"/>
      <c r="E764" s="2283"/>
      <c r="F764" s="2283"/>
      <c r="G764" s="1420" t="s">
        <v>1192</v>
      </c>
      <c r="H764" s="1229"/>
      <c r="I764" s="1420">
        <v>112</v>
      </c>
      <c r="J764" s="1426">
        <f>H764*I764</f>
        <v>0</v>
      </c>
      <c r="K764" s="553"/>
      <c r="L764" s="582"/>
      <c r="M764" s="1126">
        <v>16</v>
      </c>
      <c r="N764" s="551"/>
      <c r="O764" s="551"/>
      <c r="P764" s="551"/>
      <c r="Q764" s="551"/>
      <c r="R764" s="551"/>
      <c r="S764" s="551"/>
      <c r="T764" s="551"/>
      <c r="U764" s="551"/>
      <c r="V764" s="551"/>
      <c r="W764" s="551"/>
      <c r="X764" s="551"/>
      <c r="Y764" s="551"/>
      <c r="Z764" s="551"/>
      <c r="AA764" s="551"/>
      <c r="AB764" s="551"/>
    </row>
    <row r="765" spans="1:28" ht="15" hidden="1" customHeight="1" x14ac:dyDescent="0.25">
      <c r="A765" s="1127">
        <v>2</v>
      </c>
      <c r="B765" s="2283" t="s">
        <v>1179</v>
      </c>
      <c r="C765" s="2283"/>
      <c r="D765" s="2283"/>
      <c r="E765" s="2283"/>
      <c r="F765" s="2283"/>
      <c r="G765" s="1420" t="s">
        <v>1192</v>
      </c>
      <c r="H765" s="1229"/>
      <c r="I765" s="1420">
        <v>237</v>
      </c>
      <c r="J765" s="1426">
        <f t="shared" ref="J765:J815" si="17">H765*I765</f>
        <v>0</v>
      </c>
      <c r="K765" s="553"/>
      <c r="L765" s="582"/>
      <c r="M765" s="1126">
        <v>17</v>
      </c>
      <c r="N765" s="551"/>
      <c r="O765" s="551"/>
      <c r="P765" s="551"/>
      <c r="Q765" s="551"/>
      <c r="R765" s="551"/>
      <c r="S765" s="551"/>
      <c r="T765" s="551"/>
      <c r="U765" s="551"/>
      <c r="V765" s="551"/>
      <c r="W765" s="551"/>
      <c r="X765" s="551"/>
      <c r="Y765" s="551"/>
      <c r="Z765" s="551"/>
      <c r="AA765" s="551"/>
      <c r="AB765" s="551"/>
    </row>
    <row r="766" spans="1:28" ht="15" hidden="1" customHeight="1" x14ac:dyDescent="0.25">
      <c r="A766" s="1127">
        <v>3</v>
      </c>
      <c r="B766" s="2283" t="s">
        <v>1180</v>
      </c>
      <c r="C766" s="2283"/>
      <c r="D766" s="2283"/>
      <c r="E766" s="2283"/>
      <c r="F766" s="2283"/>
      <c r="G766" s="1420" t="s">
        <v>1192</v>
      </c>
      <c r="H766" s="1229"/>
      <c r="I766" s="1420">
        <v>196</v>
      </c>
      <c r="J766" s="1426">
        <f t="shared" si="17"/>
        <v>0</v>
      </c>
      <c r="K766" s="553"/>
      <c r="L766" s="582"/>
      <c r="M766" s="1126">
        <v>18</v>
      </c>
      <c r="N766" s="551"/>
      <c r="O766" s="551"/>
      <c r="P766" s="551"/>
      <c r="Q766" s="551"/>
      <c r="R766" s="551"/>
      <c r="S766" s="551"/>
      <c r="T766" s="551"/>
      <c r="U766" s="551"/>
      <c r="V766" s="551"/>
      <c r="W766" s="551"/>
      <c r="X766" s="551"/>
      <c r="Y766" s="551"/>
      <c r="Z766" s="551"/>
      <c r="AA766" s="551"/>
      <c r="AB766" s="551"/>
    </row>
    <row r="767" spans="1:28" ht="15" hidden="1" customHeight="1" x14ac:dyDescent="0.25">
      <c r="A767" s="1127">
        <v>4</v>
      </c>
      <c r="B767" s="2283" t="s">
        <v>1181</v>
      </c>
      <c r="C767" s="2283"/>
      <c r="D767" s="2283"/>
      <c r="E767" s="2283"/>
      <c r="F767" s="2283"/>
      <c r="G767" s="1420" t="s">
        <v>1192</v>
      </c>
      <c r="H767" s="1229"/>
      <c r="I767" s="1420">
        <v>277</v>
      </c>
      <c r="J767" s="1426">
        <f t="shared" si="17"/>
        <v>0</v>
      </c>
      <c r="K767" s="553"/>
      <c r="L767" s="582"/>
      <c r="M767" s="1126">
        <v>19</v>
      </c>
      <c r="N767" s="551"/>
      <c r="O767" s="551"/>
      <c r="P767" s="551"/>
      <c r="Q767" s="551"/>
      <c r="R767" s="551"/>
      <c r="S767" s="551"/>
      <c r="T767" s="551"/>
      <c r="U767" s="551"/>
      <c r="V767" s="551"/>
      <c r="W767" s="551"/>
      <c r="X767" s="551"/>
      <c r="Y767" s="551"/>
      <c r="Z767" s="551"/>
      <c r="AA767" s="551"/>
      <c r="AB767" s="551"/>
    </row>
    <row r="768" spans="1:28" ht="15" hidden="1" customHeight="1" x14ac:dyDescent="0.25">
      <c r="A768" s="1127">
        <v>5</v>
      </c>
      <c r="B768" s="2283" t="s">
        <v>1182</v>
      </c>
      <c r="C768" s="2283"/>
      <c r="D768" s="2283"/>
      <c r="E768" s="2283"/>
      <c r="F768" s="2283"/>
      <c r="G768" s="1420" t="s">
        <v>245</v>
      </c>
      <c r="H768" s="1229"/>
      <c r="I768" s="1420">
        <v>584</v>
      </c>
      <c r="J768" s="1426">
        <f t="shared" si="17"/>
        <v>0</v>
      </c>
      <c r="K768" s="553"/>
      <c r="L768" s="582"/>
      <c r="M768" s="1126">
        <v>20</v>
      </c>
      <c r="N768" s="551"/>
      <c r="O768" s="551"/>
      <c r="P768" s="551"/>
      <c r="Q768" s="551"/>
      <c r="R768" s="551"/>
      <c r="S768" s="551"/>
      <c r="T768" s="551"/>
      <c r="U768" s="551"/>
      <c r="V768" s="551"/>
      <c r="W768" s="551"/>
      <c r="X768" s="551"/>
      <c r="Y768" s="551"/>
      <c r="Z768" s="551"/>
      <c r="AA768" s="551"/>
      <c r="AB768" s="551"/>
    </row>
    <row r="769" spans="1:28" ht="15" hidden="1" customHeight="1" x14ac:dyDescent="0.25">
      <c r="A769" s="1127">
        <v>6</v>
      </c>
      <c r="B769" s="2283" t="s">
        <v>1183</v>
      </c>
      <c r="C769" s="2283"/>
      <c r="D769" s="2283"/>
      <c r="E769" s="2283"/>
      <c r="F769" s="2283"/>
      <c r="G769" s="1420" t="s">
        <v>245</v>
      </c>
      <c r="H769" s="1229"/>
      <c r="I769" s="1420">
        <v>1458</v>
      </c>
      <c r="J769" s="1426">
        <f t="shared" si="17"/>
        <v>0</v>
      </c>
      <c r="K769" s="553"/>
      <c r="L769" s="582"/>
      <c r="M769" s="1126">
        <v>21</v>
      </c>
      <c r="N769" s="551"/>
      <c r="O769" s="551"/>
      <c r="P769" s="551"/>
      <c r="Q769" s="551"/>
      <c r="R769" s="551"/>
      <c r="S769" s="551"/>
      <c r="T769" s="551"/>
      <c r="U769" s="551"/>
      <c r="V769" s="551"/>
      <c r="W769" s="551"/>
      <c r="X769" s="551"/>
      <c r="Y769" s="551"/>
      <c r="Z769" s="551"/>
      <c r="AA769" s="551"/>
      <c r="AB769" s="551"/>
    </row>
    <row r="770" spans="1:28" ht="15" hidden="1" customHeight="1" x14ac:dyDescent="0.25">
      <c r="A770" s="1127">
        <v>7</v>
      </c>
      <c r="B770" s="2283" t="s">
        <v>1184</v>
      </c>
      <c r="C770" s="2283"/>
      <c r="D770" s="2283"/>
      <c r="E770" s="2283"/>
      <c r="F770" s="2283"/>
      <c r="G770" s="1420" t="s">
        <v>1192</v>
      </c>
      <c r="H770" s="1229"/>
      <c r="I770" s="1420">
        <v>83</v>
      </c>
      <c r="J770" s="1426">
        <f t="shared" si="17"/>
        <v>0</v>
      </c>
      <c r="K770" s="553"/>
      <c r="L770" s="582"/>
      <c r="M770" s="1126">
        <v>22</v>
      </c>
      <c r="N770" s="551"/>
      <c r="O770" s="551"/>
      <c r="P770" s="551"/>
      <c r="Q770" s="551"/>
      <c r="R770" s="551"/>
      <c r="S770" s="551"/>
      <c r="T770" s="551"/>
      <c r="U770" s="551"/>
      <c r="V770" s="551"/>
      <c r="W770" s="551"/>
      <c r="X770" s="551"/>
      <c r="Y770" s="551"/>
      <c r="Z770" s="551"/>
      <c r="AA770" s="551"/>
      <c r="AB770" s="551"/>
    </row>
    <row r="771" spans="1:28" ht="15" hidden="1" customHeight="1" x14ac:dyDescent="0.25">
      <c r="A771" s="1127">
        <v>8</v>
      </c>
      <c r="B771" s="2283" t="s">
        <v>1185</v>
      </c>
      <c r="C771" s="2283"/>
      <c r="D771" s="2283"/>
      <c r="E771" s="2283"/>
      <c r="F771" s="2283"/>
      <c r="G771" s="1420" t="s">
        <v>1192</v>
      </c>
      <c r="H771" s="1229"/>
      <c r="I771" s="1420">
        <v>93</v>
      </c>
      <c r="J771" s="1426">
        <f t="shared" si="17"/>
        <v>0</v>
      </c>
      <c r="K771" s="553"/>
      <c r="L771" s="582"/>
      <c r="M771" s="1126">
        <v>23</v>
      </c>
      <c r="N771" s="551"/>
      <c r="O771" s="551"/>
      <c r="P771" s="551"/>
      <c r="Q771" s="551"/>
      <c r="R771" s="551"/>
      <c r="S771" s="551"/>
      <c r="T771" s="551"/>
      <c r="U771" s="551"/>
      <c r="V771" s="551"/>
      <c r="W771" s="551"/>
      <c r="X771" s="551"/>
      <c r="Y771" s="551"/>
      <c r="Z771" s="551"/>
      <c r="AA771" s="551"/>
      <c r="AB771" s="551"/>
    </row>
    <row r="772" spans="1:28" ht="15" hidden="1" customHeight="1" x14ac:dyDescent="0.25">
      <c r="A772" s="1127">
        <v>9</v>
      </c>
      <c r="B772" s="2283" t="s">
        <v>1186</v>
      </c>
      <c r="C772" s="2283"/>
      <c r="D772" s="2283"/>
      <c r="E772" s="2283"/>
      <c r="F772" s="2283"/>
      <c r="G772" s="1420" t="s">
        <v>1192</v>
      </c>
      <c r="H772" s="1229"/>
      <c r="I772" s="1420">
        <v>254</v>
      </c>
      <c r="J772" s="1426">
        <f t="shared" si="17"/>
        <v>0</v>
      </c>
      <c r="K772" s="553"/>
      <c r="L772" s="582"/>
      <c r="M772" s="1126">
        <v>24</v>
      </c>
      <c r="N772" s="551"/>
      <c r="O772" s="551"/>
      <c r="P772" s="551"/>
      <c r="Q772" s="551"/>
      <c r="R772" s="551"/>
      <c r="S772" s="551"/>
      <c r="T772" s="551"/>
      <c r="U772" s="551"/>
      <c r="V772" s="551"/>
      <c r="W772" s="551"/>
      <c r="X772" s="551"/>
      <c r="Y772" s="551"/>
      <c r="Z772" s="551"/>
      <c r="AA772" s="551"/>
      <c r="AB772" s="551"/>
    </row>
    <row r="773" spans="1:28" ht="15" hidden="1" customHeight="1" x14ac:dyDescent="0.25">
      <c r="A773" s="1127">
        <v>10</v>
      </c>
      <c r="B773" s="2283" t="s">
        <v>1187</v>
      </c>
      <c r="C773" s="2283"/>
      <c r="D773" s="2283"/>
      <c r="E773" s="2283"/>
      <c r="F773" s="2283"/>
      <c r="G773" s="1420" t="s">
        <v>245</v>
      </c>
      <c r="H773" s="1229"/>
      <c r="I773" s="1420">
        <v>1815</v>
      </c>
      <c r="J773" s="1426">
        <f t="shared" si="17"/>
        <v>0</v>
      </c>
      <c r="K773" s="553"/>
      <c r="L773" s="582"/>
      <c r="M773" s="1126">
        <v>25</v>
      </c>
      <c r="N773" s="551"/>
      <c r="O773" s="551"/>
      <c r="P773" s="551"/>
      <c r="Q773" s="551"/>
      <c r="R773" s="551"/>
      <c r="S773" s="551"/>
      <c r="T773" s="551"/>
      <c r="U773" s="551"/>
      <c r="V773" s="551"/>
      <c r="W773" s="551"/>
      <c r="X773" s="551"/>
      <c r="Y773" s="551"/>
      <c r="Z773" s="551"/>
      <c r="AA773" s="551"/>
      <c r="AB773" s="551"/>
    </row>
    <row r="774" spans="1:28" ht="15" hidden="1" customHeight="1" x14ac:dyDescent="0.25">
      <c r="A774" s="1127">
        <v>11</v>
      </c>
      <c r="B774" s="2283" t="s">
        <v>1188</v>
      </c>
      <c r="C774" s="2283"/>
      <c r="D774" s="2283"/>
      <c r="E774" s="2283"/>
      <c r="F774" s="2283"/>
      <c r="G774" s="1420" t="s">
        <v>245</v>
      </c>
      <c r="H774" s="1229"/>
      <c r="I774" s="1420">
        <v>1304</v>
      </c>
      <c r="J774" s="1426">
        <f t="shared" si="17"/>
        <v>0</v>
      </c>
      <c r="K774" s="553"/>
      <c r="L774" s="582"/>
      <c r="M774" s="1126">
        <v>26</v>
      </c>
      <c r="N774" s="551"/>
      <c r="O774" s="551"/>
      <c r="P774" s="551"/>
      <c r="Q774" s="551"/>
      <c r="R774" s="551"/>
      <c r="S774" s="551"/>
      <c r="T774" s="551"/>
      <c r="U774" s="551"/>
      <c r="V774" s="551"/>
      <c r="W774" s="551"/>
      <c r="X774" s="551"/>
      <c r="Y774" s="551"/>
      <c r="Z774" s="551"/>
      <c r="AA774" s="551"/>
      <c r="AB774" s="551"/>
    </row>
    <row r="775" spans="1:28" ht="15" hidden="1" customHeight="1" x14ac:dyDescent="0.25">
      <c r="A775" s="1127">
        <v>12</v>
      </c>
      <c r="B775" s="2283" t="s">
        <v>1189</v>
      </c>
      <c r="C775" s="2283"/>
      <c r="D775" s="2283"/>
      <c r="E775" s="2283"/>
      <c r="F775" s="2283"/>
      <c r="G775" s="1420" t="s">
        <v>1192</v>
      </c>
      <c r="H775" s="1229"/>
      <c r="I775" s="1420">
        <v>924</v>
      </c>
      <c r="J775" s="1426">
        <f t="shared" si="17"/>
        <v>0</v>
      </c>
      <c r="K775" s="553"/>
      <c r="L775" s="582"/>
      <c r="M775" s="1126">
        <v>27</v>
      </c>
      <c r="N775" s="551"/>
      <c r="O775" s="551"/>
      <c r="P775" s="551"/>
      <c r="Q775" s="551"/>
      <c r="R775" s="551"/>
      <c r="S775" s="551"/>
      <c r="T775" s="551"/>
      <c r="U775" s="551"/>
      <c r="V775" s="551"/>
      <c r="W775" s="551"/>
      <c r="X775" s="551"/>
      <c r="Y775" s="551"/>
      <c r="Z775" s="551"/>
      <c r="AA775" s="551"/>
      <c r="AB775" s="551"/>
    </row>
    <row r="776" spans="1:28" ht="15" hidden="1" customHeight="1" x14ac:dyDescent="0.25">
      <c r="A776" s="1127">
        <v>13</v>
      </c>
      <c r="B776" s="2283" t="s">
        <v>1190</v>
      </c>
      <c r="C776" s="2283"/>
      <c r="D776" s="2283"/>
      <c r="E776" s="2283"/>
      <c r="F776" s="2283"/>
      <c r="G776" s="1420" t="s">
        <v>245</v>
      </c>
      <c r="H776" s="1229"/>
      <c r="I776" s="1420">
        <v>243</v>
      </c>
      <c r="J776" s="1426">
        <f t="shared" si="17"/>
        <v>0</v>
      </c>
      <c r="K776" s="553"/>
      <c r="L776" s="582"/>
      <c r="M776" s="1126">
        <v>28</v>
      </c>
      <c r="N776" s="551"/>
      <c r="O776" s="551"/>
      <c r="P776" s="551"/>
      <c r="Q776" s="551"/>
      <c r="R776" s="551"/>
      <c r="S776" s="551"/>
      <c r="T776" s="551"/>
      <c r="U776" s="551"/>
      <c r="V776" s="551"/>
      <c r="W776" s="551"/>
      <c r="X776" s="551"/>
      <c r="Y776" s="551"/>
      <c r="Z776" s="551"/>
      <c r="AA776" s="551"/>
      <c r="AB776" s="551"/>
    </row>
    <row r="777" spans="1:28" ht="15" hidden="1" customHeight="1" x14ac:dyDescent="0.25">
      <c r="A777" s="1127">
        <v>14</v>
      </c>
      <c r="B777" s="2283" t="s">
        <v>1191</v>
      </c>
      <c r="C777" s="2283"/>
      <c r="D777" s="2283"/>
      <c r="E777" s="2283"/>
      <c r="F777" s="2283"/>
      <c r="G777" s="1420" t="s">
        <v>245</v>
      </c>
      <c r="H777" s="1229"/>
      <c r="I777" s="1420">
        <v>2570</v>
      </c>
      <c r="J777" s="1426">
        <f t="shared" si="17"/>
        <v>0</v>
      </c>
      <c r="K777" s="553"/>
      <c r="L777" s="582"/>
      <c r="M777" s="1126">
        <v>29</v>
      </c>
      <c r="N777" s="551"/>
      <c r="O777" s="551"/>
      <c r="P777" s="551"/>
      <c r="Q777" s="551"/>
      <c r="R777" s="551"/>
      <c r="S777" s="551"/>
      <c r="T777" s="551"/>
      <c r="U777" s="551"/>
      <c r="V777" s="551"/>
      <c r="W777" s="551"/>
      <c r="X777" s="551"/>
      <c r="Y777" s="551"/>
      <c r="Z777" s="551"/>
      <c r="AA777" s="551"/>
      <c r="AB777" s="551"/>
    </row>
    <row r="778" spans="1:28" ht="15" hidden="1" customHeight="1" x14ac:dyDescent="0.25">
      <c r="A778" s="1127">
        <v>15</v>
      </c>
      <c r="B778" s="2283" t="s">
        <v>1193</v>
      </c>
      <c r="C778" s="2283"/>
      <c r="D778" s="2283"/>
      <c r="E778" s="2283"/>
      <c r="F778" s="2283"/>
      <c r="G778" s="1420" t="s">
        <v>245</v>
      </c>
      <c r="H778" s="1229"/>
      <c r="I778" s="1420">
        <v>543</v>
      </c>
      <c r="J778" s="1426">
        <f t="shared" si="17"/>
        <v>0</v>
      </c>
      <c r="K778" s="553"/>
      <c r="L778" s="582"/>
      <c r="M778" s="1126">
        <v>30</v>
      </c>
      <c r="N778" s="551"/>
      <c r="O778" s="551"/>
      <c r="P778" s="551"/>
      <c r="Q778" s="551"/>
      <c r="R778" s="551"/>
      <c r="S778" s="551"/>
      <c r="T778" s="551"/>
      <c r="U778" s="551"/>
      <c r="V778" s="551"/>
      <c r="W778" s="551"/>
      <c r="X778" s="551"/>
      <c r="Y778" s="551"/>
      <c r="Z778" s="551"/>
      <c r="AA778" s="551"/>
      <c r="AB778" s="551"/>
    </row>
    <row r="779" spans="1:28" ht="15" hidden="1" customHeight="1" x14ac:dyDescent="0.25">
      <c r="A779" s="1127">
        <v>16</v>
      </c>
      <c r="B779" s="2283" t="s">
        <v>1194</v>
      </c>
      <c r="C779" s="2283"/>
      <c r="D779" s="2283"/>
      <c r="E779" s="2283"/>
      <c r="F779" s="2283"/>
      <c r="G779" s="1420" t="s">
        <v>716</v>
      </c>
      <c r="H779" s="1229"/>
      <c r="I779" s="1420">
        <v>2108</v>
      </c>
      <c r="J779" s="1426">
        <f t="shared" si="17"/>
        <v>0</v>
      </c>
      <c r="K779" s="553"/>
      <c r="L779" s="582"/>
      <c r="M779" s="1126">
        <v>31</v>
      </c>
      <c r="N779" s="551"/>
      <c r="O779" s="551"/>
      <c r="P779" s="551"/>
      <c r="Q779" s="551"/>
      <c r="R779" s="551"/>
      <c r="S779" s="551"/>
      <c r="T779" s="551"/>
      <c r="U779" s="551"/>
      <c r="V779" s="551"/>
      <c r="W779" s="551"/>
      <c r="X779" s="551"/>
      <c r="Y779" s="551"/>
      <c r="Z779" s="551"/>
      <c r="AA779" s="551"/>
      <c r="AB779" s="551"/>
    </row>
    <row r="780" spans="1:28" ht="15" hidden="1" customHeight="1" x14ac:dyDescent="0.25">
      <c r="A780" s="1127">
        <v>17</v>
      </c>
      <c r="B780" s="2283" t="s">
        <v>1195</v>
      </c>
      <c r="C780" s="2283"/>
      <c r="D780" s="2283"/>
      <c r="E780" s="2283"/>
      <c r="F780" s="2283"/>
      <c r="G780" s="1420" t="s">
        <v>1192</v>
      </c>
      <c r="H780" s="1229"/>
      <c r="I780" s="1420">
        <v>3560</v>
      </c>
      <c r="J780" s="1426">
        <f t="shared" si="17"/>
        <v>0</v>
      </c>
      <c r="K780" s="553"/>
      <c r="L780" s="582"/>
      <c r="M780" s="1126">
        <v>32</v>
      </c>
      <c r="N780" s="551"/>
      <c r="O780" s="551"/>
      <c r="P780" s="551"/>
      <c r="Q780" s="551"/>
      <c r="R780" s="551"/>
      <c r="S780" s="551"/>
      <c r="T780" s="551"/>
      <c r="U780" s="551"/>
      <c r="V780" s="551"/>
      <c r="W780" s="551"/>
      <c r="X780" s="551"/>
      <c r="Y780" s="551"/>
      <c r="Z780" s="551"/>
      <c r="AA780" s="551"/>
      <c r="AB780" s="551"/>
    </row>
    <row r="781" spans="1:28" ht="15" hidden="1" customHeight="1" x14ac:dyDescent="0.25">
      <c r="A781" s="1127">
        <v>18</v>
      </c>
      <c r="B781" s="2283" t="s">
        <v>1196</v>
      </c>
      <c r="C781" s="2283"/>
      <c r="D781" s="2283"/>
      <c r="E781" s="2283"/>
      <c r="F781" s="2283"/>
      <c r="G781" s="1420" t="s">
        <v>1192</v>
      </c>
      <c r="H781" s="1229"/>
      <c r="I781" s="1420">
        <v>4004</v>
      </c>
      <c r="J781" s="1426">
        <f t="shared" si="17"/>
        <v>0</v>
      </c>
      <c r="K781" s="553"/>
      <c r="L781" s="582"/>
      <c r="M781" s="1126">
        <v>33</v>
      </c>
      <c r="N781" s="551"/>
      <c r="O781" s="551"/>
      <c r="P781" s="551"/>
      <c r="Q781" s="551"/>
      <c r="R781" s="551"/>
      <c r="S781" s="551"/>
      <c r="T781" s="551"/>
      <c r="U781" s="551"/>
      <c r="V781" s="551"/>
      <c r="W781" s="551"/>
      <c r="X781" s="551"/>
      <c r="Y781" s="551"/>
      <c r="Z781" s="551"/>
      <c r="AA781" s="551"/>
      <c r="AB781" s="551"/>
    </row>
    <row r="782" spans="1:28" ht="15" hidden="1" customHeight="1" x14ac:dyDescent="0.25">
      <c r="A782" s="1127">
        <v>19</v>
      </c>
      <c r="B782" s="2283" t="s">
        <v>1197</v>
      </c>
      <c r="C782" s="2283"/>
      <c r="D782" s="2283"/>
      <c r="E782" s="2283"/>
      <c r="F782" s="2283"/>
      <c r="G782" s="1420" t="s">
        <v>1192</v>
      </c>
      <c r="H782" s="1229"/>
      <c r="I782" s="1420">
        <v>5698</v>
      </c>
      <c r="J782" s="1426">
        <f t="shared" si="17"/>
        <v>0</v>
      </c>
      <c r="K782" s="553"/>
      <c r="L782" s="582"/>
      <c r="M782" s="1126">
        <v>34</v>
      </c>
      <c r="N782" s="551"/>
      <c r="O782" s="551"/>
      <c r="P782" s="551"/>
      <c r="Q782" s="551"/>
      <c r="R782" s="551"/>
      <c r="S782" s="551"/>
      <c r="T782" s="551"/>
      <c r="U782" s="551"/>
      <c r="V782" s="551"/>
      <c r="W782" s="551"/>
      <c r="X782" s="551"/>
      <c r="Y782" s="551"/>
      <c r="Z782" s="551"/>
      <c r="AA782" s="551"/>
      <c r="AB782" s="551"/>
    </row>
    <row r="783" spans="1:28" ht="15" hidden="1" customHeight="1" x14ac:dyDescent="0.25">
      <c r="A783" s="1127">
        <v>20</v>
      </c>
      <c r="B783" s="2283" t="s">
        <v>1198</v>
      </c>
      <c r="C783" s="2283"/>
      <c r="D783" s="2283"/>
      <c r="E783" s="2283"/>
      <c r="F783" s="2283"/>
      <c r="G783" s="1420" t="s">
        <v>245</v>
      </c>
      <c r="H783" s="1229"/>
      <c r="I783" s="1420">
        <v>848</v>
      </c>
      <c r="J783" s="1426">
        <f t="shared" si="17"/>
        <v>0</v>
      </c>
      <c r="K783" s="553"/>
      <c r="L783" s="582"/>
      <c r="M783" s="1126">
        <v>35</v>
      </c>
      <c r="N783" s="551"/>
      <c r="O783" s="551"/>
      <c r="P783" s="551"/>
      <c r="Q783" s="551"/>
      <c r="R783" s="551"/>
      <c r="S783" s="551"/>
      <c r="T783" s="551"/>
      <c r="U783" s="551"/>
      <c r="V783" s="551"/>
      <c r="W783" s="551"/>
      <c r="X783" s="551"/>
      <c r="Y783" s="551"/>
      <c r="Z783" s="551"/>
      <c r="AA783" s="551"/>
      <c r="AB783" s="551"/>
    </row>
    <row r="784" spans="1:28" ht="15" hidden="1" customHeight="1" x14ac:dyDescent="0.25">
      <c r="A784" s="1127">
        <v>21</v>
      </c>
      <c r="B784" s="2283" t="s">
        <v>1199</v>
      </c>
      <c r="C784" s="2283"/>
      <c r="D784" s="2283"/>
      <c r="E784" s="2283"/>
      <c r="F784" s="2283"/>
      <c r="G784" s="1420" t="s">
        <v>245</v>
      </c>
      <c r="H784" s="1229"/>
      <c r="I784" s="1420">
        <v>637</v>
      </c>
      <c r="J784" s="1426">
        <f t="shared" si="17"/>
        <v>0</v>
      </c>
      <c r="K784" s="553"/>
      <c r="L784" s="582"/>
      <c r="M784" s="1126">
        <v>36</v>
      </c>
      <c r="N784" s="551"/>
      <c r="O784" s="551"/>
      <c r="P784" s="551"/>
      <c r="Q784" s="551"/>
      <c r="R784" s="551"/>
      <c r="S784" s="551"/>
      <c r="T784" s="551"/>
      <c r="U784" s="551"/>
      <c r="V784" s="551"/>
      <c r="W784" s="551"/>
      <c r="X784" s="551"/>
      <c r="Y784" s="551"/>
      <c r="Z784" s="551"/>
      <c r="AA784" s="551"/>
      <c r="AB784" s="551"/>
    </row>
    <row r="785" spans="1:28" ht="15" hidden="1" customHeight="1" x14ac:dyDescent="0.25">
      <c r="A785" s="1127">
        <v>22</v>
      </c>
      <c r="B785" s="2283" t="s">
        <v>1200</v>
      </c>
      <c r="C785" s="2283"/>
      <c r="D785" s="2283"/>
      <c r="E785" s="2283"/>
      <c r="F785" s="2283"/>
      <c r="G785" s="1420" t="s">
        <v>716</v>
      </c>
      <c r="H785" s="1229"/>
      <c r="I785" s="1420">
        <v>109</v>
      </c>
      <c r="J785" s="1426">
        <f t="shared" si="17"/>
        <v>0</v>
      </c>
      <c r="K785" s="553"/>
      <c r="L785" s="582"/>
      <c r="M785" s="1126">
        <v>37</v>
      </c>
      <c r="N785" s="551"/>
      <c r="O785" s="551"/>
      <c r="P785" s="551"/>
      <c r="Q785" s="551"/>
      <c r="R785" s="551"/>
      <c r="S785" s="551"/>
      <c r="T785" s="551"/>
      <c r="U785" s="551"/>
      <c r="V785" s="551"/>
      <c r="W785" s="551"/>
      <c r="X785" s="551"/>
      <c r="Y785" s="551"/>
      <c r="Z785" s="551"/>
      <c r="AA785" s="551"/>
      <c r="AB785" s="551"/>
    </row>
    <row r="786" spans="1:28" ht="15" hidden="1" customHeight="1" x14ac:dyDescent="0.25">
      <c r="A786" s="1127">
        <v>23</v>
      </c>
      <c r="B786" s="2283" t="s">
        <v>1201</v>
      </c>
      <c r="C786" s="2283"/>
      <c r="D786" s="2283"/>
      <c r="E786" s="2283"/>
      <c r="F786" s="2283"/>
      <c r="G786" s="1420" t="s">
        <v>716</v>
      </c>
      <c r="H786" s="1229"/>
      <c r="I786" s="1420">
        <v>328</v>
      </c>
      <c r="J786" s="1426">
        <f t="shared" si="17"/>
        <v>0</v>
      </c>
      <c r="K786" s="553"/>
      <c r="L786" s="582"/>
      <c r="M786" s="1126">
        <v>38</v>
      </c>
      <c r="N786" s="551"/>
      <c r="O786" s="551"/>
      <c r="P786" s="551"/>
      <c r="Q786" s="551"/>
      <c r="R786" s="551"/>
      <c r="S786" s="551"/>
      <c r="T786" s="551"/>
      <c r="U786" s="551"/>
      <c r="V786" s="551"/>
      <c r="W786" s="551"/>
      <c r="X786" s="551"/>
      <c r="Y786" s="551"/>
      <c r="Z786" s="551"/>
      <c r="AA786" s="551"/>
      <c r="AB786" s="551"/>
    </row>
    <row r="787" spans="1:28" ht="15" hidden="1" customHeight="1" x14ac:dyDescent="0.25">
      <c r="A787" s="1127">
        <v>24</v>
      </c>
      <c r="B787" s="2283" t="s">
        <v>1202</v>
      </c>
      <c r="C787" s="2283"/>
      <c r="D787" s="2283"/>
      <c r="E787" s="2283"/>
      <c r="F787" s="2283"/>
      <c r="G787" s="1420" t="s">
        <v>1192</v>
      </c>
      <c r="H787" s="1229"/>
      <c r="I787" s="1420">
        <v>70</v>
      </c>
      <c r="J787" s="1426">
        <f t="shared" si="17"/>
        <v>0</v>
      </c>
      <c r="K787" s="553"/>
      <c r="L787" s="582"/>
      <c r="M787" s="1126">
        <v>39</v>
      </c>
      <c r="N787" s="551"/>
      <c r="O787" s="551"/>
      <c r="P787" s="551"/>
      <c r="Q787" s="551"/>
      <c r="R787" s="551"/>
      <c r="S787" s="551"/>
      <c r="T787" s="551"/>
      <c r="U787" s="551"/>
      <c r="V787" s="551"/>
      <c r="W787" s="551"/>
      <c r="X787" s="551"/>
      <c r="Y787" s="551"/>
      <c r="Z787" s="551"/>
      <c r="AA787" s="551"/>
      <c r="AB787" s="551"/>
    </row>
    <row r="788" spans="1:28" ht="15" hidden="1" customHeight="1" x14ac:dyDescent="0.25">
      <c r="A788" s="1127">
        <v>25</v>
      </c>
      <c r="B788" s="2283" t="s">
        <v>1203</v>
      </c>
      <c r="C788" s="2283"/>
      <c r="D788" s="2283"/>
      <c r="E788" s="2283"/>
      <c r="F788" s="2283"/>
      <c r="G788" s="1420" t="s">
        <v>1192</v>
      </c>
      <c r="H788" s="1229"/>
      <c r="I788" s="1420">
        <v>383</v>
      </c>
      <c r="J788" s="1426">
        <f t="shared" si="17"/>
        <v>0</v>
      </c>
      <c r="K788" s="553"/>
      <c r="L788" s="582"/>
      <c r="M788" s="1126">
        <v>40</v>
      </c>
      <c r="N788" s="551"/>
      <c r="O788" s="551"/>
      <c r="P788" s="551"/>
      <c r="Q788" s="551"/>
      <c r="R788" s="551"/>
      <c r="S788" s="551"/>
      <c r="T788" s="551"/>
      <c r="U788" s="551"/>
      <c r="V788" s="551"/>
      <c r="W788" s="551"/>
      <c r="X788" s="551"/>
      <c r="Y788" s="551"/>
      <c r="Z788" s="551"/>
      <c r="AA788" s="551"/>
      <c r="AB788" s="551"/>
    </row>
    <row r="789" spans="1:28" ht="15" hidden="1" customHeight="1" x14ac:dyDescent="0.25">
      <c r="A789" s="1127">
        <v>26</v>
      </c>
      <c r="B789" s="2283" t="s">
        <v>1204</v>
      </c>
      <c r="C789" s="2283"/>
      <c r="D789" s="2283"/>
      <c r="E789" s="2283"/>
      <c r="F789" s="2283"/>
      <c r="G789" s="1420" t="s">
        <v>245</v>
      </c>
      <c r="H789" s="1229"/>
      <c r="I789" s="1420">
        <v>135</v>
      </c>
      <c r="J789" s="1426">
        <f t="shared" si="17"/>
        <v>0</v>
      </c>
      <c r="K789" s="553"/>
      <c r="L789" s="582"/>
      <c r="M789" s="1126">
        <v>41</v>
      </c>
      <c r="N789" s="551"/>
      <c r="O789" s="551"/>
      <c r="P789" s="551"/>
      <c r="Q789" s="551"/>
      <c r="R789" s="551"/>
      <c r="S789" s="551"/>
      <c r="T789" s="551"/>
      <c r="U789" s="551"/>
      <c r="V789" s="551"/>
      <c r="W789" s="551"/>
      <c r="X789" s="551"/>
      <c r="Y789" s="551"/>
      <c r="Z789" s="551"/>
      <c r="AA789" s="551"/>
      <c r="AB789" s="551"/>
    </row>
    <row r="790" spans="1:28" ht="15" hidden="1" customHeight="1" x14ac:dyDescent="0.25">
      <c r="A790" s="1127">
        <v>27</v>
      </c>
      <c r="B790" s="2283" t="s">
        <v>1205</v>
      </c>
      <c r="C790" s="2283"/>
      <c r="D790" s="2283"/>
      <c r="E790" s="2283"/>
      <c r="F790" s="2283"/>
      <c r="G790" s="1420" t="s">
        <v>245</v>
      </c>
      <c r="H790" s="1229"/>
      <c r="I790" s="1420">
        <v>135</v>
      </c>
      <c r="J790" s="1426">
        <f t="shared" si="17"/>
        <v>0</v>
      </c>
      <c r="K790" s="553"/>
      <c r="L790" s="582"/>
      <c r="M790" s="1126">
        <v>42</v>
      </c>
      <c r="N790" s="551"/>
      <c r="O790" s="551"/>
      <c r="P790" s="551"/>
      <c r="Q790" s="551"/>
      <c r="R790" s="551"/>
      <c r="S790" s="551"/>
      <c r="T790" s="551"/>
      <c r="U790" s="551"/>
      <c r="V790" s="551"/>
      <c r="W790" s="551"/>
      <c r="X790" s="551"/>
      <c r="Y790" s="551"/>
      <c r="Z790" s="551"/>
      <c r="AA790" s="551"/>
      <c r="AB790" s="551"/>
    </row>
    <row r="791" spans="1:28" ht="15" hidden="1" customHeight="1" x14ac:dyDescent="0.25">
      <c r="A791" s="1127">
        <v>28</v>
      </c>
      <c r="B791" s="2283" t="s">
        <v>1206</v>
      </c>
      <c r="C791" s="2283"/>
      <c r="D791" s="2283"/>
      <c r="E791" s="2283"/>
      <c r="F791" s="2283"/>
      <c r="G791" s="1420" t="s">
        <v>245</v>
      </c>
      <c r="H791" s="1229"/>
      <c r="I791" s="1420">
        <v>308</v>
      </c>
      <c r="J791" s="1426">
        <f t="shared" si="17"/>
        <v>0</v>
      </c>
      <c r="K791" s="553"/>
      <c r="L791" s="582"/>
      <c r="M791" s="1126">
        <v>43</v>
      </c>
      <c r="N791" s="551"/>
      <c r="O791" s="551"/>
      <c r="P791" s="551"/>
      <c r="Q791" s="551"/>
      <c r="R791" s="551"/>
      <c r="S791" s="551"/>
      <c r="T791" s="551"/>
      <c r="U791" s="551"/>
      <c r="V791" s="551"/>
      <c r="W791" s="551"/>
      <c r="X791" s="551"/>
      <c r="Y791" s="551"/>
      <c r="Z791" s="551"/>
      <c r="AA791" s="551"/>
      <c r="AB791" s="551"/>
    </row>
    <row r="792" spans="1:28" ht="15" hidden="1" customHeight="1" x14ac:dyDescent="0.25">
      <c r="A792" s="1127">
        <v>29</v>
      </c>
      <c r="B792" s="2283" t="s">
        <v>1207</v>
      </c>
      <c r="C792" s="2283"/>
      <c r="D792" s="2283"/>
      <c r="E792" s="2283"/>
      <c r="F792" s="2283"/>
      <c r="G792" s="1420" t="s">
        <v>1192</v>
      </c>
      <c r="H792" s="1229"/>
      <c r="I792" s="1420">
        <v>759</v>
      </c>
      <c r="J792" s="1426">
        <f t="shared" si="17"/>
        <v>0</v>
      </c>
      <c r="K792" s="553"/>
      <c r="L792" s="582"/>
      <c r="M792" s="1126">
        <v>44</v>
      </c>
      <c r="N792" s="551"/>
      <c r="O792" s="551"/>
      <c r="P792" s="551"/>
      <c r="Q792" s="551"/>
      <c r="R792" s="551"/>
      <c r="S792" s="551"/>
      <c r="T792" s="551"/>
      <c r="U792" s="551"/>
      <c r="V792" s="551"/>
      <c r="W792" s="551"/>
      <c r="X792" s="551"/>
      <c r="Y792" s="551"/>
      <c r="Z792" s="551"/>
      <c r="AA792" s="551"/>
      <c r="AB792" s="551"/>
    </row>
    <row r="793" spans="1:28" ht="15" hidden="1" customHeight="1" x14ac:dyDescent="0.25">
      <c r="A793" s="1127">
        <v>30</v>
      </c>
      <c r="B793" s="2283" t="s">
        <v>1208</v>
      </c>
      <c r="C793" s="2283"/>
      <c r="D793" s="2283"/>
      <c r="E793" s="2283"/>
      <c r="F793" s="2283"/>
      <c r="G793" s="1420" t="s">
        <v>245</v>
      </c>
      <c r="H793" s="1229"/>
      <c r="I793" s="1420">
        <v>357</v>
      </c>
      <c r="J793" s="1426">
        <f t="shared" si="17"/>
        <v>0</v>
      </c>
      <c r="K793" s="553"/>
      <c r="L793" s="582"/>
      <c r="M793" s="1126">
        <v>45</v>
      </c>
      <c r="N793" s="551"/>
      <c r="O793" s="551"/>
      <c r="P793" s="551"/>
      <c r="Q793" s="551"/>
      <c r="R793" s="551"/>
      <c r="S793" s="551"/>
      <c r="T793" s="551"/>
      <c r="U793" s="551"/>
      <c r="V793" s="551"/>
      <c r="W793" s="551"/>
      <c r="X793" s="551"/>
      <c r="Y793" s="551"/>
      <c r="Z793" s="551"/>
      <c r="AA793" s="551"/>
      <c r="AB793" s="551"/>
    </row>
    <row r="794" spans="1:28" ht="15" hidden="1" customHeight="1" x14ac:dyDescent="0.25">
      <c r="A794" s="1127">
        <v>31</v>
      </c>
      <c r="B794" s="2283" t="s">
        <v>1209</v>
      </c>
      <c r="C794" s="2283"/>
      <c r="D794" s="2283"/>
      <c r="E794" s="2283"/>
      <c r="F794" s="2283"/>
      <c r="G794" s="1420" t="s">
        <v>245</v>
      </c>
      <c r="H794" s="1229"/>
      <c r="I794" s="1420">
        <v>357</v>
      </c>
      <c r="J794" s="1426">
        <f t="shared" si="17"/>
        <v>0</v>
      </c>
      <c r="K794" s="553"/>
      <c r="L794" s="582"/>
      <c r="M794" s="1126">
        <v>46</v>
      </c>
      <c r="N794" s="551"/>
      <c r="O794" s="551"/>
      <c r="P794" s="551"/>
      <c r="Q794" s="551"/>
      <c r="R794" s="551"/>
      <c r="S794" s="551"/>
      <c r="T794" s="551"/>
      <c r="U794" s="551"/>
      <c r="V794" s="551"/>
      <c r="W794" s="551"/>
      <c r="X794" s="551"/>
      <c r="Y794" s="551"/>
      <c r="Z794" s="551"/>
      <c r="AA794" s="551"/>
      <c r="AB794" s="551"/>
    </row>
    <row r="795" spans="1:28" ht="15" hidden="1" customHeight="1" x14ac:dyDescent="0.25">
      <c r="A795" s="1127">
        <v>32</v>
      </c>
      <c r="B795" s="2283" t="s">
        <v>1210</v>
      </c>
      <c r="C795" s="2283"/>
      <c r="D795" s="2283"/>
      <c r="E795" s="2283"/>
      <c r="F795" s="2283"/>
      <c r="G795" s="1420" t="s">
        <v>1192</v>
      </c>
      <c r="H795" s="1229"/>
      <c r="I795" s="1420">
        <v>802</v>
      </c>
      <c r="J795" s="1426">
        <f t="shared" si="17"/>
        <v>0</v>
      </c>
      <c r="K795" s="553"/>
      <c r="L795" s="582"/>
      <c r="M795" s="1126">
        <v>47</v>
      </c>
      <c r="N795" s="551"/>
      <c r="O795" s="551"/>
      <c r="P795" s="551"/>
      <c r="Q795" s="551"/>
      <c r="R795" s="551"/>
      <c r="S795" s="551"/>
      <c r="T795" s="551"/>
      <c r="U795" s="551"/>
      <c r="V795" s="551"/>
      <c r="W795" s="551"/>
      <c r="X795" s="551"/>
      <c r="Y795" s="551"/>
      <c r="Z795" s="551"/>
      <c r="AA795" s="551"/>
      <c r="AB795" s="551"/>
    </row>
    <row r="796" spans="1:28" ht="15" hidden="1" customHeight="1" x14ac:dyDescent="0.25">
      <c r="A796" s="1127">
        <v>33</v>
      </c>
      <c r="B796" s="2283" t="s">
        <v>1213</v>
      </c>
      <c r="C796" s="2283"/>
      <c r="D796" s="2283"/>
      <c r="E796" s="2283"/>
      <c r="F796" s="2283"/>
      <c r="G796" s="1420" t="s">
        <v>1192</v>
      </c>
      <c r="H796" s="1229"/>
      <c r="I796" s="1420">
        <v>1569</v>
      </c>
      <c r="J796" s="1426">
        <f t="shared" si="17"/>
        <v>0</v>
      </c>
      <c r="K796" s="553"/>
      <c r="L796" s="582"/>
      <c r="M796" s="1126">
        <v>48</v>
      </c>
      <c r="N796" s="551"/>
      <c r="O796" s="551"/>
      <c r="P796" s="551"/>
      <c r="Q796" s="551"/>
      <c r="R796" s="551"/>
      <c r="S796" s="551"/>
      <c r="T796" s="551"/>
      <c r="U796" s="551"/>
      <c r="V796" s="551"/>
      <c r="W796" s="551"/>
      <c r="X796" s="551"/>
      <c r="Y796" s="551"/>
      <c r="Z796" s="551"/>
      <c r="AA796" s="551"/>
      <c r="AB796" s="551"/>
    </row>
    <row r="797" spans="1:28" ht="15" hidden="1" customHeight="1" x14ac:dyDescent="0.25">
      <c r="A797" s="1127">
        <v>34</v>
      </c>
      <c r="B797" s="2283" t="s">
        <v>1211</v>
      </c>
      <c r="C797" s="2283"/>
      <c r="D797" s="2283"/>
      <c r="E797" s="2283"/>
      <c r="F797" s="2283"/>
      <c r="G797" s="1420" t="s">
        <v>1192</v>
      </c>
      <c r="H797" s="1229"/>
      <c r="I797" s="1420">
        <v>962</v>
      </c>
      <c r="J797" s="1426">
        <f t="shared" si="17"/>
        <v>0</v>
      </c>
      <c r="K797" s="553"/>
      <c r="L797" s="582"/>
      <c r="M797" s="1126">
        <v>49</v>
      </c>
      <c r="N797" s="551"/>
      <c r="O797" s="551"/>
      <c r="P797" s="551"/>
      <c r="Q797" s="551"/>
      <c r="R797" s="551"/>
      <c r="S797" s="551"/>
      <c r="T797" s="551"/>
      <c r="U797" s="551"/>
      <c r="V797" s="551"/>
      <c r="W797" s="551"/>
      <c r="X797" s="551"/>
      <c r="Y797" s="551"/>
      <c r="Z797" s="551"/>
      <c r="AA797" s="551"/>
      <c r="AB797" s="551"/>
    </row>
    <row r="798" spans="1:28" ht="15" hidden="1" customHeight="1" x14ac:dyDescent="0.25">
      <c r="A798" s="1127">
        <v>35</v>
      </c>
      <c r="B798" s="2283" t="s">
        <v>1212</v>
      </c>
      <c r="C798" s="2283"/>
      <c r="D798" s="2283"/>
      <c r="E798" s="2283"/>
      <c r="F798" s="2283"/>
      <c r="G798" s="1420" t="s">
        <v>1192</v>
      </c>
      <c r="H798" s="1229"/>
      <c r="I798" s="1420">
        <v>366</v>
      </c>
      <c r="J798" s="1426">
        <f t="shared" si="17"/>
        <v>0</v>
      </c>
      <c r="K798" s="553"/>
      <c r="L798" s="582"/>
      <c r="M798" s="1126">
        <v>50</v>
      </c>
      <c r="N798" s="551"/>
      <c r="O798" s="551"/>
      <c r="P798" s="551"/>
      <c r="Q798" s="551"/>
      <c r="R798" s="551"/>
      <c r="S798" s="551"/>
      <c r="T798" s="551"/>
      <c r="U798" s="551"/>
      <c r="V798" s="551"/>
      <c r="W798" s="551"/>
      <c r="X798" s="551"/>
      <c r="Y798" s="551"/>
      <c r="Z798" s="551"/>
      <c r="AA798" s="551"/>
      <c r="AB798" s="551"/>
    </row>
    <row r="799" spans="1:28" ht="15" hidden="1" customHeight="1" x14ac:dyDescent="0.25">
      <c r="A799" s="1127">
        <v>36</v>
      </c>
      <c r="B799" s="2283" t="s">
        <v>1214</v>
      </c>
      <c r="C799" s="2283"/>
      <c r="D799" s="2283"/>
      <c r="E799" s="2283"/>
      <c r="F799" s="2283"/>
      <c r="G799" s="1420" t="s">
        <v>1192</v>
      </c>
      <c r="H799" s="1229"/>
      <c r="I799" s="1420">
        <v>791</v>
      </c>
      <c r="J799" s="1426">
        <f t="shared" si="17"/>
        <v>0</v>
      </c>
      <c r="K799" s="553"/>
      <c r="L799" s="582"/>
      <c r="M799" s="1126">
        <v>51</v>
      </c>
      <c r="N799" s="551"/>
      <c r="O799" s="551"/>
      <c r="P799" s="551"/>
      <c r="Q799" s="551"/>
      <c r="R799" s="551"/>
      <c r="S799" s="551"/>
      <c r="T799" s="551"/>
      <c r="U799" s="551"/>
      <c r="V799" s="551"/>
      <c r="W799" s="551"/>
      <c r="X799" s="551"/>
      <c r="Y799" s="551"/>
      <c r="Z799" s="551"/>
      <c r="AA799" s="551"/>
      <c r="AB799" s="551"/>
    </row>
    <row r="800" spans="1:28" ht="15" hidden="1" customHeight="1" x14ac:dyDescent="0.25">
      <c r="A800" s="1127">
        <v>37</v>
      </c>
      <c r="B800" s="2283" t="s">
        <v>1215</v>
      </c>
      <c r="C800" s="2283"/>
      <c r="D800" s="2283"/>
      <c r="E800" s="2283"/>
      <c r="F800" s="2283"/>
      <c r="G800" s="1420" t="s">
        <v>1192</v>
      </c>
      <c r="H800" s="1229"/>
      <c r="I800" s="1420">
        <v>1016</v>
      </c>
      <c r="J800" s="1426">
        <f t="shared" si="17"/>
        <v>0</v>
      </c>
      <c r="K800" s="553"/>
      <c r="L800" s="582"/>
      <c r="M800" s="1126">
        <v>52</v>
      </c>
      <c r="N800" s="551"/>
      <c r="O800" s="551"/>
      <c r="P800" s="551"/>
      <c r="Q800" s="551"/>
      <c r="R800" s="551"/>
      <c r="S800" s="551"/>
      <c r="T800" s="551"/>
      <c r="U800" s="551"/>
      <c r="V800" s="551"/>
      <c r="W800" s="551"/>
      <c r="X800" s="551"/>
      <c r="Y800" s="551"/>
      <c r="Z800" s="551"/>
      <c r="AA800" s="551"/>
      <c r="AB800" s="551"/>
    </row>
    <row r="801" spans="1:28" ht="15" hidden="1" customHeight="1" x14ac:dyDescent="0.25">
      <c r="A801" s="1127">
        <v>38</v>
      </c>
      <c r="B801" s="2283" t="s">
        <v>1216</v>
      </c>
      <c r="C801" s="2283"/>
      <c r="D801" s="2283"/>
      <c r="E801" s="2283"/>
      <c r="F801" s="2283"/>
      <c r="G801" s="1420" t="s">
        <v>1192</v>
      </c>
      <c r="H801" s="1229"/>
      <c r="I801" s="1420">
        <v>1016</v>
      </c>
      <c r="J801" s="1426">
        <f t="shared" si="17"/>
        <v>0</v>
      </c>
      <c r="K801" s="553"/>
      <c r="L801" s="582"/>
      <c r="M801" s="1126">
        <v>53</v>
      </c>
      <c r="N801" s="551"/>
      <c r="O801" s="551"/>
      <c r="P801" s="551"/>
      <c r="Q801" s="551"/>
      <c r="R801" s="551"/>
      <c r="S801" s="551"/>
      <c r="T801" s="551"/>
      <c r="U801" s="551"/>
      <c r="V801" s="551"/>
      <c r="W801" s="551"/>
      <c r="X801" s="551"/>
      <c r="Y801" s="551"/>
      <c r="Z801" s="551"/>
      <c r="AA801" s="551"/>
      <c r="AB801" s="551"/>
    </row>
    <row r="802" spans="1:28" ht="15" hidden="1" customHeight="1" x14ac:dyDescent="0.25">
      <c r="A802" s="1127">
        <v>39</v>
      </c>
      <c r="B802" s="2283" t="s">
        <v>1217</v>
      </c>
      <c r="C802" s="2283"/>
      <c r="D802" s="2283"/>
      <c r="E802" s="2283"/>
      <c r="F802" s="2283"/>
      <c r="G802" s="1420" t="s">
        <v>1192</v>
      </c>
      <c r="H802" s="1229"/>
      <c r="I802" s="1420">
        <v>1131</v>
      </c>
      <c r="J802" s="1426">
        <f t="shared" si="17"/>
        <v>0</v>
      </c>
      <c r="K802" s="553"/>
      <c r="L802" s="582"/>
      <c r="M802" s="1126">
        <v>54</v>
      </c>
      <c r="N802" s="551"/>
      <c r="O802" s="551"/>
      <c r="P802" s="551"/>
      <c r="Q802" s="551"/>
      <c r="R802" s="551"/>
      <c r="S802" s="551"/>
      <c r="T802" s="551"/>
      <c r="U802" s="551"/>
      <c r="V802" s="551"/>
      <c r="W802" s="551"/>
      <c r="X802" s="551"/>
      <c r="Y802" s="551"/>
      <c r="Z802" s="551"/>
      <c r="AA802" s="551"/>
      <c r="AB802" s="551"/>
    </row>
    <row r="803" spans="1:28" ht="15" hidden="1" customHeight="1" x14ac:dyDescent="0.25">
      <c r="A803" s="1127">
        <v>40</v>
      </c>
      <c r="B803" s="2283" t="s">
        <v>1218</v>
      </c>
      <c r="C803" s="2283"/>
      <c r="D803" s="2283"/>
      <c r="E803" s="2283"/>
      <c r="F803" s="2283"/>
      <c r="G803" s="1420" t="s">
        <v>1192</v>
      </c>
      <c r="H803" s="1229"/>
      <c r="I803" s="1420">
        <v>50</v>
      </c>
      <c r="J803" s="1426">
        <f t="shared" si="17"/>
        <v>0</v>
      </c>
      <c r="K803" s="553"/>
      <c r="L803" s="582"/>
      <c r="M803" s="1126">
        <v>55</v>
      </c>
      <c r="N803" s="551"/>
      <c r="O803" s="551"/>
      <c r="P803" s="551"/>
      <c r="Q803" s="551"/>
      <c r="R803" s="551"/>
      <c r="S803" s="551"/>
      <c r="T803" s="551"/>
      <c r="U803" s="551"/>
      <c r="V803" s="551"/>
      <c r="W803" s="551"/>
      <c r="X803" s="551"/>
      <c r="Y803" s="551"/>
      <c r="Z803" s="551"/>
      <c r="AA803" s="551"/>
      <c r="AB803" s="551"/>
    </row>
    <row r="804" spans="1:28" ht="15" hidden="1" customHeight="1" x14ac:dyDescent="0.25">
      <c r="A804" s="1127">
        <v>41</v>
      </c>
      <c r="B804" s="2283" t="s">
        <v>1219</v>
      </c>
      <c r="C804" s="2283"/>
      <c r="D804" s="2283"/>
      <c r="E804" s="2283"/>
      <c r="F804" s="2283"/>
      <c r="G804" s="1420" t="s">
        <v>1192</v>
      </c>
      <c r="H804" s="1229"/>
      <c r="I804" s="1420">
        <v>52</v>
      </c>
      <c r="J804" s="1426">
        <f t="shared" si="17"/>
        <v>0</v>
      </c>
      <c r="K804" s="553"/>
      <c r="L804" s="582"/>
      <c r="M804" s="1126">
        <v>56</v>
      </c>
      <c r="N804" s="551"/>
      <c r="O804" s="551"/>
      <c r="P804" s="551"/>
      <c r="Q804" s="551"/>
      <c r="R804" s="551"/>
      <c r="S804" s="551"/>
      <c r="T804" s="551"/>
      <c r="U804" s="551"/>
      <c r="V804" s="551"/>
      <c r="W804" s="551"/>
      <c r="X804" s="551"/>
      <c r="Y804" s="551"/>
      <c r="Z804" s="551"/>
      <c r="AA804" s="551"/>
      <c r="AB804" s="551"/>
    </row>
    <row r="805" spans="1:28" ht="15" hidden="1" customHeight="1" x14ac:dyDescent="0.25">
      <c r="A805" s="1127">
        <v>42</v>
      </c>
      <c r="B805" s="2283" t="s">
        <v>1220</v>
      </c>
      <c r="C805" s="2283"/>
      <c r="D805" s="2283"/>
      <c r="E805" s="2283"/>
      <c r="F805" s="2283"/>
      <c r="G805" s="1420" t="s">
        <v>1192</v>
      </c>
      <c r="H805" s="1229"/>
      <c r="I805" s="1420">
        <v>452</v>
      </c>
      <c r="J805" s="1426">
        <f t="shared" si="17"/>
        <v>0</v>
      </c>
      <c r="K805" s="553"/>
      <c r="L805" s="582"/>
      <c r="M805" s="1126">
        <v>57</v>
      </c>
      <c r="N805" s="551"/>
      <c r="O805" s="551"/>
      <c r="P805" s="551"/>
      <c r="Q805" s="551"/>
      <c r="R805" s="551"/>
      <c r="S805" s="551"/>
      <c r="T805" s="551"/>
      <c r="U805" s="551"/>
      <c r="V805" s="551"/>
      <c r="W805" s="551"/>
      <c r="X805" s="551"/>
      <c r="Y805" s="551"/>
      <c r="Z805" s="551"/>
      <c r="AA805" s="551"/>
      <c r="AB805" s="551"/>
    </row>
    <row r="806" spans="1:28" ht="15" hidden="1" customHeight="1" x14ac:dyDescent="0.25">
      <c r="A806" s="1127">
        <v>43</v>
      </c>
      <c r="B806" s="2283" t="s">
        <v>1221</v>
      </c>
      <c r="C806" s="2283"/>
      <c r="D806" s="2283"/>
      <c r="E806" s="2283"/>
      <c r="F806" s="2283"/>
      <c r="G806" s="1420" t="s">
        <v>1192</v>
      </c>
      <c r="H806" s="1229"/>
      <c r="I806" s="1420">
        <v>1042</v>
      </c>
      <c r="J806" s="1426">
        <f t="shared" si="17"/>
        <v>0</v>
      </c>
      <c r="K806" s="553"/>
      <c r="L806" s="582"/>
      <c r="M806" s="1126">
        <v>58</v>
      </c>
      <c r="N806" s="551"/>
      <c r="O806" s="551"/>
      <c r="P806" s="551"/>
      <c r="Q806" s="551"/>
      <c r="R806" s="551"/>
      <c r="S806" s="551"/>
      <c r="T806" s="551"/>
      <c r="U806" s="551"/>
      <c r="V806" s="551"/>
      <c r="W806" s="551"/>
      <c r="X806" s="551"/>
      <c r="Y806" s="551"/>
      <c r="Z806" s="551"/>
      <c r="AA806" s="551"/>
      <c r="AB806" s="551"/>
    </row>
    <row r="807" spans="1:28" ht="15" hidden="1" customHeight="1" x14ac:dyDescent="0.25">
      <c r="A807" s="1127">
        <v>44</v>
      </c>
      <c r="B807" s="2283" t="s">
        <v>1222</v>
      </c>
      <c r="C807" s="2283"/>
      <c r="D807" s="2283"/>
      <c r="E807" s="2283"/>
      <c r="F807" s="2283"/>
      <c r="G807" s="1420" t="s">
        <v>245</v>
      </c>
      <c r="H807" s="1229"/>
      <c r="I807" s="1420">
        <v>85660</v>
      </c>
      <c r="J807" s="1426">
        <f t="shared" si="17"/>
        <v>0</v>
      </c>
      <c r="K807" s="553"/>
      <c r="L807" s="582"/>
      <c r="M807" s="1126">
        <v>59</v>
      </c>
      <c r="N807" s="551"/>
      <c r="O807" s="551"/>
      <c r="P807" s="551"/>
      <c r="Q807" s="551"/>
      <c r="R807" s="551"/>
      <c r="S807" s="551"/>
      <c r="T807" s="551"/>
      <c r="U807" s="551"/>
      <c r="V807" s="551"/>
      <c r="W807" s="551"/>
      <c r="X807" s="551"/>
      <c r="Y807" s="551"/>
      <c r="Z807" s="551"/>
      <c r="AA807" s="551"/>
      <c r="AB807" s="551"/>
    </row>
    <row r="808" spans="1:28" ht="15" hidden="1" customHeight="1" x14ac:dyDescent="0.25">
      <c r="A808" s="1127">
        <v>45</v>
      </c>
      <c r="B808" s="2283" t="s">
        <v>1226</v>
      </c>
      <c r="C808" s="2283"/>
      <c r="D808" s="2283"/>
      <c r="E808" s="2283"/>
      <c r="F808" s="2283"/>
      <c r="G808" s="1420" t="s">
        <v>245</v>
      </c>
      <c r="H808" s="1229"/>
      <c r="I808" s="1420">
        <v>85700</v>
      </c>
      <c r="J808" s="1426">
        <f t="shared" si="17"/>
        <v>0</v>
      </c>
      <c r="K808" s="553"/>
      <c r="L808" s="582"/>
      <c r="M808" s="1126">
        <v>60</v>
      </c>
      <c r="N808" s="551"/>
      <c r="O808" s="551"/>
      <c r="P808" s="551"/>
      <c r="Q808" s="551"/>
      <c r="R808" s="551"/>
      <c r="S808" s="551"/>
      <c r="T808" s="551"/>
      <c r="U808" s="551"/>
      <c r="V808" s="551"/>
      <c r="W808" s="551"/>
      <c r="X808" s="551"/>
      <c r="Y808" s="551"/>
      <c r="Z808" s="551"/>
      <c r="AA808" s="551"/>
      <c r="AB808" s="551"/>
    </row>
    <row r="809" spans="1:28" ht="28.5" hidden="1" customHeight="1" x14ac:dyDescent="0.25">
      <c r="A809" s="1141">
        <v>46</v>
      </c>
      <c r="B809" s="1986" t="s">
        <v>1308</v>
      </c>
      <c r="C809" s="1986"/>
      <c r="D809" s="1986"/>
      <c r="E809" s="1986"/>
      <c r="F809" s="1986"/>
      <c r="G809" s="1426" t="s">
        <v>1310</v>
      </c>
      <c r="H809" s="1230"/>
      <c r="I809" s="1426">
        <v>44000</v>
      </c>
      <c r="J809" s="1426">
        <f t="shared" si="17"/>
        <v>0</v>
      </c>
      <c r="K809" s="553"/>
      <c r="L809" s="582"/>
      <c r="M809" s="1126">
        <v>61</v>
      </c>
      <c r="N809" s="551"/>
      <c r="O809" s="551"/>
      <c r="P809" s="551"/>
      <c r="Q809" s="551"/>
      <c r="R809" s="551"/>
      <c r="S809" s="551"/>
      <c r="T809" s="551"/>
      <c r="U809" s="551"/>
      <c r="V809" s="551"/>
      <c r="W809" s="551"/>
      <c r="X809" s="551"/>
      <c r="Y809" s="551"/>
      <c r="Z809" s="551"/>
      <c r="AA809" s="551"/>
      <c r="AB809" s="551"/>
    </row>
    <row r="810" spans="1:28" ht="15" hidden="1" customHeight="1" x14ac:dyDescent="0.25">
      <c r="A810" s="1141">
        <v>47</v>
      </c>
      <c r="B810" s="1986" t="s">
        <v>1309</v>
      </c>
      <c r="C810" s="1986"/>
      <c r="D810" s="1986"/>
      <c r="E810" s="1986"/>
      <c r="F810" s="1986"/>
      <c r="G810" s="1426" t="s">
        <v>1310</v>
      </c>
      <c r="H810" s="1230"/>
      <c r="I810" s="1426">
        <v>28000</v>
      </c>
      <c r="J810" s="1426">
        <f t="shared" si="17"/>
        <v>0</v>
      </c>
      <c r="K810" s="553"/>
      <c r="L810" s="582"/>
      <c r="M810" s="1126">
        <v>62</v>
      </c>
      <c r="N810" s="551"/>
      <c r="O810" s="551"/>
      <c r="P810" s="551"/>
      <c r="Q810" s="551"/>
      <c r="R810" s="551"/>
      <c r="S810" s="551"/>
      <c r="T810" s="551"/>
      <c r="U810" s="551"/>
      <c r="V810" s="551"/>
      <c r="W810" s="551"/>
      <c r="X810" s="551"/>
      <c r="Y810" s="551"/>
      <c r="Z810" s="551"/>
      <c r="AA810" s="551"/>
      <c r="AB810" s="551"/>
    </row>
    <row r="811" spans="1:28" ht="15" hidden="1" customHeight="1" x14ac:dyDescent="0.25">
      <c r="A811" s="1127">
        <v>48</v>
      </c>
      <c r="B811" s="2283" t="s">
        <v>1304</v>
      </c>
      <c r="C811" s="2283"/>
      <c r="D811" s="2283"/>
      <c r="E811" s="2283"/>
      <c r="F811" s="2283"/>
      <c r="G811" s="1420" t="s">
        <v>245</v>
      </c>
      <c r="H811" s="1229"/>
      <c r="I811" s="1420">
        <v>2235</v>
      </c>
      <c r="J811" s="1426">
        <f t="shared" si="17"/>
        <v>0</v>
      </c>
      <c r="K811" s="553"/>
      <c r="L811" s="582"/>
      <c r="M811" s="1126">
        <v>63</v>
      </c>
      <c r="N811" s="551"/>
      <c r="O811" s="551"/>
      <c r="P811" s="551"/>
      <c r="Q811" s="551"/>
      <c r="R811" s="551"/>
      <c r="S811" s="551"/>
      <c r="T811" s="551"/>
      <c r="U811" s="551"/>
      <c r="V811" s="551"/>
      <c r="W811" s="551"/>
      <c r="X811" s="551"/>
      <c r="Y811" s="551"/>
      <c r="Z811" s="551"/>
      <c r="AA811" s="551"/>
      <c r="AB811" s="551"/>
    </row>
    <row r="812" spans="1:28" ht="15" hidden="1" customHeight="1" x14ac:dyDescent="0.25">
      <c r="A812" s="1127">
        <v>49</v>
      </c>
      <c r="B812" s="2283" t="s">
        <v>1305</v>
      </c>
      <c r="C812" s="2283"/>
      <c r="D812" s="2283"/>
      <c r="E812" s="2283"/>
      <c r="F812" s="2283"/>
      <c r="G812" s="1420" t="s">
        <v>245</v>
      </c>
      <c r="H812" s="1229"/>
      <c r="I812" s="1420">
        <v>825</v>
      </c>
      <c r="J812" s="1426">
        <f t="shared" si="17"/>
        <v>0</v>
      </c>
      <c r="K812" s="553"/>
      <c r="L812" s="582"/>
      <c r="M812" s="1126">
        <v>64</v>
      </c>
      <c r="N812" s="551"/>
      <c r="O812" s="551"/>
      <c r="P812" s="551"/>
      <c r="Q812" s="551"/>
      <c r="R812" s="551"/>
      <c r="S812" s="551"/>
      <c r="T812" s="551"/>
      <c r="U812" s="551"/>
      <c r="V812" s="551"/>
      <c r="W812" s="551"/>
      <c r="X812" s="551"/>
      <c r="Y812" s="551"/>
      <c r="Z812" s="551"/>
      <c r="AA812" s="551"/>
      <c r="AB812" s="551"/>
    </row>
    <row r="813" spans="1:28" ht="15" hidden="1" customHeight="1" x14ac:dyDescent="0.25">
      <c r="A813" s="1127">
        <v>50</v>
      </c>
      <c r="B813" s="2283" t="s">
        <v>1363</v>
      </c>
      <c r="C813" s="2283"/>
      <c r="D813" s="2283"/>
      <c r="E813" s="2283"/>
      <c r="F813" s="2283"/>
      <c r="G813" s="1420" t="s">
        <v>245</v>
      </c>
      <c r="H813" s="1229"/>
      <c r="I813" s="1420">
        <v>5500</v>
      </c>
      <c r="J813" s="1426">
        <f t="shared" si="17"/>
        <v>0</v>
      </c>
      <c r="K813" s="553"/>
      <c r="L813" s="582"/>
      <c r="M813" s="1126">
        <v>65</v>
      </c>
      <c r="N813" s="551"/>
      <c r="O813" s="551"/>
      <c r="P813" s="551"/>
      <c r="Q813" s="551"/>
      <c r="R813" s="551"/>
      <c r="S813" s="551"/>
      <c r="T813" s="551"/>
      <c r="U813" s="551"/>
      <c r="V813" s="551"/>
      <c r="W813" s="551"/>
      <c r="X813" s="551"/>
      <c r="Y813" s="551"/>
      <c r="Z813" s="551"/>
      <c r="AA813" s="551"/>
      <c r="AB813" s="551"/>
    </row>
    <row r="814" spans="1:28" ht="15" hidden="1" customHeight="1" x14ac:dyDescent="0.25">
      <c r="A814" s="1127">
        <v>51</v>
      </c>
      <c r="B814" s="2283" t="s">
        <v>1364</v>
      </c>
      <c r="C814" s="2283"/>
      <c r="D814" s="2283"/>
      <c r="E814" s="2283"/>
      <c r="F814" s="2283"/>
      <c r="G814" s="1420" t="s">
        <v>245</v>
      </c>
      <c r="H814" s="1229"/>
      <c r="I814" s="1420">
        <v>202</v>
      </c>
      <c r="J814" s="1426">
        <f t="shared" si="17"/>
        <v>0</v>
      </c>
      <c r="K814" s="553"/>
      <c r="L814" s="582"/>
      <c r="M814" s="1126">
        <v>66</v>
      </c>
      <c r="N814" s="551"/>
      <c r="O814" s="551"/>
      <c r="P814" s="551"/>
      <c r="Q814" s="551"/>
      <c r="R814" s="551"/>
      <c r="S814" s="551"/>
      <c r="T814" s="551"/>
      <c r="U814" s="551"/>
      <c r="V814" s="551"/>
      <c r="W814" s="551"/>
      <c r="X814" s="551"/>
      <c r="Y814" s="551"/>
      <c r="Z814" s="551"/>
      <c r="AA814" s="551"/>
      <c r="AB814" s="551"/>
    </row>
    <row r="815" spans="1:28" ht="15" hidden="1" customHeight="1" x14ac:dyDescent="0.25">
      <c r="A815" s="1127">
        <v>52</v>
      </c>
      <c r="B815" s="2283" t="s">
        <v>1365</v>
      </c>
      <c r="C815" s="2283"/>
      <c r="D815" s="2283"/>
      <c r="E815" s="2283"/>
      <c r="F815" s="2283"/>
      <c r="G815" s="1420" t="s">
        <v>245</v>
      </c>
      <c r="H815" s="1229"/>
      <c r="I815" s="1420">
        <v>1497</v>
      </c>
      <c r="J815" s="1426">
        <f t="shared" si="17"/>
        <v>0</v>
      </c>
      <c r="K815" s="553"/>
      <c r="L815" s="582"/>
      <c r="M815" s="1126">
        <v>67</v>
      </c>
      <c r="N815" s="551"/>
      <c r="O815" s="551"/>
      <c r="P815" s="551"/>
      <c r="Q815" s="551"/>
      <c r="R815" s="551"/>
      <c r="S815" s="551"/>
      <c r="T815" s="551"/>
      <c r="U815" s="551"/>
      <c r="V815" s="551"/>
      <c r="W815" s="551"/>
      <c r="X815" s="551"/>
      <c r="Y815" s="551"/>
      <c r="Z815" s="551"/>
      <c r="AA815" s="551"/>
      <c r="AB815" s="551"/>
    </row>
    <row r="816" spans="1:28" ht="15" hidden="1" customHeight="1" x14ac:dyDescent="0.25">
      <c r="A816" s="2344" t="s">
        <v>39</v>
      </c>
      <c r="B816" s="2345"/>
      <c r="C816" s="2345"/>
      <c r="D816" s="2345"/>
      <c r="E816" s="2345"/>
      <c r="F816" s="2345"/>
      <c r="G816" s="2345"/>
      <c r="H816" s="2345"/>
      <c r="I816" s="2346"/>
      <c r="J816" s="1192">
        <f>SUM(J764:J815)</f>
        <v>0</v>
      </c>
      <c r="K816" s="551"/>
      <c r="L816" s="600"/>
      <c r="M816" s="1126">
        <v>68</v>
      </c>
      <c r="N816" s="586"/>
      <c r="O816" s="586"/>
      <c r="P816" s="586"/>
      <c r="Q816" s="559"/>
      <c r="R816" s="514"/>
      <c r="S816" s="559"/>
      <c r="T816" s="559"/>
      <c r="U816" s="551"/>
      <c r="V816" s="551"/>
      <c r="W816" s="551"/>
      <c r="X816" s="551"/>
      <c r="Y816" s="551"/>
      <c r="Z816" s="551"/>
      <c r="AA816" s="551"/>
      <c r="AB816" s="551"/>
    </row>
    <row r="817" spans="1:28" ht="15" hidden="1" customHeight="1" x14ac:dyDescent="0.25">
      <c r="A817" s="507"/>
      <c r="B817" s="504"/>
      <c r="C817" s="504"/>
      <c r="D817" s="504"/>
      <c r="E817" s="509"/>
      <c r="K817" s="553"/>
      <c r="L817" s="582"/>
      <c r="M817" s="1126">
        <v>69</v>
      </c>
      <c r="N817" s="551"/>
      <c r="O817" s="551"/>
      <c r="P817" s="551"/>
      <c r="Q817" s="551"/>
      <c r="R817" s="551"/>
      <c r="S817" s="551"/>
      <c r="T817" s="551"/>
      <c r="U817" s="551"/>
      <c r="V817" s="551"/>
      <c r="W817" s="551"/>
      <c r="X817" s="551"/>
      <c r="Y817" s="551"/>
      <c r="Z817" s="551"/>
      <c r="AA817" s="551"/>
      <c r="AB817" s="551"/>
    </row>
    <row r="818" spans="1:28" ht="15" hidden="1" customHeight="1" x14ac:dyDescent="0.25">
      <c r="A818" s="1449" t="s">
        <v>1174</v>
      </c>
      <c r="K818" s="553"/>
      <c r="L818" s="582"/>
      <c r="M818" s="1126">
        <v>70</v>
      </c>
      <c r="N818" s="551"/>
      <c r="O818" s="551"/>
      <c r="P818" s="551"/>
      <c r="Q818" s="551"/>
      <c r="R818" s="551"/>
      <c r="S818" s="551"/>
      <c r="T818" s="551"/>
      <c r="U818" s="551"/>
      <c r="V818" s="551"/>
      <c r="W818" s="551"/>
      <c r="X818" s="551"/>
      <c r="Y818" s="551"/>
      <c r="Z818" s="551"/>
      <c r="AA818" s="551"/>
      <c r="AB818" s="551"/>
    </row>
    <row r="819" spans="1:28" ht="15" hidden="1" customHeight="1" x14ac:dyDescent="0.25">
      <c r="A819" s="2170" t="s">
        <v>8</v>
      </c>
      <c r="B819" s="2170" t="s">
        <v>35</v>
      </c>
      <c r="C819" s="2170"/>
      <c r="D819" s="2170"/>
      <c r="E819" s="2170"/>
      <c r="F819" s="2170"/>
      <c r="G819" s="2170" t="s">
        <v>61</v>
      </c>
      <c r="H819" s="2193" t="s">
        <v>735</v>
      </c>
      <c r="I819" s="2240"/>
      <c r="J819" s="2179"/>
      <c r="K819" s="553"/>
      <c r="L819" s="582"/>
      <c r="M819" s="1126">
        <v>71</v>
      </c>
      <c r="N819" s="551"/>
      <c r="O819" s="551"/>
      <c r="P819" s="551"/>
      <c r="Q819" s="551"/>
      <c r="R819" s="551"/>
      <c r="S819" s="551"/>
      <c r="T819" s="551"/>
      <c r="U819" s="551"/>
      <c r="V819" s="551"/>
      <c r="W819" s="551"/>
      <c r="X819" s="551"/>
      <c r="Y819" s="551"/>
      <c r="Z819" s="551"/>
      <c r="AA819" s="551"/>
      <c r="AB819" s="551"/>
    </row>
    <row r="820" spans="1:28" ht="30" hidden="1" customHeight="1" x14ac:dyDescent="0.25">
      <c r="A820" s="2170"/>
      <c r="B820" s="2170"/>
      <c r="C820" s="2170"/>
      <c r="D820" s="2170"/>
      <c r="E820" s="2170"/>
      <c r="F820" s="2170"/>
      <c r="G820" s="2170"/>
      <c r="H820" s="1410" t="s">
        <v>248</v>
      </c>
      <c r="I820" s="1420" t="s">
        <v>264</v>
      </c>
      <c r="J820" s="1420" t="s">
        <v>256</v>
      </c>
      <c r="K820" s="553"/>
      <c r="L820" s="582"/>
      <c r="M820" s="1126">
        <v>72</v>
      </c>
      <c r="N820" s="551"/>
      <c r="O820" s="551"/>
      <c r="P820" s="551"/>
      <c r="Q820" s="551"/>
      <c r="R820" s="551"/>
      <c r="S820" s="551"/>
      <c r="T820" s="551"/>
      <c r="U820" s="551"/>
      <c r="V820" s="551"/>
      <c r="W820" s="551"/>
      <c r="X820" s="551"/>
      <c r="Y820" s="551"/>
      <c r="Z820" s="551"/>
      <c r="AA820" s="551"/>
      <c r="AB820" s="551"/>
    </row>
    <row r="821" spans="1:28" ht="15" hidden="1" customHeight="1" x14ac:dyDescent="0.25">
      <c r="A821" s="1127">
        <v>1</v>
      </c>
      <c r="B821" s="2283" t="s">
        <v>1445</v>
      </c>
      <c r="C821" s="2283"/>
      <c r="D821" s="2283"/>
      <c r="E821" s="2283"/>
      <c r="F821" s="2283"/>
      <c r="G821" s="1420" t="s">
        <v>304</v>
      </c>
      <c r="H821" s="1229"/>
      <c r="I821" s="1231">
        <v>2200</v>
      </c>
      <c r="J821" s="1426">
        <f>H821*I821</f>
        <v>0</v>
      </c>
      <c r="K821" s="553"/>
      <c r="L821" s="582"/>
      <c r="M821" s="1126">
        <v>73</v>
      </c>
      <c r="N821" s="551"/>
      <c r="O821" s="551"/>
      <c r="P821" s="551"/>
      <c r="Q821" s="551"/>
      <c r="R821" s="551"/>
      <c r="S821" s="551"/>
      <c r="T821" s="551"/>
      <c r="U821" s="551"/>
      <c r="V821" s="551"/>
      <c r="W821" s="551"/>
      <c r="X821" s="551"/>
      <c r="Y821" s="551"/>
      <c r="Z821" s="551"/>
      <c r="AA821" s="551"/>
      <c r="AB821" s="551"/>
    </row>
    <row r="822" spans="1:28" ht="15" hidden="1" customHeight="1" x14ac:dyDescent="0.25">
      <c r="A822" s="1127">
        <v>9</v>
      </c>
      <c r="B822" s="2283" t="s">
        <v>1446</v>
      </c>
      <c r="C822" s="2283"/>
      <c r="D822" s="2283"/>
      <c r="E822" s="2283"/>
      <c r="F822" s="2283"/>
      <c r="G822" s="1420" t="s">
        <v>304</v>
      </c>
      <c r="H822" s="1229"/>
      <c r="I822" s="1231">
        <v>2234</v>
      </c>
      <c r="J822" s="1426">
        <f>H822*I822</f>
        <v>0</v>
      </c>
      <c r="K822" s="553"/>
      <c r="L822" s="582"/>
      <c r="M822" s="1126">
        <v>74</v>
      </c>
      <c r="N822" s="551"/>
      <c r="O822" s="551"/>
      <c r="P822" s="551"/>
      <c r="Q822" s="551"/>
      <c r="R822" s="551"/>
      <c r="S822" s="551"/>
      <c r="T822" s="551"/>
      <c r="U822" s="551"/>
      <c r="V822" s="551"/>
      <c r="W822" s="551"/>
      <c r="X822" s="551"/>
      <c r="Y822" s="551"/>
      <c r="Z822" s="551"/>
      <c r="AA822" s="551"/>
      <c r="AB822" s="551"/>
    </row>
    <row r="823" spans="1:28" ht="15" hidden="1" customHeight="1" x14ac:dyDescent="0.25">
      <c r="A823" s="1127">
        <v>13</v>
      </c>
      <c r="B823" s="2283" t="s">
        <v>1447</v>
      </c>
      <c r="C823" s="2283"/>
      <c r="D823" s="2283"/>
      <c r="E823" s="2283"/>
      <c r="F823" s="2283"/>
      <c r="G823" s="1420" t="s">
        <v>716</v>
      </c>
      <c r="H823" s="1229"/>
      <c r="I823" s="1231">
        <v>2309</v>
      </c>
      <c r="J823" s="1426">
        <f>H823*I823</f>
        <v>0</v>
      </c>
      <c r="K823" s="553"/>
      <c r="L823" s="582"/>
      <c r="M823" s="1126">
        <v>75</v>
      </c>
      <c r="N823" s="551"/>
      <c r="O823" s="551"/>
      <c r="P823" s="551"/>
      <c r="Q823" s="551"/>
      <c r="R823" s="551"/>
      <c r="S823" s="551"/>
      <c r="T823" s="551"/>
      <c r="U823" s="551"/>
      <c r="V823" s="551"/>
      <c r="W823" s="551"/>
      <c r="X823" s="551"/>
      <c r="Y823" s="551"/>
      <c r="Z823" s="551"/>
      <c r="AA823" s="551"/>
      <c r="AB823" s="551"/>
    </row>
    <row r="824" spans="1:28" ht="15" hidden="1" customHeight="1" x14ac:dyDescent="0.25">
      <c r="A824" s="1127">
        <v>17</v>
      </c>
      <c r="B824" s="2283" t="s">
        <v>1304</v>
      </c>
      <c r="C824" s="2283"/>
      <c r="D824" s="2283"/>
      <c r="E824" s="2283"/>
      <c r="F824" s="2283"/>
      <c r="G824" s="1420" t="s">
        <v>304</v>
      </c>
      <c r="H824" s="1229"/>
      <c r="I824" s="1231">
        <v>1304</v>
      </c>
      <c r="J824" s="1426">
        <f>H824*I824</f>
        <v>0</v>
      </c>
      <c r="K824" s="553"/>
      <c r="L824" s="582"/>
      <c r="M824" s="1126">
        <v>76</v>
      </c>
      <c r="N824" s="551"/>
      <c r="O824" s="551"/>
      <c r="P824" s="551"/>
      <c r="Q824" s="551"/>
      <c r="R824" s="551"/>
      <c r="S824" s="551"/>
      <c r="T824" s="551"/>
      <c r="U824" s="551"/>
      <c r="V824" s="551"/>
      <c r="W824" s="551"/>
      <c r="X824" s="551"/>
      <c r="Y824" s="551"/>
      <c r="Z824" s="551"/>
      <c r="AA824" s="551"/>
      <c r="AB824" s="551"/>
    </row>
    <row r="825" spans="1:28" ht="15" hidden="1" customHeight="1" x14ac:dyDescent="0.25">
      <c r="A825" s="2344" t="s">
        <v>39</v>
      </c>
      <c r="B825" s="2345"/>
      <c r="C825" s="2345"/>
      <c r="D825" s="2345"/>
      <c r="E825" s="2345"/>
      <c r="F825" s="2345"/>
      <c r="G825" s="2345"/>
      <c r="H825" s="2345"/>
      <c r="I825" s="2346"/>
      <c r="J825" s="1192">
        <f>SUM(J821:J824)</f>
        <v>0</v>
      </c>
      <c r="K825" s="551"/>
      <c r="L825" s="946"/>
      <c r="M825" s="1126">
        <v>77</v>
      </c>
      <c r="N825" s="551"/>
      <c r="O825" s="586"/>
      <c r="P825" s="586"/>
      <c r="Q825" s="559"/>
      <c r="R825" s="514"/>
      <c r="S825" s="559"/>
      <c r="T825" s="559"/>
      <c r="U825" s="551"/>
      <c r="V825" s="551"/>
      <c r="W825" s="551"/>
      <c r="X825" s="551"/>
      <c r="Y825" s="551"/>
      <c r="Z825" s="551"/>
      <c r="AA825" s="551"/>
      <c r="AB825" s="551"/>
    </row>
    <row r="826" spans="1:28" ht="15" hidden="1" customHeight="1" x14ac:dyDescent="0.25">
      <c r="A826" s="507"/>
      <c r="B826" s="504"/>
      <c r="C826" s="504"/>
      <c r="D826" s="504"/>
      <c r="E826" s="509"/>
      <c r="K826" s="553"/>
      <c r="L826" s="865"/>
      <c r="M826" s="1126">
        <v>78</v>
      </c>
      <c r="N826" s="551"/>
      <c r="O826" s="551"/>
      <c r="P826" s="551"/>
      <c r="Q826" s="551"/>
      <c r="R826" s="551"/>
      <c r="S826" s="551"/>
      <c r="T826" s="551"/>
      <c r="U826" s="551"/>
      <c r="V826" s="551"/>
      <c r="W826" s="551"/>
      <c r="X826" s="551"/>
      <c r="Y826" s="551"/>
      <c r="Z826" s="551"/>
      <c r="AA826" s="551"/>
      <c r="AB826" s="551"/>
    </row>
    <row r="827" spans="1:28" ht="15" hidden="1" customHeight="1" x14ac:dyDescent="0.25">
      <c r="A827" s="1449" t="s">
        <v>1090</v>
      </c>
      <c r="K827" s="553"/>
      <c r="L827" s="865"/>
      <c r="M827" s="1126">
        <v>79</v>
      </c>
      <c r="N827" s="551"/>
      <c r="O827" s="551"/>
      <c r="P827" s="551"/>
      <c r="Q827" s="551"/>
      <c r="R827" s="551"/>
      <c r="S827" s="551"/>
      <c r="T827" s="551"/>
      <c r="U827" s="551"/>
      <c r="V827" s="551"/>
      <c r="W827" s="551"/>
      <c r="X827" s="551"/>
      <c r="Y827" s="551"/>
      <c r="Z827" s="551"/>
      <c r="AA827" s="551"/>
      <c r="AB827" s="551"/>
    </row>
    <row r="828" spans="1:28" ht="15" hidden="1" customHeight="1" x14ac:dyDescent="0.25">
      <c r="A828" s="2170" t="s">
        <v>8</v>
      </c>
      <c r="B828" s="2170" t="s">
        <v>35</v>
      </c>
      <c r="C828" s="2170"/>
      <c r="D828" s="2170"/>
      <c r="E828" s="2170"/>
      <c r="F828" s="2170"/>
      <c r="G828" s="2170" t="s">
        <v>61</v>
      </c>
      <c r="H828" s="2193" t="s">
        <v>735</v>
      </c>
      <c r="I828" s="2240"/>
      <c r="J828" s="2179"/>
      <c r="K828" s="553"/>
      <c r="L828" s="865"/>
      <c r="M828" s="1126">
        <v>80</v>
      </c>
      <c r="N828" s="551"/>
      <c r="O828" s="551"/>
      <c r="P828" s="551"/>
      <c r="Q828" s="551"/>
      <c r="R828" s="551"/>
      <c r="S828" s="551"/>
      <c r="T828" s="551"/>
      <c r="U828" s="551"/>
      <c r="V828" s="551"/>
      <c r="W828" s="551"/>
      <c r="X828" s="551"/>
      <c r="Y828" s="551"/>
      <c r="Z828" s="551"/>
      <c r="AA828" s="551"/>
      <c r="AB828" s="551"/>
    </row>
    <row r="829" spans="1:28" ht="30" hidden="1" customHeight="1" x14ac:dyDescent="0.25">
      <c r="A829" s="2170"/>
      <c r="B829" s="2170"/>
      <c r="C829" s="2170"/>
      <c r="D829" s="2170"/>
      <c r="E829" s="2170"/>
      <c r="F829" s="2170"/>
      <c r="G829" s="2170"/>
      <c r="H829" s="1410" t="s">
        <v>248</v>
      </c>
      <c r="I829" s="1420" t="s">
        <v>264</v>
      </c>
      <c r="J829" s="1420" t="s">
        <v>256</v>
      </c>
      <c r="K829" s="553"/>
      <c r="L829" s="865"/>
      <c r="M829" s="1126">
        <v>81</v>
      </c>
      <c r="N829" s="551"/>
      <c r="O829" s="551"/>
      <c r="P829" s="551"/>
      <c r="Q829" s="551"/>
      <c r="R829" s="551"/>
      <c r="S829" s="551"/>
      <c r="T829" s="551"/>
      <c r="U829" s="551"/>
      <c r="V829" s="551"/>
      <c r="W829" s="551"/>
      <c r="X829" s="551"/>
      <c r="Y829" s="551"/>
      <c r="Z829" s="551"/>
      <c r="AA829" s="551"/>
      <c r="AB829" s="551"/>
    </row>
    <row r="830" spans="1:28" ht="15" hidden="1" customHeight="1" x14ac:dyDescent="0.25">
      <c r="A830" s="1127">
        <v>1</v>
      </c>
      <c r="B830" s="2243" t="s">
        <v>1223</v>
      </c>
      <c r="C830" s="2350"/>
      <c r="D830" s="2350"/>
      <c r="E830" s="2350"/>
      <c r="F830" s="2351"/>
      <c r="G830" s="1420" t="s">
        <v>1224</v>
      </c>
      <c r="H830" s="1229"/>
      <c r="I830" s="1420">
        <v>577</v>
      </c>
      <c r="J830" s="1426">
        <f>H830*I830</f>
        <v>0</v>
      </c>
      <c r="K830" s="553"/>
      <c r="L830" s="865"/>
      <c r="M830" s="1126">
        <v>82</v>
      </c>
      <c r="N830" s="551"/>
      <c r="O830" s="551"/>
      <c r="P830" s="551"/>
      <c r="Q830" s="551"/>
      <c r="R830" s="551"/>
      <c r="S830" s="551"/>
      <c r="T830" s="551"/>
      <c r="U830" s="551"/>
      <c r="V830" s="551"/>
      <c r="W830" s="551"/>
      <c r="X830" s="551"/>
      <c r="Y830" s="551"/>
      <c r="Z830" s="551"/>
      <c r="AA830" s="551"/>
      <c r="AB830" s="551"/>
    </row>
    <row r="831" spans="1:28" ht="15" hidden="1" customHeight="1" x14ac:dyDescent="0.25">
      <c r="A831" s="1127">
        <v>2</v>
      </c>
      <c r="B831" s="2243" t="s">
        <v>1225</v>
      </c>
      <c r="C831" s="2350"/>
      <c r="D831" s="2350"/>
      <c r="E831" s="2350"/>
      <c r="F831" s="2351"/>
      <c r="G831" s="1420" t="s">
        <v>245</v>
      </c>
      <c r="H831" s="1229"/>
      <c r="I831" s="1420">
        <v>473</v>
      </c>
      <c r="J831" s="1426">
        <f>H831*I831</f>
        <v>0</v>
      </c>
      <c r="K831" s="553"/>
      <c r="L831" s="865"/>
      <c r="M831" s="1126">
        <v>83</v>
      </c>
      <c r="N831" s="551"/>
      <c r="O831" s="551"/>
      <c r="P831" s="551"/>
      <c r="Q831" s="551"/>
      <c r="R831" s="551"/>
      <c r="S831" s="551"/>
      <c r="T831" s="551"/>
      <c r="U831" s="551"/>
      <c r="V831" s="551"/>
      <c r="W831" s="551"/>
      <c r="X831" s="551"/>
      <c r="Y831" s="551"/>
      <c r="Z831" s="551"/>
      <c r="AA831" s="551"/>
      <c r="AB831" s="551"/>
    </row>
    <row r="832" spans="1:28" ht="15" hidden="1" customHeight="1" x14ac:dyDescent="0.25">
      <c r="A832" s="1127">
        <v>3</v>
      </c>
      <c r="B832" s="2243" t="s">
        <v>1081</v>
      </c>
      <c r="C832" s="2350"/>
      <c r="D832" s="2350"/>
      <c r="E832" s="2350"/>
      <c r="F832" s="2351"/>
      <c r="G832" s="1420" t="s">
        <v>245</v>
      </c>
      <c r="H832" s="1229"/>
      <c r="I832" s="1420">
        <v>458</v>
      </c>
      <c r="J832" s="1426">
        <f>H832*I832</f>
        <v>0</v>
      </c>
      <c r="K832" s="553"/>
      <c r="L832" s="865"/>
      <c r="M832" s="1126">
        <v>84</v>
      </c>
      <c r="N832" s="551"/>
      <c r="O832" s="551"/>
      <c r="P832" s="551"/>
      <c r="Q832" s="551"/>
      <c r="R832" s="551"/>
      <c r="S832" s="551"/>
      <c r="T832" s="551"/>
      <c r="U832" s="551"/>
      <c r="V832" s="551"/>
      <c r="W832" s="551"/>
      <c r="X832" s="551"/>
      <c r="Y832" s="551"/>
      <c r="Z832" s="551"/>
      <c r="AA832" s="551"/>
      <c r="AB832" s="551"/>
    </row>
    <row r="833" spans="1:28" ht="15" hidden="1" customHeight="1" x14ac:dyDescent="0.25">
      <c r="A833" s="2344" t="s">
        <v>39</v>
      </c>
      <c r="B833" s="2345"/>
      <c r="C833" s="2345"/>
      <c r="D833" s="2345"/>
      <c r="E833" s="2345"/>
      <c r="F833" s="2345"/>
      <c r="G833" s="2345"/>
      <c r="H833" s="2345"/>
      <c r="I833" s="2346"/>
      <c r="J833" s="1192">
        <f>SUM(J830:J832)</f>
        <v>0</v>
      </c>
      <c r="K833" s="551"/>
      <c r="L833" s="865"/>
      <c r="M833" s="1126">
        <v>85</v>
      </c>
      <c r="N833" s="551"/>
      <c r="O833" s="586"/>
      <c r="P833" s="586"/>
      <c r="Q833" s="559"/>
      <c r="R833" s="514"/>
      <c r="S833" s="559"/>
      <c r="T833" s="559"/>
      <c r="U833" s="551"/>
      <c r="V833" s="551"/>
      <c r="W833" s="551"/>
      <c r="X833" s="551"/>
      <c r="Y833" s="551"/>
      <c r="Z833" s="551"/>
      <c r="AA833" s="551"/>
      <c r="AB833" s="551"/>
    </row>
    <row r="834" spans="1:28" ht="15" hidden="1" customHeight="1" x14ac:dyDescent="0.25">
      <c r="A834" s="507"/>
      <c r="B834" s="504"/>
      <c r="C834" s="504"/>
      <c r="D834" s="504"/>
      <c r="E834" s="509"/>
      <c r="K834" s="553"/>
      <c r="L834" s="865"/>
      <c r="M834" s="1126">
        <v>86</v>
      </c>
      <c r="N834" s="551"/>
      <c r="O834" s="551"/>
      <c r="P834" s="551"/>
      <c r="Q834" s="551"/>
      <c r="R834" s="551"/>
      <c r="S834" s="551"/>
      <c r="T834" s="551"/>
      <c r="U834" s="551"/>
      <c r="V834" s="551"/>
      <c r="W834" s="551"/>
      <c r="X834" s="551"/>
      <c r="Y834" s="551"/>
      <c r="Z834" s="551"/>
      <c r="AA834" s="551"/>
      <c r="AB834" s="551"/>
    </row>
    <row r="835" spans="1:28" ht="15" hidden="1" customHeight="1" x14ac:dyDescent="0.25">
      <c r="A835" s="1449" t="s">
        <v>1307</v>
      </c>
      <c r="K835" s="565"/>
      <c r="L835" s="865"/>
      <c r="M835" s="1126">
        <v>87</v>
      </c>
      <c r="N835" s="551"/>
      <c r="O835" s="551"/>
      <c r="P835" s="551"/>
      <c r="Q835" s="551"/>
      <c r="R835" s="551"/>
      <c r="S835" s="551"/>
      <c r="T835" s="551"/>
      <c r="U835" s="551"/>
      <c r="V835" s="551"/>
      <c r="W835" s="551"/>
      <c r="X835" s="551"/>
      <c r="Y835" s="551"/>
      <c r="Z835" s="551"/>
      <c r="AA835" s="551"/>
      <c r="AB835" s="551"/>
    </row>
    <row r="836" spans="1:28" ht="15" hidden="1" customHeight="1" x14ac:dyDescent="0.25">
      <c r="A836" s="2170" t="s">
        <v>8</v>
      </c>
      <c r="B836" s="2170" t="s">
        <v>35</v>
      </c>
      <c r="C836" s="2170"/>
      <c r="D836" s="2170"/>
      <c r="E836" s="2170"/>
      <c r="F836" s="2170"/>
      <c r="G836" s="2170" t="s">
        <v>61</v>
      </c>
      <c r="H836" s="2193" t="s">
        <v>735</v>
      </c>
      <c r="I836" s="2240"/>
      <c r="J836" s="2179"/>
      <c r="K836" s="551"/>
      <c r="L836" s="865"/>
      <c r="M836" s="1126">
        <v>88</v>
      </c>
      <c r="N836" s="551"/>
      <c r="O836" s="551"/>
      <c r="P836" s="551"/>
      <c r="Q836" s="551"/>
      <c r="R836" s="551"/>
      <c r="S836" s="551"/>
      <c r="T836" s="551"/>
      <c r="U836" s="551"/>
      <c r="V836" s="551"/>
      <c r="W836" s="551"/>
      <c r="X836" s="551"/>
      <c r="Y836" s="551"/>
      <c r="Z836" s="551"/>
      <c r="AA836" s="551"/>
      <c r="AB836" s="551"/>
    </row>
    <row r="837" spans="1:28" ht="30" hidden="1" customHeight="1" x14ac:dyDescent="0.25">
      <c r="A837" s="2170"/>
      <c r="B837" s="2170"/>
      <c r="C837" s="2170"/>
      <c r="D837" s="2170"/>
      <c r="E837" s="2170"/>
      <c r="F837" s="2170"/>
      <c r="G837" s="2170"/>
      <c r="H837" s="1410" t="s">
        <v>248</v>
      </c>
      <c r="I837" s="1420" t="s">
        <v>264</v>
      </c>
      <c r="J837" s="1420" t="s">
        <v>256</v>
      </c>
      <c r="K837" s="551"/>
      <c r="L837" s="865"/>
      <c r="M837" s="1126">
        <v>89</v>
      </c>
      <c r="N837" s="551"/>
      <c r="O837" s="551"/>
      <c r="P837" s="551"/>
      <c r="Q837" s="551"/>
      <c r="R837" s="551"/>
      <c r="S837" s="551"/>
      <c r="T837" s="551"/>
      <c r="U837" s="551"/>
      <c r="V837" s="551"/>
      <c r="W837" s="551"/>
      <c r="X837" s="551"/>
      <c r="Y837" s="551"/>
      <c r="Z837" s="551"/>
      <c r="AA837" s="551"/>
      <c r="AB837" s="551"/>
    </row>
    <row r="838" spans="1:28" ht="15" hidden="1" customHeight="1" x14ac:dyDescent="0.25">
      <c r="A838" s="1127">
        <v>1</v>
      </c>
      <c r="B838" s="2243" t="s">
        <v>1291</v>
      </c>
      <c r="C838" s="2350"/>
      <c r="D838" s="2350"/>
      <c r="E838" s="2350"/>
      <c r="F838" s="2351"/>
      <c r="G838" s="1410" t="s">
        <v>304</v>
      </c>
      <c r="H838" s="1410"/>
      <c r="I838" s="1420">
        <v>2334.9</v>
      </c>
      <c r="J838" s="1426">
        <f>H838*I838</f>
        <v>0</v>
      </c>
      <c r="K838" s="561"/>
      <c r="L838" s="865"/>
      <c r="M838" s="1126">
        <v>90</v>
      </c>
      <c r="N838" s="551"/>
      <c r="O838" s="551"/>
      <c r="P838" s="551"/>
      <c r="Q838" s="551"/>
      <c r="R838" s="551"/>
      <c r="S838" s="551"/>
      <c r="T838" s="551"/>
      <c r="U838" s="551"/>
      <c r="V838" s="551"/>
      <c r="W838" s="551"/>
      <c r="X838" s="551"/>
      <c r="Y838" s="551"/>
      <c r="Z838" s="551"/>
      <c r="AA838" s="551"/>
      <c r="AB838" s="551"/>
    </row>
    <row r="839" spans="1:28" ht="15" hidden="1" customHeight="1" x14ac:dyDescent="0.25">
      <c r="A839" s="1127">
        <v>2</v>
      </c>
      <c r="B839" s="2243" t="s">
        <v>1292</v>
      </c>
      <c r="C839" s="2350"/>
      <c r="D839" s="2350"/>
      <c r="E839" s="2350"/>
      <c r="F839" s="2351"/>
      <c r="G839" s="1410" t="s">
        <v>304</v>
      </c>
      <c r="H839" s="1410"/>
      <c r="I839" s="1420">
        <v>5340.6</v>
      </c>
      <c r="J839" s="1426">
        <f>H839*I839</f>
        <v>0</v>
      </c>
      <c r="K839" s="561"/>
      <c r="L839" s="865"/>
      <c r="M839" s="1126">
        <v>91</v>
      </c>
      <c r="N839" s="551"/>
      <c r="O839" s="551"/>
      <c r="P839" s="551"/>
      <c r="Q839" s="551"/>
      <c r="R839" s="551"/>
      <c r="S839" s="551"/>
      <c r="T839" s="551"/>
      <c r="U839" s="551"/>
      <c r="V839" s="551"/>
      <c r="W839" s="551"/>
      <c r="X839" s="551"/>
      <c r="Y839" s="551"/>
      <c r="Z839" s="551"/>
      <c r="AA839" s="551"/>
      <c r="AB839" s="551"/>
    </row>
    <row r="840" spans="1:28" ht="15" hidden="1" customHeight="1" x14ac:dyDescent="0.25">
      <c r="A840" s="2278" t="s">
        <v>39</v>
      </c>
      <c r="B840" s="2278"/>
      <c r="C840" s="2278"/>
      <c r="D840" s="2278"/>
      <c r="E840" s="2278"/>
      <c r="F840" s="2278"/>
      <c r="G840" s="2278"/>
      <c r="H840" s="1190" t="s">
        <v>5</v>
      </c>
      <c r="I840" s="1190" t="s">
        <v>5</v>
      </c>
      <c r="J840" s="1192">
        <f>SUM(J838:J839)</f>
        <v>0</v>
      </c>
      <c r="K840" s="561"/>
      <c r="L840" s="865"/>
      <c r="M840" s="1126">
        <v>92</v>
      </c>
      <c r="N840" s="551"/>
      <c r="O840" s="551"/>
      <c r="P840" s="551"/>
      <c r="Q840" s="551"/>
      <c r="R840" s="551"/>
      <c r="S840" s="551"/>
      <c r="T840" s="551"/>
      <c r="U840" s="551"/>
      <c r="V840" s="551"/>
      <c r="W840" s="551"/>
      <c r="X840" s="551"/>
      <c r="Y840" s="551"/>
      <c r="Z840" s="551"/>
      <c r="AA840" s="551"/>
      <c r="AB840" s="551"/>
    </row>
    <row r="841" spans="1:28" ht="15" hidden="1" customHeight="1" x14ac:dyDescent="0.25">
      <c r="A841" s="560"/>
      <c r="B841" s="560"/>
      <c r="C841" s="560"/>
      <c r="D841" s="560"/>
      <c r="E841" s="560"/>
      <c r="F841" s="560"/>
      <c r="G841" s="560"/>
      <c r="H841" s="554"/>
      <c r="I841" s="554"/>
      <c r="J841" s="554"/>
      <c r="K841" s="551"/>
      <c r="L841" s="865"/>
      <c r="M841" s="1126">
        <v>93</v>
      </c>
      <c r="N841" s="551"/>
      <c r="O841" s="551"/>
      <c r="P841" s="551"/>
      <c r="Q841" s="551"/>
      <c r="R841" s="551"/>
      <c r="S841" s="551"/>
      <c r="T841" s="551"/>
      <c r="U841" s="551"/>
      <c r="V841" s="551"/>
      <c r="W841" s="551"/>
      <c r="X841" s="551"/>
      <c r="Y841" s="551"/>
      <c r="Z841" s="551"/>
      <c r="AA841" s="551"/>
      <c r="AB841" s="551"/>
    </row>
    <row r="842" spans="1:28" x14ac:dyDescent="0.25">
      <c r="A842" s="1449" t="s">
        <v>723</v>
      </c>
      <c r="K842" s="551"/>
      <c r="L842" s="1125"/>
      <c r="M842" s="1126"/>
      <c r="N842" s="508"/>
      <c r="O842" s="508"/>
      <c r="P842" s="508"/>
      <c r="Q842" s="508"/>
      <c r="R842" s="508"/>
      <c r="S842" s="508"/>
      <c r="T842" s="508"/>
      <c r="U842" s="551"/>
      <c r="V842" s="551"/>
      <c r="W842" s="551"/>
      <c r="X842" s="551"/>
      <c r="Y842" s="551"/>
      <c r="Z842" s="551"/>
      <c r="AA842" s="551"/>
      <c r="AB842" s="551"/>
    </row>
    <row r="843" spans="1:28" ht="15" customHeight="1" x14ac:dyDescent="0.25">
      <c r="A843" s="2170" t="s">
        <v>8</v>
      </c>
      <c r="B843" s="2170" t="s">
        <v>35</v>
      </c>
      <c r="C843" s="2170"/>
      <c r="D843" s="2170"/>
      <c r="E843" s="2170"/>
      <c r="F843" s="2170"/>
      <c r="G843" s="2170" t="s">
        <v>61</v>
      </c>
      <c r="H843" s="2193" t="s">
        <v>2048</v>
      </c>
      <c r="I843" s="2240"/>
      <c r="J843" s="2179"/>
      <c r="K843" s="551"/>
      <c r="L843" s="1125"/>
      <c r="M843" s="1126"/>
      <c r="N843" s="508"/>
      <c r="O843" s="508"/>
      <c r="P843" s="508"/>
      <c r="Q843" s="508"/>
      <c r="R843" s="508"/>
      <c r="S843" s="508"/>
      <c r="T843" s="508"/>
      <c r="U843" s="551"/>
      <c r="V843" s="551"/>
      <c r="W843" s="551"/>
      <c r="X843" s="551"/>
      <c r="Y843" s="551"/>
      <c r="Z843" s="551"/>
      <c r="AA843" s="551"/>
      <c r="AB843" s="551"/>
    </row>
    <row r="844" spans="1:28" ht="32.25" customHeight="1" x14ac:dyDescent="0.25">
      <c r="A844" s="2170"/>
      <c r="B844" s="2170"/>
      <c r="C844" s="2170"/>
      <c r="D844" s="2170"/>
      <c r="E844" s="2170"/>
      <c r="F844" s="2170"/>
      <c r="G844" s="2170"/>
      <c r="H844" s="1410" t="s">
        <v>248</v>
      </c>
      <c r="I844" s="1420" t="s">
        <v>264</v>
      </c>
      <c r="J844" s="1420" t="s">
        <v>256</v>
      </c>
      <c r="K844" s="565"/>
      <c r="L844" s="1125"/>
      <c r="M844" s="1126"/>
      <c r="N844" s="508"/>
      <c r="O844" s="508"/>
      <c r="P844" s="508"/>
      <c r="Q844" s="508"/>
      <c r="R844" s="508"/>
      <c r="S844" s="508"/>
      <c r="T844" s="508"/>
      <c r="U844" s="551"/>
      <c r="V844" s="551"/>
      <c r="W844" s="551"/>
      <c r="X844" s="551"/>
      <c r="Y844" s="551"/>
      <c r="Z844" s="551"/>
      <c r="AA844" s="551"/>
      <c r="AB844" s="551"/>
    </row>
    <row r="845" spans="1:28" x14ac:dyDescent="0.25">
      <c r="A845" s="1127">
        <v>1</v>
      </c>
      <c r="B845" s="2243" t="s">
        <v>1564</v>
      </c>
      <c r="C845" s="2350"/>
      <c r="D845" s="2350"/>
      <c r="E845" s="2350"/>
      <c r="F845" s="2351"/>
      <c r="G845" s="1232" t="s">
        <v>716</v>
      </c>
      <c r="H845" s="1233">
        <v>40</v>
      </c>
      <c r="I845" s="1234">
        <v>120</v>
      </c>
      <c r="J845" s="1035">
        <f t="shared" ref="J845:J854" si="18">H845*I845</f>
        <v>4800</v>
      </c>
      <c r="L845" s="1125"/>
      <c r="M845" s="1126"/>
      <c r="N845" s="508"/>
      <c r="O845" s="508"/>
      <c r="P845" s="508"/>
      <c r="Q845" s="508"/>
      <c r="R845" s="508"/>
      <c r="S845" s="508"/>
      <c r="T845" s="508"/>
      <c r="U845" s="551"/>
      <c r="V845" s="551"/>
      <c r="W845" s="551"/>
      <c r="X845" s="551"/>
      <c r="Y845" s="551"/>
      <c r="Z845" s="551"/>
      <c r="AA845" s="551"/>
      <c r="AB845" s="551"/>
    </row>
    <row r="846" spans="1:28" ht="15" customHeight="1" x14ac:dyDescent="0.25">
      <c r="A846" s="1127">
        <v>2</v>
      </c>
      <c r="B846" s="2243" t="s">
        <v>1565</v>
      </c>
      <c r="C846" s="2350"/>
      <c r="D846" s="2350"/>
      <c r="E846" s="2350"/>
      <c r="F846" s="2351"/>
      <c r="G846" s="1232" t="s">
        <v>716</v>
      </c>
      <c r="H846" s="1233">
        <v>40</v>
      </c>
      <c r="I846" s="1234">
        <v>150</v>
      </c>
      <c r="J846" s="1035">
        <f t="shared" si="18"/>
        <v>6000</v>
      </c>
      <c r="L846" s="1125"/>
      <c r="M846" s="1126"/>
      <c r="N846" s="508"/>
      <c r="O846" s="508"/>
      <c r="P846" s="508"/>
      <c r="Q846" s="508"/>
      <c r="R846" s="508"/>
      <c r="S846" s="508"/>
      <c r="T846" s="508"/>
      <c r="U846" s="551"/>
      <c r="V846" s="551"/>
      <c r="W846" s="551"/>
      <c r="X846" s="551"/>
      <c r="Y846" s="551"/>
      <c r="Z846" s="551"/>
      <c r="AA846" s="551"/>
      <c r="AB846" s="551"/>
    </row>
    <row r="847" spans="1:28" ht="15" customHeight="1" x14ac:dyDescent="0.25">
      <c r="A847" s="1127">
        <v>3</v>
      </c>
      <c r="B847" s="2243" t="s">
        <v>1566</v>
      </c>
      <c r="C847" s="2350"/>
      <c r="D847" s="2350"/>
      <c r="E847" s="2350"/>
      <c r="F847" s="2351"/>
      <c r="G847" s="1232" t="s">
        <v>1567</v>
      </c>
      <c r="H847" s="1233">
        <v>15</v>
      </c>
      <c r="I847" s="1234">
        <v>100</v>
      </c>
      <c r="J847" s="1035">
        <f t="shared" si="18"/>
        <v>1500</v>
      </c>
      <c r="L847" s="1125"/>
      <c r="M847" s="1126"/>
      <c r="N847" s="508"/>
      <c r="O847" s="508"/>
      <c r="P847" s="508"/>
      <c r="Q847" s="508"/>
      <c r="R847" s="508"/>
      <c r="S847" s="508"/>
      <c r="T847" s="508"/>
      <c r="U847" s="551"/>
      <c r="V847" s="551"/>
      <c r="W847" s="551"/>
      <c r="X847" s="551"/>
      <c r="Y847" s="551"/>
      <c r="Z847" s="551"/>
      <c r="AA847" s="551"/>
      <c r="AB847" s="551"/>
    </row>
    <row r="848" spans="1:28" ht="15" customHeight="1" x14ac:dyDescent="0.25">
      <c r="A848" s="1127">
        <v>4</v>
      </c>
      <c r="B848" s="2243" t="s">
        <v>1568</v>
      </c>
      <c r="C848" s="2350"/>
      <c r="D848" s="2350"/>
      <c r="E848" s="2350"/>
      <c r="F848" s="2351"/>
      <c r="G848" s="1232" t="s">
        <v>304</v>
      </c>
      <c r="H848" s="1233">
        <v>70</v>
      </c>
      <c r="I848" s="1234">
        <v>230</v>
      </c>
      <c r="J848" s="1035">
        <f t="shared" si="18"/>
        <v>16100</v>
      </c>
      <c r="L848" s="1125"/>
      <c r="M848" s="1126"/>
      <c r="N848" s="508"/>
      <c r="O848" s="508"/>
      <c r="P848" s="508"/>
      <c r="Q848" s="508"/>
      <c r="R848" s="508"/>
      <c r="S848" s="508"/>
      <c r="T848" s="508"/>
      <c r="U848" s="551"/>
      <c r="V848" s="551"/>
      <c r="W848" s="551"/>
      <c r="X848" s="551"/>
      <c r="Y848" s="551"/>
      <c r="Z848" s="551"/>
      <c r="AA848" s="551"/>
      <c r="AB848" s="551"/>
    </row>
    <row r="849" spans="1:33" ht="15" customHeight="1" x14ac:dyDescent="0.25">
      <c r="A849" s="1127">
        <v>5</v>
      </c>
      <c r="B849" s="2243" t="s">
        <v>1569</v>
      </c>
      <c r="C849" s="2350"/>
      <c r="D849" s="2350"/>
      <c r="E849" s="2350"/>
      <c r="F849" s="2351"/>
      <c r="G849" s="1232" t="s">
        <v>304</v>
      </c>
      <c r="H849" s="1233">
        <v>70</v>
      </c>
      <c r="I849" s="1234">
        <v>230</v>
      </c>
      <c r="J849" s="1035">
        <f t="shared" si="18"/>
        <v>16100</v>
      </c>
      <c r="L849" s="1125"/>
      <c r="M849" s="1126"/>
      <c r="N849" s="508"/>
      <c r="O849" s="508"/>
      <c r="P849" s="508"/>
      <c r="Q849" s="508"/>
      <c r="R849" s="508"/>
      <c r="S849" s="508"/>
      <c r="T849" s="508"/>
      <c r="U849" s="551"/>
      <c r="V849" s="551"/>
      <c r="W849" s="551"/>
      <c r="X849" s="551"/>
      <c r="Y849" s="551"/>
      <c r="Z849" s="551"/>
      <c r="AA849" s="551"/>
      <c r="AB849" s="551"/>
    </row>
    <row r="850" spans="1:33" x14ac:dyDescent="0.25">
      <c r="A850" s="1127">
        <v>6</v>
      </c>
      <c r="B850" s="2243" t="s">
        <v>1570</v>
      </c>
      <c r="C850" s="2350"/>
      <c r="D850" s="2350"/>
      <c r="E850" s="2350"/>
      <c r="F850" s="2351"/>
      <c r="G850" s="1232" t="s">
        <v>716</v>
      </c>
      <c r="H850" s="1233">
        <v>30</v>
      </c>
      <c r="I850" s="1234">
        <v>195</v>
      </c>
      <c r="J850" s="1035">
        <f t="shared" si="18"/>
        <v>5850</v>
      </c>
      <c r="L850" s="1125"/>
      <c r="M850" s="1126"/>
      <c r="N850" s="508"/>
      <c r="O850" s="508"/>
      <c r="P850" s="508"/>
      <c r="Q850" s="508"/>
      <c r="R850" s="508"/>
      <c r="S850" s="508"/>
      <c r="T850" s="508"/>
      <c r="U850" s="551"/>
      <c r="V850" s="551"/>
      <c r="W850" s="551"/>
      <c r="X850" s="551"/>
      <c r="Y850" s="551"/>
      <c r="Z850" s="551"/>
      <c r="AA850" s="551"/>
      <c r="AB850" s="551"/>
    </row>
    <row r="851" spans="1:33" ht="15" customHeight="1" x14ac:dyDescent="0.25">
      <c r="A851" s="1127">
        <v>7</v>
      </c>
      <c r="B851" s="2243" t="s">
        <v>722</v>
      </c>
      <c r="C851" s="2350"/>
      <c r="D851" s="2350"/>
      <c r="E851" s="2350"/>
      <c r="F851" s="2351"/>
      <c r="G851" s="1232" t="s">
        <v>304</v>
      </c>
      <c r="H851" s="1233">
        <v>30</v>
      </c>
      <c r="I851" s="1234">
        <v>80</v>
      </c>
      <c r="J851" s="1035">
        <f t="shared" si="18"/>
        <v>2400</v>
      </c>
      <c r="L851" s="1125"/>
      <c r="M851" s="1126"/>
      <c r="N851" s="508"/>
      <c r="O851" s="508"/>
      <c r="P851" s="508"/>
      <c r="Q851" s="508"/>
      <c r="R851" s="508"/>
      <c r="S851" s="508"/>
      <c r="T851" s="508"/>
      <c r="U851" s="551"/>
      <c r="V851" s="551"/>
      <c r="W851" s="551"/>
      <c r="X851" s="551"/>
      <c r="Y851" s="551"/>
      <c r="Z851" s="551"/>
      <c r="AA851" s="551"/>
      <c r="AB851" s="551"/>
    </row>
    <row r="852" spans="1:33" ht="15" customHeight="1" x14ac:dyDescent="0.25">
      <c r="A852" s="1127">
        <v>8</v>
      </c>
      <c r="B852" s="2243" t="s">
        <v>1571</v>
      </c>
      <c r="C852" s="2350"/>
      <c r="D852" s="2350"/>
      <c r="E852" s="2350"/>
      <c r="F852" s="2351"/>
      <c r="G852" s="1232" t="s">
        <v>1567</v>
      </c>
      <c r="H852" s="1233">
        <v>50</v>
      </c>
      <c r="I852" s="1234">
        <v>220</v>
      </c>
      <c r="J852" s="1035">
        <f t="shared" si="18"/>
        <v>11000</v>
      </c>
      <c r="L852" s="865"/>
      <c r="M852" s="891"/>
      <c r="N852" s="508"/>
      <c r="O852" s="508"/>
      <c r="P852" s="508"/>
      <c r="Q852" s="508"/>
      <c r="R852" s="508"/>
      <c r="S852" s="508"/>
      <c r="T852" s="508"/>
      <c r="U852" s="551"/>
      <c r="V852" s="551"/>
      <c r="W852" s="551"/>
      <c r="X852" s="551"/>
      <c r="Y852" s="551"/>
      <c r="Z852" s="551"/>
      <c r="AA852" s="551"/>
      <c r="AB852" s="551"/>
    </row>
    <row r="853" spans="1:33" ht="15" customHeight="1" x14ac:dyDescent="0.25">
      <c r="A853" s="1127">
        <v>9</v>
      </c>
      <c r="B853" s="2243" t="s">
        <v>1572</v>
      </c>
      <c r="C853" s="2350"/>
      <c r="D853" s="2350"/>
      <c r="E853" s="2350"/>
      <c r="F853" s="2351"/>
      <c r="G853" s="1232" t="s">
        <v>1567</v>
      </c>
      <c r="H853" s="1233">
        <v>50</v>
      </c>
      <c r="I853" s="1234">
        <v>100</v>
      </c>
      <c r="J853" s="1035">
        <f t="shared" si="18"/>
        <v>5000</v>
      </c>
      <c r="L853" s="865"/>
      <c r="M853" s="891"/>
      <c r="N853" s="508"/>
      <c r="O853" s="508"/>
      <c r="P853" s="508"/>
      <c r="Q853" s="508"/>
      <c r="R853" s="508"/>
      <c r="S853" s="508"/>
      <c r="T853" s="508"/>
      <c r="U853" s="551"/>
      <c r="V853" s="551"/>
      <c r="W853" s="551"/>
      <c r="X853" s="551"/>
      <c r="Y853" s="551"/>
      <c r="Z853" s="551"/>
      <c r="AA853" s="551"/>
      <c r="AB853" s="551"/>
    </row>
    <row r="854" spans="1:33" ht="15" customHeight="1" x14ac:dyDescent="0.25">
      <c r="A854" s="1127">
        <v>10</v>
      </c>
      <c r="B854" s="1422" t="s">
        <v>719</v>
      </c>
      <c r="C854" s="1423"/>
      <c r="D854" s="1423"/>
      <c r="E854" s="1423"/>
      <c r="F854" s="1424"/>
      <c r="G854" s="1232" t="s">
        <v>304</v>
      </c>
      <c r="H854" s="1233">
        <v>1</v>
      </c>
      <c r="I854" s="1234">
        <v>325.33999999999997</v>
      </c>
      <c r="J854" s="1035">
        <f t="shared" si="18"/>
        <v>325.33999999999997</v>
      </c>
      <c r="L854" s="865"/>
      <c r="M854" s="891"/>
      <c r="N854" s="508"/>
      <c r="O854" s="508"/>
      <c r="P854" s="508"/>
      <c r="Q854" s="508"/>
      <c r="R854" s="508"/>
      <c r="S854" s="508"/>
      <c r="T854" s="508"/>
      <c r="U854" s="551"/>
      <c r="V854" s="551"/>
      <c r="W854" s="551"/>
      <c r="X854" s="551"/>
      <c r="Y854" s="551"/>
      <c r="Z854" s="551"/>
      <c r="AA854" s="551"/>
      <c r="AB854" s="551"/>
    </row>
    <row r="855" spans="1:33" x14ac:dyDescent="0.25">
      <c r="A855" s="2278" t="s">
        <v>39</v>
      </c>
      <c r="B855" s="2278"/>
      <c r="C855" s="2278"/>
      <c r="D855" s="2278"/>
      <c r="E855" s="2278"/>
      <c r="F855" s="2278"/>
      <c r="G855" s="2278"/>
      <c r="H855" s="1190" t="s">
        <v>5</v>
      </c>
      <c r="I855" s="1190" t="s">
        <v>5</v>
      </c>
      <c r="J855" s="1192">
        <f>SUM(J845:J854)</f>
        <v>69075.34</v>
      </c>
      <c r="K855" s="565"/>
      <c r="L855" s="1060"/>
      <c r="M855" s="891"/>
      <c r="N855" s="551"/>
      <c r="O855" s="551"/>
      <c r="P855" s="551"/>
      <c r="Q855" s="551"/>
      <c r="R855" s="551"/>
      <c r="S855" s="551"/>
      <c r="T855" s="551"/>
      <c r="U855" s="551"/>
      <c r="V855" s="551"/>
      <c r="W855" s="551"/>
      <c r="X855" s="551"/>
      <c r="Y855" s="551"/>
      <c r="Z855" s="551"/>
      <c r="AA855" s="551"/>
      <c r="AB855" s="551"/>
    </row>
    <row r="856" spans="1:33" x14ac:dyDescent="0.25">
      <c r="A856" s="560"/>
      <c r="B856" s="560"/>
      <c r="C856" s="560"/>
      <c r="D856" s="560"/>
      <c r="E856" s="560"/>
      <c r="F856" s="560"/>
      <c r="G856" s="560"/>
      <c r="H856" s="554"/>
      <c r="I856" s="554"/>
      <c r="J856" s="554"/>
      <c r="L856" s="582"/>
      <c r="M856" s="891"/>
      <c r="N856" s="551"/>
      <c r="O856" s="551"/>
      <c r="P856" s="551"/>
      <c r="Q856" s="551"/>
      <c r="R856" s="551"/>
      <c r="S856" s="551"/>
      <c r="T856" s="551"/>
      <c r="U856" s="551"/>
      <c r="V856" s="551"/>
      <c r="W856" s="551"/>
      <c r="X856" s="551"/>
      <c r="Y856" s="551"/>
      <c r="Z856" s="551"/>
      <c r="AA856" s="551"/>
      <c r="AB856" s="551"/>
    </row>
    <row r="857" spans="1:33" s="61" customFormat="1" ht="15.75" customHeight="1" x14ac:dyDescent="0.25">
      <c r="A857" s="1458" t="s">
        <v>63</v>
      </c>
      <c r="B857" s="72"/>
      <c r="C857" s="75"/>
      <c r="D857" s="75"/>
      <c r="E857" s="71" t="s">
        <v>98</v>
      </c>
      <c r="F857" s="1457"/>
      <c r="G857" s="1457"/>
      <c r="H857" s="60"/>
      <c r="I857" s="69"/>
      <c r="J857" s="85">
        <f>J858+J868</f>
        <v>1480</v>
      </c>
      <c r="L857" s="1465"/>
      <c r="P857" s="79"/>
      <c r="Q857" s="1101"/>
      <c r="R857" s="75"/>
      <c r="S857" s="2017"/>
      <c r="T857" s="2011"/>
      <c r="U857" s="2011"/>
      <c r="V857" s="2011"/>
      <c r="W857" s="2011"/>
      <c r="X857" s="2011"/>
      <c r="Y857" s="2011"/>
      <c r="Z857" s="1483"/>
      <c r="AA857" s="1466"/>
      <c r="AB857" s="1467"/>
      <c r="AC857" s="1468"/>
      <c r="AD857" s="1469"/>
      <c r="AE857" s="1189"/>
      <c r="AF857" s="75"/>
      <c r="AG857" s="75"/>
    </row>
    <row r="858" spans="1:33" s="61" customFormat="1" ht="15" customHeight="1" x14ac:dyDescent="0.25">
      <c r="A858" s="786" t="s">
        <v>26</v>
      </c>
      <c r="B858" s="794"/>
      <c r="C858" s="794"/>
      <c r="D858" s="936"/>
      <c r="E858" s="793" t="s">
        <v>624</v>
      </c>
      <c r="F858" s="787"/>
      <c r="G858" s="787"/>
      <c r="H858" s="788"/>
      <c r="I858" s="986"/>
      <c r="J858" s="789">
        <f>J859</f>
        <v>1480</v>
      </c>
      <c r="K858" s="341"/>
      <c r="L858" s="2"/>
      <c r="M858" s="81"/>
      <c r="N858" s="341"/>
      <c r="S858" s="2017"/>
      <c r="T858" s="2011"/>
      <c r="U858" s="2011"/>
      <c r="V858" s="2011"/>
      <c r="W858" s="2011"/>
      <c r="X858" s="2011"/>
      <c r="Y858" s="2011"/>
    </row>
    <row r="859" spans="1:33" x14ac:dyDescent="0.25">
      <c r="A859" s="1458" t="s">
        <v>27</v>
      </c>
      <c r="B859" s="72"/>
      <c r="C859" s="72"/>
      <c r="D859" s="61"/>
      <c r="E859" s="71" t="s">
        <v>2022</v>
      </c>
      <c r="F859" s="1457"/>
      <c r="G859" s="1457"/>
      <c r="H859" s="60"/>
      <c r="I859" s="69"/>
      <c r="J859" s="85">
        <f>J866</f>
        <v>1480</v>
      </c>
      <c r="K859" s="341"/>
      <c r="L859" s="828"/>
      <c r="M859" s="573"/>
      <c r="N859" s="829"/>
      <c r="P859" s="551"/>
      <c r="Q859" s="551"/>
      <c r="R859" s="551"/>
      <c r="S859" s="2017"/>
      <c r="T859" s="2011"/>
      <c r="U859" s="2011"/>
      <c r="V859" s="2011"/>
      <c r="W859" s="2011"/>
      <c r="X859" s="2011"/>
      <c r="Y859" s="2011"/>
      <c r="Z859" s="551"/>
      <c r="AA859" s="551"/>
      <c r="AB859" s="551"/>
    </row>
    <row r="860" spans="1:33" x14ac:dyDescent="0.25">
      <c r="A860" s="1449" t="s">
        <v>773</v>
      </c>
      <c r="E860" s="505"/>
      <c r="F860" s="505"/>
      <c r="G860" s="505"/>
      <c r="H860" s="551"/>
      <c r="I860" s="551"/>
      <c r="J860" s="551"/>
      <c r="K860" s="551"/>
      <c r="L860" s="551"/>
      <c r="M860" s="551"/>
      <c r="N860" s="551"/>
      <c r="O860" s="551"/>
      <c r="P860" s="551"/>
      <c r="Q860" s="551"/>
      <c r="R860" s="551"/>
      <c r="S860" s="2017"/>
      <c r="T860" s="2011"/>
      <c r="U860" s="2011"/>
      <c r="V860" s="2011"/>
      <c r="W860" s="2011"/>
      <c r="X860" s="2011"/>
      <c r="Y860" s="2011"/>
      <c r="Z860" s="551"/>
      <c r="AA860" s="551"/>
      <c r="AB860" s="551"/>
    </row>
    <row r="861" spans="1:33" ht="15" customHeight="1" x14ac:dyDescent="0.25">
      <c r="A861" s="2285" t="s">
        <v>8</v>
      </c>
      <c r="B861" s="2170" t="s">
        <v>35</v>
      </c>
      <c r="C861" s="2170"/>
      <c r="D861" s="2171"/>
      <c r="E861" s="2171"/>
      <c r="F861" s="2171"/>
      <c r="G861" s="2285" t="s">
        <v>61</v>
      </c>
      <c r="H861" s="2193" t="s">
        <v>2048</v>
      </c>
      <c r="I861" s="2240"/>
      <c r="J861" s="2179"/>
      <c r="K861" s="551"/>
      <c r="L861" s="551"/>
      <c r="M861" s="551"/>
      <c r="N861" s="551"/>
      <c r="O861" s="551"/>
      <c r="P861" s="551"/>
      <c r="Q861" s="551"/>
      <c r="R861" s="551"/>
      <c r="S861" s="2017"/>
      <c r="T861" s="2011"/>
      <c r="U861" s="2011"/>
      <c r="V861" s="2011"/>
      <c r="W861" s="2011"/>
      <c r="X861" s="2011"/>
      <c r="Y861" s="2011"/>
      <c r="Z861" s="551"/>
      <c r="AA861" s="551"/>
      <c r="AB861" s="551"/>
    </row>
    <row r="862" spans="1:33" ht="30" x14ac:dyDescent="0.25">
      <c r="A862" s="2200"/>
      <c r="B862" s="2170"/>
      <c r="C862" s="2170"/>
      <c r="D862" s="2171"/>
      <c r="E862" s="2171"/>
      <c r="F862" s="2171"/>
      <c r="G862" s="2200"/>
      <c r="H862" s="1408" t="s">
        <v>248</v>
      </c>
      <c r="I862" s="1408" t="s">
        <v>264</v>
      </c>
      <c r="J862" s="1408" t="s">
        <v>256</v>
      </c>
      <c r="K862" s="551"/>
      <c r="L862" s="551"/>
      <c r="M862" s="551"/>
      <c r="N862" s="551"/>
      <c r="O862" s="551"/>
      <c r="P862" s="551"/>
      <c r="Q862" s="551"/>
      <c r="R862" s="551"/>
      <c r="S862" s="2017"/>
      <c r="T862" s="2011"/>
      <c r="U862" s="2011"/>
      <c r="V862" s="2011"/>
      <c r="W862" s="2011"/>
      <c r="X862" s="2011"/>
      <c r="Y862" s="2011"/>
      <c r="Z862" s="551"/>
      <c r="AA862" s="551"/>
      <c r="AB862" s="551"/>
    </row>
    <row r="863" spans="1:33" x14ac:dyDescent="0.25">
      <c r="A863" s="2222" t="s">
        <v>2023</v>
      </c>
      <c r="B863" s="2223"/>
      <c r="C863" s="2223"/>
      <c r="D863" s="2223"/>
      <c r="E863" s="2223"/>
      <c r="F863" s="2223"/>
      <c r="G863" s="2223"/>
      <c r="H863" s="2164"/>
      <c r="I863" s="2164"/>
      <c r="J863" s="2164"/>
      <c r="K863" s="551"/>
      <c r="L863" s="551"/>
      <c r="M863" s="551"/>
      <c r="N863" s="551"/>
      <c r="O863" s="551"/>
      <c r="P863" s="551"/>
      <c r="Q863" s="551"/>
      <c r="R863" s="551"/>
      <c r="S863" s="2017"/>
      <c r="T863" s="2011"/>
      <c r="U863" s="2011"/>
      <c r="V863" s="2011"/>
      <c r="W863" s="2011"/>
      <c r="X863" s="2011"/>
      <c r="Y863" s="2011"/>
      <c r="Z863" s="551"/>
      <c r="AA863" s="551"/>
      <c r="AB863" s="551"/>
    </row>
    <row r="864" spans="1:33" x14ac:dyDescent="0.25">
      <c r="A864" s="1413">
        <v>1</v>
      </c>
      <c r="B864" s="2352" t="s">
        <v>2024</v>
      </c>
      <c r="C864" s="2352"/>
      <c r="D864" s="2293"/>
      <c r="E864" s="2293"/>
      <c r="F864" s="2293"/>
      <c r="G864" s="758" t="s">
        <v>245</v>
      </c>
      <c r="H864" s="759">
        <v>1</v>
      </c>
      <c r="I864" s="884">
        <v>1300</v>
      </c>
      <c r="J864" s="676">
        <f>H864*I864</f>
        <v>1300</v>
      </c>
      <c r="K864" s="551"/>
      <c r="L864" s="551"/>
      <c r="M864" s="551"/>
      <c r="N864" s="551"/>
      <c r="O864" s="551"/>
      <c r="P864" s="551"/>
      <c r="Q864" s="551"/>
      <c r="R864" s="551"/>
      <c r="S864" s="2017"/>
      <c r="T864" s="2011"/>
      <c r="U864" s="2011"/>
      <c r="V864" s="2011"/>
      <c r="W864" s="2011"/>
      <c r="X864" s="2011"/>
      <c r="Y864" s="2011"/>
      <c r="Z864" s="551"/>
      <c r="AA864" s="551"/>
      <c r="AB864" s="551"/>
    </row>
    <row r="865" spans="1:33" ht="15" customHeight="1" x14ac:dyDescent="0.25">
      <c r="A865" s="1419">
        <v>2</v>
      </c>
      <c r="B865" s="2352" t="s">
        <v>2025</v>
      </c>
      <c r="C865" s="2352"/>
      <c r="D865" s="2293"/>
      <c r="E865" s="2293"/>
      <c r="F865" s="2293"/>
      <c r="G865" s="1419" t="s">
        <v>245</v>
      </c>
      <c r="H865" s="1408">
        <v>3</v>
      </c>
      <c r="I865" s="676">
        <v>60</v>
      </c>
      <c r="J865" s="676">
        <f>H865*I865</f>
        <v>180</v>
      </c>
      <c r="K865" s="551"/>
      <c r="L865" s="551"/>
      <c r="M865" s="551"/>
      <c r="N865" s="551"/>
      <c r="O865" s="551"/>
      <c r="P865" s="551"/>
      <c r="Q865" s="551"/>
      <c r="R865" s="551"/>
      <c r="S865" s="2017"/>
      <c r="T865" s="2011"/>
      <c r="U865" s="2011"/>
      <c r="V865" s="2011"/>
      <c r="W865" s="2011"/>
      <c r="X865" s="2011"/>
      <c r="Y865" s="2011"/>
      <c r="Z865" s="551"/>
      <c r="AA865" s="551"/>
      <c r="AB865" s="551"/>
    </row>
    <row r="866" spans="1:33" x14ac:dyDescent="0.25">
      <c r="A866" s="2284" t="s">
        <v>39</v>
      </c>
      <c r="B866" s="2284"/>
      <c r="C866" s="2284"/>
      <c r="D866" s="2284"/>
      <c r="E866" s="2171"/>
      <c r="F866" s="2171"/>
      <c r="G866" s="2171"/>
      <c r="H866" s="677" t="s">
        <v>5</v>
      </c>
      <c r="I866" s="677" t="s">
        <v>5</v>
      </c>
      <c r="J866" s="101">
        <f>SUM(J864:J865)</f>
        <v>1480</v>
      </c>
      <c r="K866" s="551"/>
      <c r="L866" s="551"/>
      <c r="M866" s="551"/>
      <c r="N866" s="551"/>
      <c r="O866" s="551"/>
      <c r="P866" s="551"/>
      <c r="Q866" s="551"/>
      <c r="R866" s="551"/>
      <c r="S866" s="2017"/>
      <c r="T866" s="2011"/>
      <c r="U866" s="2011"/>
      <c r="V866" s="2011"/>
      <c r="W866" s="2011"/>
      <c r="X866" s="2011"/>
      <c r="Y866" s="2011"/>
      <c r="Z866" s="551"/>
      <c r="AA866" s="551"/>
      <c r="AB866" s="551"/>
    </row>
    <row r="867" spans="1:33" s="61" customFormat="1" ht="15.75" customHeight="1" x14ac:dyDescent="0.25">
      <c r="A867" s="1458"/>
      <c r="B867" s="72"/>
      <c r="C867" s="75"/>
      <c r="D867" s="75"/>
      <c r="E867" s="71"/>
      <c r="F867" s="1457"/>
      <c r="G867" s="1457"/>
      <c r="H867" s="60"/>
      <c r="I867" s="69"/>
      <c r="J867" s="85"/>
      <c r="L867" s="1465"/>
      <c r="P867" s="79"/>
      <c r="Q867" s="1101"/>
      <c r="R867" s="75"/>
      <c r="S867" s="2017"/>
      <c r="T867" s="2011"/>
      <c r="U867" s="2011"/>
      <c r="V867" s="2011"/>
      <c r="W867" s="2011"/>
      <c r="X867" s="2011"/>
      <c r="Y867" s="2011"/>
      <c r="Z867" s="1483"/>
      <c r="AA867" s="1466"/>
      <c r="AB867" s="1467"/>
      <c r="AC867" s="1468"/>
      <c r="AD867" s="1469"/>
      <c r="AE867" s="1189"/>
      <c r="AF867" s="75"/>
      <c r="AG867" s="75"/>
    </row>
    <row r="868" spans="1:33" s="1480" customFormat="1" ht="14.25" hidden="1" customHeight="1" x14ac:dyDescent="0.25">
      <c r="A868" s="1470" t="s">
        <v>26</v>
      </c>
      <c r="B868" s="1471"/>
      <c r="C868" s="1472"/>
      <c r="D868" s="1472"/>
      <c r="E868" s="1473" t="s">
        <v>625</v>
      </c>
      <c r="F868" s="1474"/>
      <c r="G868" s="1474"/>
      <c r="H868" s="1475"/>
      <c r="I868" s="1476"/>
      <c r="J868" s="1477">
        <f>J878</f>
        <v>0</v>
      </c>
      <c r="K868" s="1478"/>
      <c r="L868" s="1465"/>
      <c r="M868" s="1479"/>
      <c r="N868" s="61"/>
      <c r="P868" s="79"/>
      <c r="Q868" s="1101"/>
      <c r="R868" s="1472"/>
      <c r="S868" s="2017"/>
      <c r="T868" s="2011"/>
      <c r="U868" s="2011"/>
      <c r="V868" s="2011"/>
      <c r="W868" s="2011"/>
      <c r="X868" s="2011"/>
      <c r="Y868" s="2011"/>
      <c r="Z868" s="1481"/>
      <c r="AA868" s="1466"/>
      <c r="AB868" s="1482"/>
      <c r="AC868" s="97"/>
      <c r="AD868" s="1469"/>
      <c r="AE868" s="1189"/>
      <c r="AF868" s="1472"/>
      <c r="AG868" s="1472"/>
    </row>
    <row r="869" spans="1:33" s="61" customFormat="1" ht="15" hidden="1" customHeight="1" x14ac:dyDescent="0.25">
      <c r="A869" s="1458" t="s">
        <v>27</v>
      </c>
      <c r="B869" s="72"/>
      <c r="C869" s="75"/>
      <c r="D869" s="75"/>
      <c r="E869" s="71" t="s">
        <v>1837</v>
      </c>
      <c r="F869" s="1457"/>
      <c r="G869" s="1457"/>
      <c r="H869" s="60"/>
      <c r="I869" s="69"/>
      <c r="J869" s="69"/>
      <c r="K869" s="87"/>
      <c r="L869" s="1465"/>
      <c r="M869" s="99"/>
      <c r="N869" s="1479"/>
      <c r="P869" s="79"/>
      <c r="Q869" s="1101"/>
      <c r="R869" s="75"/>
      <c r="S869" s="2018"/>
      <c r="T869" s="2011"/>
      <c r="U869" s="2011"/>
      <c r="V869" s="2011"/>
      <c r="W869" s="2011"/>
      <c r="X869" s="2011"/>
      <c r="Y869" s="2011"/>
      <c r="Z869" s="1440"/>
      <c r="AA869" s="1466"/>
      <c r="AB869" s="1482"/>
      <c r="AC869" s="97"/>
      <c r="AD869" s="1469"/>
      <c r="AE869" s="1189"/>
      <c r="AF869" s="75"/>
      <c r="AG869" s="75"/>
    </row>
    <row r="870" spans="1:33" s="61" customFormat="1" hidden="1" x14ac:dyDescent="0.25">
      <c r="A870" s="1457" t="s">
        <v>951</v>
      </c>
      <c r="B870" s="1457"/>
      <c r="C870" s="1457"/>
      <c r="D870" s="1457"/>
      <c r="E870" s="1457"/>
      <c r="F870" s="1457"/>
      <c r="G870" s="1457"/>
      <c r="H870" s="60"/>
      <c r="I870" s="69"/>
      <c r="J870" s="69"/>
      <c r="K870" s="87"/>
      <c r="L870" s="1465"/>
      <c r="M870" s="99"/>
      <c r="N870" s="99"/>
      <c r="P870" s="79"/>
      <c r="Q870" s="1101"/>
      <c r="R870" s="75"/>
      <c r="S870" s="2015"/>
      <c r="T870" s="2015"/>
      <c r="U870" s="2015"/>
      <c r="V870" s="2015"/>
      <c r="W870" s="2015"/>
      <c r="X870" s="2015"/>
      <c r="Y870" s="2015"/>
      <c r="Z870" s="2015"/>
      <c r="AA870" s="2015"/>
      <c r="AB870" s="2015"/>
      <c r="AC870" s="1484"/>
      <c r="AD870" s="1469"/>
      <c r="AE870" s="1485"/>
      <c r="AF870" s="75"/>
      <c r="AG870" s="75"/>
    </row>
    <row r="871" spans="1:33" s="61" customFormat="1" hidden="1" x14ac:dyDescent="0.25">
      <c r="A871" s="2019" t="s">
        <v>8</v>
      </c>
      <c r="B871" s="1956" t="s">
        <v>35</v>
      </c>
      <c r="C871" s="2353"/>
      <c r="D871" s="2353"/>
      <c r="E871" s="2353"/>
      <c r="F871" s="2354"/>
      <c r="G871" s="2024" t="s">
        <v>61</v>
      </c>
      <c r="H871" s="1990" t="s">
        <v>1827</v>
      </c>
      <c r="I871" s="2168"/>
      <c r="J871" s="2169"/>
      <c r="K871" s="87"/>
      <c r="L871" s="1465"/>
      <c r="M871" s="99"/>
      <c r="N871" s="99"/>
      <c r="P871" s="79"/>
      <c r="Q871" s="1101"/>
      <c r="R871" s="75"/>
      <c r="S871" s="1486"/>
      <c r="T871" s="1486"/>
      <c r="U871" s="1486"/>
      <c r="V871" s="1486"/>
      <c r="W871" s="1486"/>
      <c r="X871" s="1486"/>
      <c r="Y871" s="1486"/>
      <c r="Z871" s="1486"/>
      <c r="AA871" s="1486"/>
      <c r="AB871" s="1486"/>
      <c r="AC871" s="1484"/>
      <c r="AD871" s="1469"/>
      <c r="AE871" s="1485"/>
      <c r="AF871" s="75"/>
      <c r="AG871" s="75"/>
    </row>
    <row r="872" spans="1:33" s="61" customFormat="1" ht="30" hidden="1" x14ac:dyDescent="0.25">
      <c r="A872" s="2161"/>
      <c r="B872" s="2355"/>
      <c r="C872" s="2356"/>
      <c r="D872" s="2356"/>
      <c r="E872" s="2356"/>
      <c r="F872" s="2357"/>
      <c r="G872" s="2358"/>
      <c r="H872" s="1418" t="s">
        <v>248</v>
      </c>
      <c r="I872" s="1426" t="s">
        <v>264</v>
      </c>
      <c r="J872" s="1432" t="s">
        <v>256</v>
      </c>
      <c r="K872" s="97"/>
      <c r="L872" s="1465"/>
      <c r="M872" s="97"/>
      <c r="N872" s="99"/>
      <c r="O872" s="97"/>
      <c r="P872" s="79"/>
      <c r="Q872" s="1101"/>
      <c r="R872" s="774"/>
      <c r="S872" s="2028"/>
      <c r="T872" s="2028"/>
      <c r="U872" s="2028"/>
      <c r="V872" s="2028"/>
      <c r="W872" s="2028"/>
      <c r="X872" s="2028"/>
      <c r="Y872" s="2028"/>
      <c r="Z872" s="2028"/>
      <c r="AA872" s="2028"/>
      <c r="AB872" s="2028"/>
      <c r="AC872" s="97"/>
      <c r="AD872" s="72"/>
      <c r="AE872" s="72"/>
      <c r="AF872" s="75"/>
      <c r="AG872" s="75"/>
    </row>
    <row r="873" spans="1:33" s="61" customFormat="1" hidden="1" x14ac:dyDescent="0.25">
      <c r="A873" s="1381">
        <v>1</v>
      </c>
      <c r="B873" s="2012" t="s">
        <v>1959</v>
      </c>
      <c r="C873" s="2013"/>
      <c r="D873" s="2013"/>
      <c r="E873" s="2013"/>
      <c r="F873" s="2014"/>
      <c r="G873" s="1426" t="s">
        <v>245</v>
      </c>
      <c r="H873" s="1487"/>
      <c r="I873" s="1488">
        <v>1000</v>
      </c>
      <c r="J873" s="1426">
        <f t="shared" ref="J873" si="19">H873*I873</f>
        <v>0</v>
      </c>
      <c r="K873" s="75"/>
      <c r="L873" s="1465"/>
      <c r="M873" s="75"/>
      <c r="N873" s="75"/>
      <c r="O873" s="75"/>
      <c r="P873" s="79"/>
      <c r="Q873" s="1101"/>
      <c r="R873" s="75"/>
      <c r="S873" s="2017"/>
      <c r="T873" s="2017"/>
      <c r="U873" s="2017"/>
      <c r="V873" s="2017"/>
      <c r="W873" s="2017"/>
      <c r="X873" s="2017"/>
      <c r="Y873" s="2017"/>
      <c r="Z873" s="2017"/>
      <c r="AA873" s="2017"/>
      <c r="AB873" s="2017"/>
      <c r="AC873" s="2017"/>
      <c r="AD873" s="1489"/>
      <c r="AE873" s="72"/>
      <c r="AF873" s="75"/>
      <c r="AG873" s="75"/>
    </row>
    <row r="874" spans="1:33" s="61" customFormat="1" ht="13.5" hidden="1" customHeight="1" x14ac:dyDescent="0.25">
      <c r="A874" s="1141">
        <v>2</v>
      </c>
      <c r="B874" s="2012" t="s">
        <v>1960</v>
      </c>
      <c r="C874" s="2013"/>
      <c r="D874" s="2013"/>
      <c r="E874" s="2013"/>
      <c r="F874" s="2014"/>
      <c r="G874" s="1426" t="s">
        <v>245</v>
      </c>
      <c r="H874" s="1487"/>
      <c r="I874" s="1488">
        <v>500</v>
      </c>
      <c r="J874" s="1426">
        <f>H874*I874</f>
        <v>0</v>
      </c>
      <c r="K874" s="75"/>
      <c r="L874" s="1465"/>
      <c r="M874" s="75"/>
      <c r="N874" s="75"/>
      <c r="O874" s="75"/>
      <c r="P874" s="79"/>
      <c r="Q874" s="1101"/>
      <c r="R874" s="75"/>
      <c r="S874" s="1438"/>
      <c r="T874" s="2011"/>
      <c r="U874" s="2011"/>
      <c r="V874" s="2011"/>
      <c r="W874" s="2011"/>
      <c r="X874" s="2011"/>
      <c r="Y874" s="2011"/>
      <c r="Z874" s="1483"/>
      <c r="AA874" s="1467"/>
      <c r="AB874" s="97"/>
      <c r="AC874" s="1468"/>
      <c r="AD874" s="1469"/>
      <c r="AE874" s="1189"/>
      <c r="AF874" s="75"/>
      <c r="AG874" s="75"/>
    </row>
    <row r="875" spans="1:33" s="61" customFormat="1" ht="28.5" hidden="1" customHeight="1" x14ac:dyDescent="0.25">
      <c r="A875" s="1381">
        <v>3</v>
      </c>
      <c r="B875" s="2012" t="s">
        <v>1963</v>
      </c>
      <c r="C875" s="2013"/>
      <c r="D875" s="2013"/>
      <c r="E875" s="2013"/>
      <c r="F875" s="2014"/>
      <c r="G875" s="1426" t="s">
        <v>245</v>
      </c>
      <c r="H875" s="1487"/>
      <c r="I875" s="1488">
        <v>1500</v>
      </c>
      <c r="J875" s="1426">
        <f t="shared" ref="J875:J877" si="20">H875*I875</f>
        <v>0</v>
      </c>
      <c r="K875" s="75"/>
      <c r="L875" s="1465"/>
      <c r="M875" s="75"/>
      <c r="N875" s="75"/>
      <c r="O875" s="75"/>
      <c r="P875" s="79"/>
      <c r="Q875" s="1101"/>
      <c r="R875" s="75"/>
      <c r="S875" s="1438"/>
      <c r="T875" s="2011"/>
      <c r="U875" s="2011"/>
      <c r="V875" s="2011"/>
      <c r="W875" s="2011"/>
      <c r="X875" s="2011"/>
      <c r="Y875" s="2011"/>
      <c r="Z875" s="1440"/>
      <c r="AA875" s="1490"/>
      <c r="AB875" s="1482"/>
      <c r="AC875" s="97"/>
      <c r="AD875" s="1469"/>
      <c r="AE875" s="1189"/>
      <c r="AF875" s="75"/>
      <c r="AG875" s="75"/>
    </row>
    <row r="876" spans="1:33" s="61" customFormat="1" hidden="1" x14ac:dyDescent="0.25">
      <c r="A876" s="1141">
        <v>4</v>
      </c>
      <c r="B876" s="2012" t="s">
        <v>1961</v>
      </c>
      <c r="C876" s="2013"/>
      <c r="D876" s="2013"/>
      <c r="E876" s="2013"/>
      <c r="F876" s="2014"/>
      <c r="G876" s="1426" t="s">
        <v>245</v>
      </c>
      <c r="H876" s="1487"/>
      <c r="I876" s="1488">
        <v>1000</v>
      </c>
      <c r="J876" s="1426">
        <f t="shared" si="20"/>
        <v>0</v>
      </c>
      <c r="K876" s="79"/>
      <c r="L876" s="1465"/>
      <c r="M876" s="1101"/>
      <c r="N876" s="75"/>
      <c r="O876" s="75"/>
      <c r="P876" s="79"/>
      <c r="Q876" s="1101"/>
      <c r="R876" s="75"/>
      <c r="S876" s="2015"/>
      <c r="T876" s="2015"/>
      <c r="U876" s="2015"/>
      <c r="V876" s="2015"/>
      <c r="W876" s="2015"/>
      <c r="X876" s="2015"/>
      <c r="Y876" s="2015"/>
      <c r="Z876" s="2015"/>
      <c r="AA876" s="2015"/>
      <c r="AB876" s="2015"/>
      <c r="AC876" s="1484"/>
      <c r="AD876" s="72"/>
      <c r="AE876" s="1489"/>
      <c r="AF876" s="75"/>
      <c r="AG876" s="75"/>
    </row>
    <row r="877" spans="1:33" s="61" customFormat="1" hidden="1" x14ac:dyDescent="0.25">
      <c r="A877" s="1141">
        <v>5</v>
      </c>
      <c r="B877" s="2012" t="s">
        <v>1962</v>
      </c>
      <c r="C877" s="2013"/>
      <c r="D877" s="2013"/>
      <c r="E877" s="2013"/>
      <c r="F877" s="2014"/>
      <c r="G877" s="1426" t="s">
        <v>245</v>
      </c>
      <c r="H877" s="1487"/>
      <c r="I877" s="1488">
        <v>600</v>
      </c>
      <c r="J877" s="1426">
        <f t="shared" si="20"/>
        <v>0</v>
      </c>
      <c r="K877" s="75"/>
      <c r="L877" s="1465"/>
      <c r="M877" s="75"/>
      <c r="N877" s="75"/>
      <c r="O877" s="75"/>
      <c r="P877" s="79"/>
      <c r="Q877" s="1101"/>
      <c r="R877" s="75"/>
      <c r="S877" s="2015"/>
      <c r="T877" s="2015"/>
      <c r="U877" s="2015"/>
      <c r="V877" s="2015"/>
      <c r="W877" s="2015"/>
      <c r="X877" s="2015"/>
      <c r="Y877" s="2015"/>
      <c r="Z877" s="2015"/>
      <c r="AA877" s="2015"/>
      <c r="AB877" s="2015"/>
      <c r="AC877" s="1484"/>
      <c r="AD877" s="72"/>
      <c r="AE877" s="1489"/>
      <c r="AF877" s="75"/>
      <c r="AG877" s="75"/>
    </row>
    <row r="878" spans="1:33" s="61" customFormat="1" hidden="1" x14ac:dyDescent="0.25">
      <c r="A878" s="1993" t="s">
        <v>39</v>
      </c>
      <c r="B878" s="1993"/>
      <c r="C878" s="1993"/>
      <c r="D878" s="1993"/>
      <c r="E878" s="1993"/>
      <c r="F878" s="1993"/>
      <c r="G878" s="1993"/>
      <c r="H878" s="1192" t="s">
        <v>5</v>
      </c>
      <c r="I878" s="1192" t="s">
        <v>5</v>
      </c>
      <c r="J878" s="1192">
        <f>SUM(J873:J877)</f>
        <v>0</v>
      </c>
      <c r="K878" s="351"/>
      <c r="L878" s="1465"/>
      <c r="M878" s="1402"/>
      <c r="N878" s="75"/>
      <c r="O878" s="75"/>
      <c r="P878" s="79"/>
      <c r="Q878" s="1101"/>
      <c r="R878" s="75"/>
      <c r="S878" s="2016"/>
      <c r="T878" s="2016"/>
      <c r="U878" s="2016"/>
      <c r="V878" s="2016"/>
      <c r="W878" s="2016"/>
      <c r="X878" s="2016"/>
      <c r="Y878" s="2016"/>
      <c r="Z878" s="2016"/>
      <c r="AA878" s="2016"/>
      <c r="AB878" s="2016"/>
      <c r="AC878" s="97"/>
      <c r="AD878" s="351"/>
      <c r="AE878" s="924"/>
      <c r="AF878" s="75"/>
      <c r="AG878" s="75"/>
    </row>
    <row r="879" spans="1:33" s="70" customFormat="1" hidden="1" x14ac:dyDescent="0.25">
      <c r="A879" s="1210"/>
      <c r="B879" s="1210"/>
      <c r="C879" s="1210"/>
      <c r="D879" s="1210"/>
      <c r="E879" s="1210"/>
      <c r="F879" s="1210"/>
      <c r="G879" s="1210"/>
      <c r="H879" s="1439"/>
      <c r="I879" s="1439"/>
      <c r="J879" s="64"/>
      <c r="K879" s="344"/>
      <c r="L879" s="1402"/>
      <c r="M879" s="1402"/>
      <c r="N879" s="1402"/>
      <c r="O879" s="1402"/>
      <c r="P879" s="79"/>
      <c r="Q879" s="1101"/>
      <c r="R879" s="79"/>
      <c r="S879" s="79"/>
      <c r="T879" s="79"/>
      <c r="U879" s="79"/>
      <c r="V879" s="79"/>
      <c r="W879" s="79"/>
      <c r="X879" s="79"/>
      <c r="Y879" s="79"/>
      <c r="Z879" s="79"/>
      <c r="AA879" s="79"/>
      <c r="AB879" s="79"/>
      <c r="AC879" s="79"/>
      <c r="AD879" s="79"/>
      <c r="AE879" s="79"/>
      <c r="AF879" s="79"/>
    </row>
    <row r="880" spans="1:33" s="61" customFormat="1" x14ac:dyDescent="0.25">
      <c r="A880" s="1458" t="s">
        <v>147</v>
      </c>
      <c r="B880" s="1458"/>
      <c r="C880" s="1458"/>
      <c r="D880" s="1458"/>
      <c r="E880" s="94" t="s">
        <v>1725</v>
      </c>
      <c r="F880" s="1457"/>
      <c r="G880" s="1457"/>
      <c r="H880" s="60"/>
      <c r="I880" s="69"/>
      <c r="J880" s="85">
        <f>J882</f>
        <v>12098176.689999999</v>
      </c>
      <c r="L880" s="865"/>
      <c r="M880" s="891"/>
    </row>
    <row r="881" spans="1:15" s="61" customFormat="1" x14ac:dyDescent="0.25">
      <c r="A881" s="63"/>
      <c r="B881" s="63"/>
      <c r="C881" s="63"/>
      <c r="D881" s="63"/>
      <c r="E881" s="63"/>
      <c r="F881" s="63"/>
      <c r="G881" s="64"/>
      <c r="H881" s="64"/>
      <c r="I881" s="64"/>
      <c r="J881" s="64"/>
      <c r="L881" s="865"/>
      <c r="M881" s="891"/>
    </row>
    <row r="882" spans="1:15" s="61" customFormat="1" x14ac:dyDescent="0.25">
      <c r="A882" s="1458" t="s">
        <v>63</v>
      </c>
      <c r="B882" s="72"/>
      <c r="E882" s="71" t="s">
        <v>77</v>
      </c>
      <c r="F882" s="1457"/>
      <c r="G882" s="1457"/>
      <c r="H882" s="60"/>
      <c r="I882" s="69"/>
      <c r="J882" s="85">
        <f>J883</f>
        <v>12098176.689999999</v>
      </c>
      <c r="K882" s="81"/>
      <c r="L882" s="865"/>
      <c r="M882" s="891"/>
      <c r="N882" s="70"/>
    </row>
    <row r="883" spans="1:15" s="61" customFormat="1" x14ac:dyDescent="0.25">
      <c r="A883" s="786" t="s">
        <v>26</v>
      </c>
      <c r="B883" s="794"/>
      <c r="C883" s="936"/>
      <c r="D883" s="936"/>
      <c r="E883" s="793" t="s">
        <v>624</v>
      </c>
      <c r="F883" s="787"/>
      <c r="G883" s="787"/>
      <c r="H883" s="788"/>
      <c r="I883" s="986"/>
      <c r="J883" s="789">
        <f>J891+J903++J927+J937</f>
        <v>12098176.689999999</v>
      </c>
      <c r="K883" s="70">
        <f>N3</f>
        <v>0</v>
      </c>
      <c r="L883" s="1550">
        <f>K883/I889</f>
        <v>0</v>
      </c>
      <c r="M883" s="891"/>
    </row>
    <row r="884" spans="1:15" s="61" customFormat="1" x14ac:dyDescent="0.25">
      <c r="A884" s="1458" t="s">
        <v>27</v>
      </c>
      <c r="B884" s="72"/>
      <c r="E884" s="71" t="s">
        <v>1477</v>
      </c>
      <c r="F884" s="1457"/>
      <c r="G884" s="1457"/>
      <c r="H884" s="60"/>
      <c r="I884" s="69"/>
      <c r="J884" s="69"/>
      <c r="K884" s="87"/>
      <c r="L884" s="865"/>
      <c r="M884" s="891"/>
      <c r="N884" s="355"/>
      <c r="O884" s="354"/>
    </row>
    <row r="885" spans="1:15" s="61" customFormat="1" x14ac:dyDescent="0.25">
      <c r="A885" s="1449" t="s">
        <v>306</v>
      </c>
      <c r="B885" s="1449"/>
      <c r="C885" s="1449"/>
      <c r="D885" s="1449"/>
      <c r="E885" s="1449"/>
      <c r="F885" s="1449"/>
      <c r="G885" s="1449"/>
      <c r="H885" s="505"/>
      <c r="I885" s="506"/>
      <c r="J885" s="506"/>
      <c r="K885" s="354" t="s">
        <v>1478</v>
      </c>
      <c r="L885" s="552"/>
      <c r="M885" s="891"/>
      <c r="N885" s="355"/>
      <c r="O885" s="354"/>
    </row>
    <row r="886" spans="1:15" s="61" customFormat="1" ht="15" customHeight="1" x14ac:dyDescent="0.25">
      <c r="A886" s="2183" t="s">
        <v>8</v>
      </c>
      <c r="B886" s="2183" t="s">
        <v>35</v>
      </c>
      <c r="C886" s="2183"/>
      <c r="D886" s="2183"/>
      <c r="E886" s="2183"/>
      <c r="F886" s="2183" t="s">
        <v>272</v>
      </c>
      <c r="G886" s="2184" t="s">
        <v>2048</v>
      </c>
      <c r="H886" s="2279"/>
      <c r="I886" s="2279"/>
      <c r="J886" s="2280"/>
      <c r="K886" s="87"/>
      <c r="L886" s="552"/>
      <c r="M886" s="1401"/>
      <c r="N886" s="354"/>
      <c r="O886" s="354"/>
    </row>
    <row r="887" spans="1:15" s="61" customFormat="1" ht="45" x14ac:dyDescent="0.25">
      <c r="A887" s="2183"/>
      <c r="B887" s="2183"/>
      <c r="C887" s="2183"/>
      <c r="D887" s="2183"/>
      <c r="E887" s="2183"/>
      <c r="F887" s="2183"/>
      <c r="G887" s="1408" t="s">
        <v>515</v>
      </c>
      <c r="H887" s="1408" t="s">
        <v>55</v>
      </c>
      <c r="I887" s="1434" t="s">
        <v>265</v>
      </c>
      <c r="J887" s="1434" t="s">
        <v>256</v>
      </c>
      <c r="K887" s="87"/>
      <c r="L887" s="582"/>
      <c r="M887" s="891"/>
      <c r="N887" s="354"/>
      <c r="O887" s="354"/>
    </row>
    <row r="888" spans="1:15" s="61" customFormat="1" ht="30" customHeight="1" x14ac:dyDescent="0.25">
      <c r="A888" s="2042">
        <v>1</v>
      </c>
      <c r="B888" s="1953" t="s">
        <v>56</v>
      </c>
      <c r="C888" s="2359"/>
      <c r="D888" s="2359"/>
      <c r="E888" s="2359"/>
      <c r="F888" s="1175" t="s">
        <v>1679</v>
      </c>
      <c r="G888" s="1552" t="s">
        <v>2062</v>
      </c>
      <c r="H888" s="1205">
        <v>700</v>
      </c>
      <c r="I888" s="1368">
        <v>2365.788</v>
      </c>
      <c r="J888" s="1367">
        <f>H888*I888</f>
        <v>1656051.6</v>
      </c>
      <c r="K888" s="87"/>
      <c r="L888" s="1044" t="s">
        <v>1486</v>
      </c>
      <c r="M888" s="174">
        <v>0</v>
      </c>
      <c r="N888" s="555"/>
      <c r="O888" s="987"/>
    </row>
    <row r="889" spans="1:15" s="61" customFormat="1" ht="30" x14ac:dyDescent="0.25">
      <c r="A889" s="2042"/>
      <c r="B889" s="2359"/>
      <c r="C889" s="2359"/>
      <c r="D889" s="2359"/>
      <c r="E889" s="2359"/>
      <c r="F889" s="1175" t="s">
        <v>1679</v>
      </c>
      <c r="G889" s="1552" t="s">
        <v>2063</v>
      </c>
      <c r="H889" s="1539">
        <f>3720-935.69633-0.62558437-560.33243-42.848713</f>
        <v>2180.4969430000001</v>
      </c>
      <c r="I889" s="1540">
        <v>2365.788</v>
      </c>
      <c r="J889" s="1541">
        <f>H889*I889</f>
        <v>5158593.5</v>
      </c>
      <c r="K889" s="354"/>
      <c r="L889" s="1538"/>
      <c r="M889" s="1048"/>
      <c r="N889" s="555"/>
      <c r="O889" s="987"/>
    </row>
    <row r="890" spans="1:15" s="61" customFormat="1" ht="30" hidden="1" x14ac:dyDescent="0.25">
      <c r="A890" s="2042"/>
      <c r="B890" s="2359"/>
      <c r="C890" s="2359"/>
      <c r="D890" s="2359"/>
      <c r="E890" s="2359"/>
      <c r="F890" s="1175" t="s">
        <v>1679</v>
      </c>
      <c r="G890" s="1392" t="s">
        <v>1844</v>
      </c>
      <c r="H890" s="1239"/>
      <c r="I890" s="1368">
        <v>2602.3670000000002</v>
      </c>
      <c r="J890" s="1367">
        <f>H890*I890</f>
        <v>0</v>
      </c>
      <c r="K890" s="354"/>
      <c r="L890" s="989"/>
      <c r="M890" s="1048"/>
      <c r="N890" s="555"/>
      <c r="O890" s="987"/>
    </row>
    <row r="891" spans="1:15" s="61" customFormat="1" ht="15" customHeight="1" x14ac:dyDescent="0.25">
      <c r="A891" s="2035" t="s">
        <v>39</v>
      </c>
      <c r="B891" s="2035"/>
      <c r="C891" s="2035"/>
      <c r="D891" s="2035"/>
      <c r="E891" s="2035"/>
      <c r="F891" s="2035"/>
      <c r="G891" s="2035"/>
      <c r="H891" s="2035"/>
      <c r="I891" s="2035"/>
      <c r="J891" s="1393">
        <f>SUM(J888:J890)</f>
        <v>6814645.0999999996</v>
      </c>
      <c r="K891" s="344">
        <v>0</v>
      </c>
      <c r="L891" s="849">
        <f>J891-K891</f>
        <v>6814645.0999999996</v>
      </c>
      <c r="M891" s="1302"/>
      <c r="N891" s="1048"/>
      <c r="O891" s="1048"/>
    </row>
    <row r="892" spans="1:15" s="61" customFormat="1" ht="15" hidden="1" customHeight="1" x14ac:dyDescent="0.25">
      <c r="A892" s="2361" t="s">
        <v>514</v>
      </c>
      <c r="B892" s="2362"/>
      <c r="C892" s="2362"/>
      <c r="D892" s="2362"/>
      <c r="E892" s="2362"/>
      <c r="F892" s="2362"/>
      <c r="G892" s="2362"/>
      <c r="H892" s="2362"/>
      <c r="I892" s="2362"/>
      <c r="J892" s="2362"/>
      <c r="K892" s="577"/>
      <c r="L892" s="87"/>
      <c r="M892" s="354"/>
      <c r="N892" s="354"/>
      <c r="O892" s="354"/>
    </row>
    <row r="893" spans="1:15" s="61" customFormat="1" hidden="1" x14ac:dyDescent="0.25">
      <c r="A893" s="2363" t="s">
        <v>1134</v>
      </c>
      <c r="B893" s="2363"/>
      <c r="C893" s="2363"/>
      <c r="D893" s="2363"/>
      <c r="E893" s="2363"/>
      <c r="F893" s="2363"/>
      <c r="G893" s="2363"/>
      <c r="H893" s="2363"/>
      <c r="I893" s="2363"/>
      <c r="J893" s="1403">
        <v>0</v>
      </c>
      <c r="K893" s="344"/>
      <c r="L893" s="849"/>
      <c r="M893" s="70"/>
      <c r="N893" s="354"/>
      <c r="O893" s="354"/>
    </row>
    <row r="894" spans="1:15" s="61" customFormat="1" ht="15" hidden="1" customHeight="1" x14ac:dyDescent="0.25">
      <c r="A894" s="2363" t="s">
        <v>153</v>
      </c>
      <c r="B894" s="2363"/>
      <c r="C894" s="2363"/>
      <c r="D894" s="2363"/>
      <c r="E894" s="2363"/>
      <c r="F894" s="2363"/>
      <c r="G894" s="2363"/>
      <c r="H894" s="2363"/>
      <c r="I894" s="2363"/>
      <c r="J894" s="1403">
        <f>1746810.36+5731050.48+1201092.5</f>
        <v>8678953.3399999999</v>
      </c>
      <c r="M894" s="70"/>
      <c r="N894" s="354"/>
      <c r="O894" s="354"/>
    </row>
    <row r="895" spans="1:15" s="61" customFormat="1" hidden="1" x14ac:dyDescent="0.25">
      <c r="A895" s="2311" t="s">
        <v>619</v>
      </c>
      <c r="B895" s="2311"/>
      <c r="C895" s="2311"/>
      <c r="D895" s="2311"/>
      <c r="E895" s="2311"/>
      <c r="F895" s="2311"/>
      <c r="G895" s="2311"/>
      <c r="H895" s="2311"/>
      <c r="I895" s="2311"/>
      <c r="J895" s="821"/>
      <c r="K895" s="344"/>
      <c r="L895" s="849"/>
      <c r="M895" s="70"/>
      <c r="N895" s="354"/>
      <c r="O895" s="354"/>
    </row>
    <row r="896" spans="1:15" s="61" customFormat="1" hidden="1" x14ac:dyDescent="0.25">
      <c r="A896" s="2311" t="s">
        <v>1147</v>
      </c>
      <c r="B896" s="2311"/>
      <c r="C896" s="2311"/>
      <c r="D896" s="2311"/>
      <c r="E896" s="2311"/>
      <c r="F896" s="2311"/>
      <c r="G896" s="2311"/>
      <c r="H896" s="2311"/>
      <c r="I896" s="2311"/>
      <c r="J896" s="360"/>
      <c r="K896" s="354"/>
      <c r="L896" s="87"/>
      <c r="M896" s="70"/>
      <c r="N896" s="354"/>
      <c r="O896" s="354"/>
    </row>
    <row r="897" spans="1:110" s="61" customFormat="1" x14ac:dyDescent="0.25">
      <c r="A897" s="1386"/>
      <c r="B897" s="1387"/>
      <c r="C897" s="1387"/>
      <c r="D897" s="1387"/>
      <c r="E897" s="1387"/>
      <c r="F897" s="1387"/>
      <c r="G897" s="1387"/>
      <c r="H897" s="1387"/>
      <c r="I897" s="1387"/>
      <c r="J897" s="782"/>
      <c r="K897" s="87"/>
      <c r="L897" s="354"/>
      <c r="M897" s="354"/>
      <c r="N897" s="354"/>
      <c r="O897" s="354"/>
    </row>
    <row r="898" spans="1:110" s="61" customFormat="1" ht="15" customHeight="1" x14ac:dyDescent="0.25">
      <c r="A898" s="2183" t="s">
        <v>8</v>
      </c>
      <c r="B898" s="2183" t="s">
        <v>35</v>
      </c>
      <c r="C898" s="2183"/>
      <c r="D898" s="2183"/>
      <c r="E898" s="2183"/>
      <c r="F898" s="2183" t="s">
        <v>272</v>
      </c>
      <c r="G898" s="2184" t="s">
        <v>2048</v>
      </c>
      <c r="H898" s="2279"/>
      <c r="I898" s="2279"/>
      <c r="J898" s="2280"/>
      <c r="K898" s="87"/>
      <c r="L898" s="354"/>
      <c r="M898" s="354"/>
      <c r="N898" s="354"/>
      <c r="O898" s="354"/>
    </row>
    <row r="899" spans="1:110" s="61" customFormat="1" ht="45" x14ac:dyDescent="0.25">
      <c r="A899" s="2183"/>
      <c r="B899" s="2183"/>
      <c r="C899" s="2183"/>
      <c r="D899" s="2183"/>
      <c r="E899" s="2183"/>
      <c r="F899" s="2183"/>
      <c r="G899" s="1408" t="s">
        <v>515</v>
      </c>
      <c r="H899" s="1408" t="s">
        <v>55</v>
      </c>
      <c r="I899" s="1434" t="s">
        <v>265</v>
      </c>
      <c r="J899" s="1434" t="s">
        <v>256</v>
      </c>
      <c r="K899" s="87"/>
      <c r="L899" s="354"/>
      <c r="M899" s="354"/>
      <c r="N899" s="354"/>
      <c r="O899" s="354"/>
    </row>
    <row r="900" spans="1:110" s="61" customFormat="1" ht="30" customHeight="1" x14ac:dyDescent="0.25">
      <c r="A900" s="2144">
        <v>2</v>
      </c>
      <c r="B900" s="2148" t="s">
        <v>1941</v>
      </c>
      <c r="C900" s="2360"/>
      <c r="D900" s="2360"/>
      <c r="E900" s="2360"/>
      <c r="F900" s="1394" t="s">
        <v>1673</v>
      </c>
      <c r="G900" s="1552" t="s">
        <v>2062</v>
      </c>
      <c r="H900" s="1395">
        <v>93000</v>
      </c>
      <c r="I900" s="1396">
        <v>8.8597999999999999</v>
      </c>
      <c r="J900" s="1397">
        <f>H900*I900</f>
        <v>823961.4</v>
      </c>
      <c r="K900" s="354"/>
      <c r="L900" s="1044" t="s">
        <v>1486</v>
      </c>
      <c r="M900" s="174">
        <v>0</v>
      </c>
      <c r="N900" s="354"/>
      <c r="O900" s="354"/>
    </row>
    <row r="901" spans="1:110" s="61" customFormat="1" ht="30" x14ac:dyDescent="0.25">
      <c r="A901" s="2042"/>
      <c r="B901" s="2359"/>
      <c r="C901" s="2359"/>
      <c r="D901" s="2359"/>
      <c r="E901" s="2359"/>
      <c r="F901" s="1175" t="s">
        <v>1673</v>
      </c>
      <c r="G901" s="1552" t="s">
        <v>2063</v>
      </c>
      <c r="H901" s="1398">
        <v>328854.51</v>
      </c>
      <c r="I901" s="1396">
        <v>8.8597999999999999</v>
      </c>
      <c r="J901" s="1363">
        <f>H901*I901</f>
        <v>2913585.19</v>
      </c>
      <c r="K901" s="814"/>
      <c r="L901" s="1284"/>
      <c r="M901" s="1047"/>
      <c r="N901" s="555"/>
      <c r="O901" s="987"/>
    </row>
    <row r="902" spans="1:110" s="61" customFormat="1" ht="30" hidden="1" x14ac:dyDescent="0.25">
      <c r="A902" s="2043"/>
      <c r="B902" s="2359"/>
      <c r="C902" s="2359"/>
      <c r="D902" s="2359"/>
      <c r="E902" s="2359"/>
      <c r="F902" s="1175" t="s">
        <v>1673</v>
      </c>
      <c r="G902" s="1392" t="s">
        <v>1844</v>
      </c>
      <c r="H902" s="1398"/>
      <c r="I902" s="1396">
        <v>9.7457999999999991</v>
      </c>
      <c r="J902" s="1363">
        <f>H902*I902</f>
        <v>0</v>
      </c>
      <c r="K902" s="87"/>
      <c r="L902" s="1047"/>
      <c r="M902" s="1047"/>
      <c r="N902" s="555"/>
      <c r="O902" s="987"/>
    </row>
    <row r="903" spans="1:110" s="61" customFormat="1" ht="15" customHeight="1" x14ac:dyDescent="0.25">
      <c r="A903" s="2035" t="s">
        <v>39</v>
      </c>
      <c r="B903" s="2035"/>
      <c r="C903" s="2035"/>
      <c r="D903" s="2035"/>
      <c r="E903" s="2035"/>
      <c r="F903" s="2035"/>
      <c r="G903" s="2035"/>
      <c r="H903" s="2035"/>
      <c r="I903" s="2035"/>
      <c r="J903" s="1369">
        <f>SUM(J900:J902)</f>
        <v>3737546.59</v>
      </c>
      <c r="K903" s="344">
        <v>0</v>
      </c>
      <c r="L903" s="849">
        <f>J903-K903</f>
        <v>3737546.59</v>
      </c>
      <c r="N903" s="555"/>
      <c r="O903" s="987"/>
    </row>
    <row r="904" spans="1:110" s="61" customFormat="1" ht="15" hidden="1" customHeight="1" x14ac:dyDescent="0.25">
      <c r="A904" s="2361" t="s">
        <v>514</v>
      </c>
      <c r="B904" s="2362"/>
      <c r="C904" s="2362"/>
      <c r="D904" s="2362"/>
      <c r="E904" s="2362"/>
      <c r="F904" s="2362"/>
      <c r="G904" s="2362"/>
      <c r="H904" s="2362"/>
      <c r="I904" s="2362"/>
      <c r="J904" s="2362"/>
      <c r="K904" s="174"/>
      <c r="M904" s="354"/>
      <c r="N904" s="354"/>
      <c r="O904" s="1047"/>
    </row>
    <row r="905" spans="1:110" s="61" customFormat="1" ht="30.75" hidden="1" customHeight="1" x14ac:dyDescent="0.25">
      <c r="A905" s="1953" t="s">
        <v>1789</v>
      </c>
      <c r="B905" s="1953"/>
      <c r="C905" s="1953"/>
      <c r="D905" s="1953"/>
      <c r="E905" s="1953"/>
      <c r="F905" s="1953"/>
      <c r="G905" s="1953"/>
      <c r="H905" s="1953"/>
      <c r="I905" s="1953"/>
      <c r="J905" s="1403"/>
      <c r="K905" s="344"/>
      <c r="L905" s="849">
        <f>J905-K905</f>
        <v>0</v>
      </c>
      <c r="M905" s="70"/>
      <c r="N905" s="354"/>
      <c r="O905" s="354"/>
    </row>
    <row r="906" spans="1:110" s="61" customFormat="1" ht="29.25" hidden="1" customHeight="1" x14ac:dyDescent="0.25">
      <c r="A906" s="1953" t="s">
        <v>1790</v>
      </c>
      <c r="B906" s="1953"/>
      <c r="C906" s="1953"/>
      <c r="D906" s="1953"/>
      <c r="E906" s="1953"/>
      <c r="F906" s="1953"/>
      <c r="G906" s="1953"/>
      <c r="H906" s="1953"/>
      <c r="I906" s="1953"/>
      <c r="J906" s="1403"/>
      <c r="K906" s="344"/>
      <c r="L906" s="849">
        <f>J906-K906</f>
        <v>0</v>
      </c>
      <c r="M906" s="1302"/>
      <c r="N906" s="354"/>
      <c r="O906" s="354"/>
    </row>
    <row r="907" spans="1:110" s="61" customFormat="1" hidden="1" x14ac:dyDescent="0.25">
      <c r="A907" s="2311" t="s">
        <v>619</v>
      </c>
      <c r="B907" s="2311"/>
      <c r="C907" s="2311"/>
      <c r="D907" s="2311"/>
      <c r="E907" s="2311"/>
      <c r="F907" s="2311"/>
      <c r="G907" s="2311"/>
      <c r="H907" s="2311"/>
      <c r="I907" s="2311"/>
      <c r="J907" s="821"/>
      <c r="K907" s="344">
        <v>0</v>
      </c>
      <c r="L907" s="849">
        <f>J907-K907</f>
        <v>0</v>
      </c>
      <c r="M907" s="70"/>
      <c r="N907" s="354"/>
      <c r="O907" s="354"/>
    </row>
    <row r="908" spans="1:110" s="61" customFormat="1" hidden="1" x14ac:dyDescent="0.25">
      <c r="A908" s="2311" t="s">
        <v>1147</v>
      </c>
      <c r="B908" s="2311"/>
      <c r="C908" s="2311"/>
      <c r="D908" s="2311"/>
      <c r="E908" s="2311"/>
      <c r="F908" s="2311"/>
      <c r="G908" s="2311"/>
      <c r="H908" s="2311"/>
      <c r="I908" s="2311"/>
      <c r="J908" s="360"/>
      <c r="K908" s="835"/>
      <c r="L908" s="855"/>
      <c r="M908" s="70"/>
      <c r="N908" s="354"/>
      <c r="O908" s="354"/>
    </row>
    <row r="909" spans="1:110" s="61" customFormat="1" x14ac:dyDescent="0.25">
      <c r="A909" s="1388"/>
      <c r="B909" s="1389"/>
      <c r="C909" s="1389"/>
      <c r="D909" s="1389"/>
      <c r="E909" s="1389"/>
      <c r="F909" s="1389"/>
      <c r="G909" s="1389"/>
      <c r="H909" s="1389"/>
      <c r="I909" s="1389"/>
      <c r="J909" s="782"/>
      <c r="K909" s="835"/>
      <c r="L909" s="855"/>
      <c r="M909" s="70"/>
      <c r="N909" s="354"/>
      <c r="O909" s="354"/>
    </row>
    <row r="910" spans="1:110" s="61" customFormat="1" ht="15" customHeight="1" x14ac:dyDescent="0.25">
      <c r="A910" s="1898" t="s">
        <v>8</v>
      </c>
      <c r="B910" s="1898" t="s">
        <v>35</v>
      </c>
      <c r="C910" s="1898"/>
      <c r="D910" s="1898"/>
      <c r="E910" s="1898"/>
      <c r="F910" s="1898" t="s">
        <v>272</v>
      </c>
      <c r="G910" s="2184" t="s">
        <v>2048</v>
      </c>
      <c r="H910" s="2279"/>
      <c r="I910" s="2279"/>
      <c r="J910" s="2280"/>
      <c r="K910" s="835"/>
      <c r="L910" s="855"/>
      <c r="M910" s="70"/>
      <c r="N910" s="354"/>
      <c r="O910" s="354"/>
    </row>
    <row r="911" spans="1:110" s="61" customFormat="1" ht="45" x14ac:dyDescent="0.25">
      <c r="A911" s="1898"/>
      <c r="B911" s="1898"/>
      <c r="C911" s="1898"/>
      <c r="D911" s="1898"/>
      <c r="E911" s="1898"/>
      <c r="F911" s="1898"/>
      <c r="G911" s="1405" t="s">
        <v>515</v>
      </c>
      <c r="H911" s="1405" t="s">
        <v>55</v>
      </c>
      <c r="I911" s="1404" t="s">
        <v>265</v>
      </c>
      <c r="J911" s="1404" t="s">
        <v>256</v>
      </c>
      <c r="K911" s="835"/>
      <c r="L911" s="855"/>
      <c r="M911" s="70"/>
      <c r="N911" s="354"/>
      <c r="O911" s="354"/>
    </row>
    <row r="912" spans="1:110" s="565" customFormat="1" x14ac:dyDescent="0.25">
      <c r="A912" s="1926">
        <v>3</v>
      </c>
      <c r="B912" s="1986" t="s">
        <v>57</v>
      </c>
      <c r="C912" s="2322"/>
      <c r="D912" s="2322"/>
      <c r="E912" s="2322"/>
      <c r="F912" s="1455" t="s">
        <v>1646</v>
      </c>
      <c r="G912" s="2145" t="s">
        <v>2062</v>
      </c>
      <c r="H912" s="1404">
        <v>810</v>
      </c>
      <c r="I912" s="65">
        <v>61.223999999999997</v>
      </c>
      <c r="J912" s="1404">
        <f t="shared" ref="J912:J926" si="21">H912*I912</f>
        <v>49591.44</v>
      </c>
      <c r="K912" s="555"/>
      <c r="L912" s="1044" t="s">
        <v>1486</v>
      </c>
      <c r="M912" s="174">
        <v>0</v>
      </c>
      <c r="AC912" s="551"/>
      <c r="AD912" s="551"/>
      <c r="AE912" s="551"/>
      <c r="AF912" s="551"/>
      <c r="AG912" s="551"/>
      <c r="AH912" s="551"/>
      <c r="AI912" s="551"/>
      <c r="AJ912" s="551"/>
      <c r="AK912" s="551"/>
      <c r="AL912" s="551"/>
      <c r="AM912" s="551"/>
      <c r="AN912" s="551"/>
      <c r="AO912" s="551"/>
      <c r="AP912" s="551"/>
      <c r="AQ912" s="551"/>
      <c r="AR912" s="551"/>
      <c r="AS912" s="551"/>
      <c r="AT912" s="551"/>
      <c r="AU912" s="551"/>
      <c r="AV912" s="551"/>
      <c r="AW912" s="551"/>
      <c r="AX912" s="551"/>
      <c r="AY912" s="551"/>
      <c r="AZ912" s="551"/>
      <c r="BA912" s="551"/>
      <c r="BB912" s="551"/>
      <c r="BC912" s="551"/>
      <c r="BD912" s="551"/>
      <c r="BE912" s="551"/>
      <c r="BF912" s="551"/>
      <c r="BG912" s="551"/>
      <c r="BH912" s="551"/>
      <c r="BI912" s="551"/>
      <c r="BJ912" s="551"/>
      <c r="BK912" s="551"/>
      <c r="BL912" s="551"/>
      <c r="BM912" s="551"/>
      <c r="BN912" s="551"/>
      <c r="BO912" s="551"/>
      <c r="BP912" s="551"/>
      <c r="BQ912" s="551"/>
      <c r="BR912" s="551"/>
      <c r="BS912" s="551"/>
      <c r="BT912" s="551"/>
      <c r="BU912" s="551"/>
      <c r="BV912" s="551"/>
      <c r="BW912" s="551"/>
      <c r="BX912" s="551"/>
      <c r="BY912" s="551"/>
      <c r="BZ912" s="551"/>
      <c r="CA912" s="551"/>
      <c r="CB912" s="551"/>
      <c r="CC912" s="551"/>
      <c r="CD912" s="551"/>
      <c r="CE912" s="551"/>
      <c r="CF912" s="551"/>
      <c r="CG912" s="551"/>
      <c r="CH912" s="551"/>
      <c r="CI912" s="551"/>
      <c r="CJ912" s="551"/>
      <c r="CK912" s="551"/>
      <c r="CL912" s="551"/>
      <c r="CM912" s="551"/>
      <c r="CN912" s="551"/>
      <c r="CO912" s="551"/>
      <c r="CP912" s="551"/>
      <c r="CQ912" s="551"/>
      <c r="CR912" s="551"/>
      <c r="CS912" s="551"/>
      <c r="CT912" s="551"/>
      <c r="CU912" s="551"/>
      <c r="CV912" s="551"/>
      <c r="CW912" s="551"/>
      <c r="CX912" s="551"/>
      <c r="CY912" s="551"/>
      <c r="CZ912" s="551"/>
      <c r="DA912" s="551"/>
      <c r="DB912" s="551"/>
      <c r="DC912" s="551"/>
      <c r="DD912" s="551"/>
      <c r="DE912" s="551"/>
      <c r="DF912" s="551"/>
    </row>
    <row r="913" spans="1:110" s="565" customFormat="1" x14ac:dyDescent="0.25">
      <c r="A913" s="2173"/>
      <c r="B913" s="1986" t="s">
        <v>58</v>
      </c>
      <c r="C913" s="2322"/>
      <c r="D913" s="2322"/>
      <c r="E913" s="2322"/>
      <c r="F913" s="1455" t="s">
        <v>1646</v>
      </c>
      <c r="G913" s="2364"/>
      <c r="H913" s="1404">
        <v>1100</v>
      </c>
      <c r="I913" s="65">
        <v>65.603999999999999</v>
      </c>
      <c r="J913" s="1404">
        <f>H913*I913</f>
        <v>72164.399999999994</v>
      </c>
      <c r="K913" s="555"/>
      <c r="L913" s="1044"/>
      <c r="M913" s="174"/>
      <c r="AC913" s="551"/>
      <c r="AD913" s="551"/>
      <c r="AE913" s="551"/>
      <c r="AF913" s="551"/>
      <c r="AG913" s="551"/>
      <c r="AH913" s="551"/>
      <c r="AI913" s="551"/>
      <c r="AJ913" s="551"/>
      <c r="AK913" s="551"/>
      <c r="AL913" s="551"/>
      <c r="AM913" s="551"/>
      <c r="AN913" s="551"/>
      <c r="AO913" s="551"/>
      <c r="AP913" s="551"/>
      <c r="AQ913" s="551"/>
      <c r="AR913" s="551"/>
      <c r="AS913" s="551"/>
      <c r="AT913" s="551"/>
      <c r="AU913" s="551"/>
      <c r="AV913" s="551"/>
      <c r="AW913" s="551"/>
      <c r="AX913" s="551"/>
      <c r="AY913" s="551"/>
      <c r="AZ913" s="551"/>
      <c r="BA913" s="551"/>
      <c r="BB913" s="551"/>
      <c r="BC913" s="551"/>
      <c r="BD913" s="551"/>
      <c r="BE913" s="551"/>
      <c r="BF913" s="551"/>
      <c r="BG913" s="551"/>
      <c r="BH913" s="551"/>
      <c r="BI913" s="551"/>
      <c r="BJ913" s="551"/>
      <c r="BK913" s="551"/>
      <c r="BL913" s="551"/>
      <c r="BM913" s="551"/>
      <c r="BN913" s="551"/>
      <c r="BO913" s="551"/>
      <c r="BP913" s="551"/>
      <c r="BQ913" s="551"/>
      <c r="BR913" s="551"/>
      <c r="BS913" s="551"/>
      <c r="BT913" s="551"/>
      <c r="BU913" s="551"/>
      <c r="BV913" s="551"/>
      <c r="BW913" s="551"/>
      <c r="BX913" s="551"/>
      <c r="BY913" s="551"/>
      <c r="BZ913" s="551"/>
      <c r="CA913" s="551"/>
      <c r="CB913" s="551"/>
      <c r="CC913" s="551"/>
      <c r="CD913" s="551"/>
      <c r="CE913" s="551"/>
      <c r="CF913" s="551"/>
      <c r="CG913" s="551"/>
      <c r="CH913" s="551"/>
      <c r="CI913" s="551"/>
      <c r="CJ913" s="551"/>
      <c r="CK913" s="551"/>
      <c r="CL913" s="551"/>
      <c r="CM913" s="551"/>
      <c r="CN913" s="551"/>
      <c r="CO913" s="551"/>
      <c r="CP913" s="551"/>
      <c r="CQ913" s="551"/>
      <c r="CR913" s="551"/>
      <c r="CS913" s="551"/>
      <c r="CT913" s="551"/>
      <c r="CU913" s="551"/>
      <c r="CV913" s="551"/>
      <c r="CW913" s="551"/>
      <c r="CX913" s="551"/>
      <c r="CY913" s="551"/>
      <c r="CZ913" s="551"/>
      <c r="DA913" s="551"/>
      <c r="DB913" s="551"/>
      <c r="DC913" s="551"/>
      <c r="DD913" s="551"/>
      <c r="DE913" s="551"/>
      <c r="DF913" s="551"/>
    </row>
    <row r="914" spans="1:110" s="565" customFormat="1" ht="30.75" customHeight="1" x14ac:dyDescent="0.25">
      <c r="A914" s="2173"/>
      <c r="B914" s="1986" t="s">
        <v>1481</v>
      </c>
      <c r="C914" s="2322"/>
      <c r="D914" s="2322"/>
      <c r="E914" s="2322"/>
      <c r="F914" s="1455" t="s">
        <v>1646</v>
      </c>
      <c r="G914" s="2364"/>
      <c r="H914" s="1390">
        <v>280</v>
      </c>
      <c r="I914" s="65">
        <v>14.868</v>
      </c>
      <c r="J914" s="1404">
        <f>H914*I914</f>
        <v>4163.04</v>
      </c>
      <c r="K914" s="555"/>
      <c r="L914" s="1044"/>
      <c r="M914" s="174"/>
      <c r="AC914" s="551"/>
      <c r="AD914" s="551"/>
      <c r="AE914" s="551"/>
      <c r="AF914" s="551"/>
      <c r="AG914" s="551"/>
      <c r="AH914" s="551"/>
      <c r="AI914" s="551"/>
      <c r="AJ914" s="551"/>
      <c r="AK914" s="551"/>
      <c r="AL914" s="551"/>
      <c r="AM914" s="551"/>
      <c r="AN914" s="551"/>
      <c r="AO914" s="551"/>
      <c r="AP914" s="551"/>
      <c r="AQ914" s="551"/>
      <c r="AR914" s="551"/>
      <c r="AS914" s="551"/>
      <c r="AT914" s="551"/>
      <c r="AU914" s="551"/>
      <c r="AV914" s="551"/>
      <c r="AW914" s="551"/>
      <c r="AX914" s="551"/>
      <c r="AY914" s="551"/>
      <c r="AZ914" s="551"/>
      <c r="BA914" s="551"/>
      <c r="BB914" s="551"/>
      <c r="BC914" s="551"/>
      <c r="BD914" s="551"/>
      <c r="BE914" s="551"/>
      <c r="BF914" s="551"/>
      <c r="BG914" s="551"/>
      <c r="BH914" s="551"/>
      <c r="BI914" s="551"/>
      <c r="BJ914" s="551"/>
      <c r="BK914" s="551"/>
      <c r="BL914" s="551"/>
      <c r="BM914" s="551"/>
      <c r="BN914" s="551"/>
      <c r="BO914" s="551"/>
      <c r="BP914" s="551"/>
      <c r="BQ914" s="551"/>
      <c r="BR914" s="551"/>
      <c r="BS914" s="551"/>
      <c r="BT914" s="551"/>
      <c r="BU914" s="551"/>
      <c r="BV914" s="551"/>
      <c r="BW914" s="551"/>
      <c r="BX914" s="551"/>
      <c r="BY914" s="551"/>
      <c r="BZ914" s="551"/>
      <c r="CA914" s="551"/>
      <c r="CB914" s="551"/>
      <c r="CC914" s="551"/>
      <c r="CD914" s="551"/>
      <c r="CE914" s="551"/>
      <c r="CF914" s="551"/>
      <c r="CG914" s="551"/>
      <c r="CH914" s="551"/>
      <c r="CI914" s="551"/>
      <c r="CJ914" s="551"/>
      <c r="CK914" s="551"/>
      <c r="CL914" s="551"/>
      <c r="CM914" s="551"/>
      <c r="CN914" s="551"/>
      <c r="CO914" s="551"/>
      <c r="CP914" s="551"/>
      <c r="CQ914" s="551"/>
      <c r="CR914" s="551"/>
      <c r="CS914" s="551"/>
      <c r="CT914" s="551"/>
      <c r="CU914" s="551"/>
      <c r="CV914" s="551"/>
      <c r="CW914" s="551"/>
      <c r="CX914" s="551"/>
      <c r="CY914" s="551"/>
      <c r="CZ914" s="551"/>
      <c r="DA914" s="551"/>
      <c r="DB914" s="551"/>
      <c r="DC914" s="551"/>
      <c r="DD914" s="551"/>
      <c r="DE914" s="551"/>
      <c r="DF914" s="551"/>
    </row>
    <row r="915" spans="1:110" s="565" customFormat="1" ht="31.5" customHeight="1" x14ac:dyDescent="0.25">
      <c r="A915" s="2173"/>
      <c r="B915" s="1986" t="s">
        <v>1482</v>
      </c>
      <c r="C915" s="2322"/>
      <c r="D915" s="2322"/>
      <c r="E915" s="2322"/>
      <c r="F915" s="1455" t="s">
        <v>1646</v>
      </c>
      <c r="G915" s="2364"/>
      <c r="H915" s="1399">
        <v>820</v>
      </c>
      <c r="I915" s="1301">
        <v>4.0919999999999996</v>
      </c>
      <c r="J915" s="1404">
        <f>H915*I915</f>
        <v>3355.44</v>
      </c>
      <c r="K915" s="555"/>
      <c r="L915" s="1044"/>
      <c r="M915" s="174"/>
      <c r="AC915" s="551"/>
      <c r="AD915" s="551"/>
      <c r="AE915" s="551"/>
      <c r="AF915" s="551"/>
      <c r="AG915" s="551"/>
      <c r="AH915" s="551"/>
      <c r="AI915" s="551"/>
      <c r="AJ915" s="551"/>
      <c r="AK915" s="551"/>
      <c r="AL915" s="551"/>
      <c r="AM915" s="551"/>
      <c r="AN915" s="551"/>
      <c r="AO915" s="551"/>
      <c r="AP915" s="551"/>
      <c r="AQ915" s="551"/>
      <c r="AR915" s="551"/>
      <c r="AS915" s="551"/>
      <c r="AT915" s="551"/>
      <c r="AU915" s="551"/>
      <c r="AV915" s="551"/>
      <c r="AW915" s="551"/>
      <c r="AX915" s="551"/>
      <c r="AY915" s="551"/>
      <c r="AZ915" s="551"/>
      <c r="BA915" s="551"/>
      <c r="BB915" s="551"/>
      <c r="BC915" s="551"/>
      <c r="BD915" s="551"/>
      <c r="BE915" s="551"/>
      <c r="BF915" s="551"/>
      <c r="BG915" s="551"/>
      <c r="BH915" s="551"/>
      <c r="BI915" s="551"/>
      <c r="BJ915" s="551"/>
      <c r="BK915" s="551"/>
      <c r="BL915" s="551"/>
      <c r="BM915" s="551"/>
      <c r="BN915" s="551"/>
      <c r="BO915" s="551"/>
      <c r="BP915" s="551"/>
      <c r="BQ915" s="551"/>
      <c r="BR915" s="551"/>
      <c r="BS915" s="551"/>
      <c r="BT915" s="551"/>
      <c r="BU915" s="551"/>
      <c r="BV915" s="551"/>
      <c r="BW915" s="551"/>
      <c r="BX915" s="551"/>
      <c r="BY915" s="551"/>
      <c r="BZ915" s="551"/>
      <c r="CA915" s="551"/>
      <c r="CB915" s="551"/>
      <c r="CC915" s="551"/>
      <c r="CD915" s="551"/>
      <c r="CE915" s="551"/>
      <c r="CF915" s="551"/>
      <c r="CG915" s="551"/>
      <c r="CH915" s="551"/>
      <c r="CI915" s="551"/>
      <c r="CJ915" s="551"/>
      <c r="CK915" s="551"/>
      <c r="CL915" s="551"/>
      <c r="CM915" s="551"/>
      <c r="CN915" s="551"/>
      <c r="CO915" s="551"/>
      <c r="CP915" s="551"/>
      <c r="CQ915" s="551"/>
      <c r="CR915" s="551"/>
      <c r="CS915" s="551"/>
      <c r="CT915" s="551"/>
      <c r="CU915" s="551"/>
      <c r="CV915" s="551"/>
      <c r="CW915" s="551"/>
      <c r="CX915" s="551"/>
      <c r="CY915" s="551"/>
      <c r="CZ915" s="551"/>
      <c r="DA915" s="551"/>
      <c r="DB915" s="551"/>
      <c r="DC915" s="551"/>
      <c r="DD915" s="551"/>
      <c r="DE915" s="551"/>
      <c r="DF915" s="551"/>
    </row>
    <row r="916" spans="1:110" s="565" customFormat="1" ht="28.5" customHeight="1" x14ac:dyDescent="0.25">
      <c r="A916" s="2173"/>
      <c r="B916" s="1986" t="s">
        <v>1485</v>
      </c>
      <c r="C916" s="2322"/>
      <c r="D916" s="2322"/>
      <c r="E916" s="2322"/>
      <c r="F916" s="1455" t="s">
        <v>1646</v>
      </c>
      <c r="G916" s="2358"/>
      <c r="H916" s="103">
        <v>750</v>
      </c>
      <c r="I916" s="65">
        <v>65.603999999999999</v>
      </c>
      <c r="J916" s="1404">
        <f>H916*I916</f>
        <v>49203</v>
      </c>
      <c r="K916" s="555"/>
      <c r="L916" s="1044"/>
      <c r="M916" s="174"/>
      <c r="AC916" s="551"/>
      <c r="AD916" s="551"/>
      <c r="AE916" s="551"/>
      <c r="AF916" s="551"/>
      <c r="AG916" s="551"/>
      <c r="AH916" s="551"/>
      <c r="AI916" s="551"/>
      <c r="AJ916" s="551"/>
      <c r="AK916" s="551"/>
      <c r="AL916" s="551"/>
      <c r="AM916" s="551"/>
      <c r="AN916" s="551"/>
      <c r="AO916" s="551"/>
      <c r="AP916" s="551"/>
      <c r="AQ916" s="551"/>
      <c r="AR916" s="551"/>
      <c r="AS916" s="551"/>
      <c r="AT916" s="551"/>
      <c r="AU916" s="551"/>
      <c r="AV916" s="551"/>
      <c r="AW916" s="551"/>
      <c r="AX916" s="551"/>
      <c r="AY916" s="551"/>
      <c r="AZ916" s="551"/>
      <c r="BA916" s="551"/>
      <c r="BB916" s="551"/>
      <c r="BC916" s="551"/>
      <c r="BD916" s="551"/>
      <c r="BE916" s="551"/>
      <c r="BF916" s="551"/>
      <c r="BG916" s="551"/>
      <c r="BH916" s="551"/>
      <c r="BI916" s="551"/>
      <c r="BJ916" s="551"/>
      <c r="BK916" s="551"/>
      <c r="BL916" s="551"/>
      <c r="BM916" s="551"/>
      <c r="BN916" s="551"/>
      <c r="BO916" s="551"/>
      <c r="BP916" s="551"/>
      <c r="BQ916" s="551"/>
      <c r="BR916" s="551"/>
      <c r="BS916" s="551"/>
      <c r="BT916" s="551"/>
      <c r="BU916" s="551"/>
      <c r="BV916" s="551"/>
      <c r="BW916" s="551"/>
      <c r="BX916" s="551"/>
      <c r="BY916" s="551"/>
      <c r="BZ916" s="551"/>
      <c r="CA916" s="551"/>
      <c r="CB916" s="551"/>
      <c r="CC916" s="551"/>
      <c r="CD916" s="551"/>
      <c r="CE916" s="551"/>
      <c r="CF916" s="551"/>
      <c r="CG916" s="551"/>
      <c r="CH916" s="551"/>
      <c r="CI916" s="551"/>
      <c r="CJ916" s="551"/>
      <c r="CK916" s="551"/>
      <c r="CL916" s="551"/>
      <c r="CM916" s="551"/>
      <c r="CN916" s="551"/>
      <c r="CO916" s="551"/>
      <c r="CP916" s="551"/>
      <c r="CQ916" s="551"/>
      <c r="CR916" s="551"/>
      <c r="CS916" s="551"/>
      <c r="CT916" s="551"/>
      <c r="CU916" s="551"/>
      <c r="CV916" s="551"/>
      <c r="CW916" s="551"/>
      <c r="CX916" s="551"/>
      <c r="CY916" s="551"/>
      <c r="CZ916" s="551"/>
      <c r="DA916" s="551"/>
      <c r="DB916" s="551"/>
      <c r="DC916" s="551"/>
      <c r="DD916" s="551"/>
      <c r="DE916" s="551"/>
      <c r="DF916" s="551"/>
    </row>
    <row r="917" spans="1:110" s="565" customFormat="1" ht="30" customHeight="1" x14ac:dyDescent="0.25">
      <c r="A917" s="2024">
        <v>4</v>
      </c>
      <c r="B917" s="2071" t="s">
        <v>57</v>
      </c>
      <c r="C917" s="2365"/>
      <c r="D917" s="2365"/>
      <c r="E917" s="2366"/>
      <c r="F917" s="1455" t="s">
        <v>1646</v>
      </c>
      <c r="G917" s="1391" t="s">
        <v>2063</v>
      </c>
      <c r="H917" s="103">
        <v>4115</v>
      </c>
      <c r="I917" s="1400">
        <v>61.223999999999997</v>
      </c>
      <c r="J917" s="1404">
        <f t="shared" si="21"/>
        <v>251936.76</v>
      </c>
      <c r="K917" s="555"/>
      <c r="L917" s="987"/>
      <c r="M917" s="987"/>
      <c r="AC917" s="551"/>
      <c r="AD917" s="551"/>
      <c r="AE917" s="551"/>
      <c r="AF917" s="551"/>
      <c r="AG917" s="551"/>
      <c r="AH917" s="551"/>
      <c r="AI917" s="551"/>
      <c r="AJ917" s="551"/>
      <c r="AK917" s="551"/>
      <c r="AL917" s="551"/>
      <c r="AM917" s="551"/>
      <c r="AN917" s="551"/>
      <c r="AO917" s="551"/>
      <c r="AP917" s="551"/>
      <c r="AQ917" s="551"/>
      <c r="AR917" s="551"/>
      <c r="AS917" s="551"/>
      <c r="AT917" s="551"/>
      <c r="AU917" s="551"/>
      <c r="AV917" s="551"/>
      <c r="AW917" s="551"/>
      <c r="AX917" s="551"/>
      <c r="AY917" s="551"/>
      <c r="AZ917" s="551"/>
      <c r="BA917" s="551"/>
      <c r="BB917" s="551"/>
      <c r="BC917" s="551"/>
      <c r="BD917" s="551"/>
      <c r="BE917" s="551"/>
      <c r="BF917" s="551"/>
      <c r="BG917" s="551"/>
      <c r="BH917" s="551"/>
      <c r="BI917" s="551"/>
      <c r="BJ917" s="551"/>
      <c r="BK917" s="551"/>
      <c r="BL917" s="551"/>
      <c r="BM917" s="551"/>
      <c r="BN917" s="551"/>
      <c r="BO917" s="551"/>
      <c r="BP917" s="551"/>
      <c r="BQ917" s="551"/>
      <c r="BR917" s="551"/>
      <c r="BS917" s="551"/>
      <c r="BT917" s="551"/>
      <c r="BU917" s="551"/>
      <c r="BV917" s="551"/>
      <c r="BW917" s="551"/>
      <c r="BX917" s="551"/>
      <c r="BY917" s="551"/>
      <c r="BZ917" s="551"/>
      <c r="CA917" s="551"/>
      <c r="CB917" s="551"/>
      <c r="CC917" s="551"/>
      <c r="CD917" s="551"/>
      <c r="CE917" s="551"/>
      <c r="CF917" s="551"/>
      <c r="CG917" s="551"/>
      <c r="CH917" s="551"/>
      <c r="CI917" s="551"/>
      <c r="CJ917" s="551"/>
      <c r="CK917" s="551"/>
      <c r="CL917" s="551"/>
      <c r="CM917" s="551"/>
      <c r="CN917" s="551"/>
      <c r="CO917" s="551"/>
      <c r="CP917" s="551"/>
      <c r="CQ917" s="551"/>
      <c r="CR917" s="551"/>
      <c r="CS917" s="551"/>
      <c r="CT917" s="551"/>
      <c r="CU917" s="551"/>
      <c r="CV917" s="551"/>
      <c r="CW917" s="551"/>
      <c r="CX917" s="551"/>
      <c r="CY917" s="551"/>
      <c r="CZ917" s="551"/>
      <c r="DA917" s="551"/>
      <c r="DB917" s="551"/>
      <c r="DC917" s="551"/>
      <c r="DD917" s="551"/>
      <c r="DE917" s="551"/>
      <c r="DF917" s="551"/>
    </row>
    <row r="918" spans="1:110" s="565" customFormat="1" ht="30" hidden="1" customHeight="1" x14ac:dyDescent="0.25">
      <c r="A918" s="2162"/>
      <c r="B918" s="2287"/>
      <c r="C918" s="2288"/>
      <c r="D918" s="2288"/>
      <c r="E918" s="2289"/>
      <c r="F918" s="1455" t="s">
        <v>1646</v>
      </c>
      <c r="G918" s="1392" t="s">
        <v>1844</v>
      </c>
      <c r="H918" s="103"/>
      <c r="I918" s="1400">
        <v>67.346000000000004</v>
      </c>
      <c r="J918" s="1404">
        <f t="shared" si="21"/>
        <v>0</v>
      </c>
      <c r="K918" s="555"/>
      <c r="L918" s="987"/>
      <c r="M918" s="987"/>
      <c r="AC918" s="551"/>
      <c r="AD918" s="551"/>
      <c r="AE918" s="551"/>
      <c r="AF918" s="551"/>
      <c r="AG918" s="551"/>
      <c r="AH918" s="551"/>
      <c r="AI918" s="551"/>
      <c r="AJ918" s="551"/>
      <c r="AK918" s="551"/>
      <c r="AL918" s="551"/>
      <c r="AM918" s="551"/>
      <c r="AN918" s="551"/>
      <c r="AO918" s="551"/>
      <c r="AP918" s="551"/>
      <c r="AQ918" s="551"/>
      <c r="AR918" s="551"/>
      <c r="AS918" s="551"/>
      <c r="AT918" s="551"/>
      <c r="AU918" s="551"/>
      <c r="AV918" s="551"/>
      <c r="AW918" s="551"/>
      <c r="AX918" s="551"/>
      <c r="AY918" s="551"/>
      <c r="AZ918" s="551"/>
      <c r="BA918" s="551"/>
      <c r="BB918" s="551"/>
      <c r="BC918" s="551"/>
      <c r="BD918" s="551"/>
      <c r="BE918" s="551"/>
      <c r="BF918" s="551"/>
      <c r="BG918" s="551"/>
      <c r="BH918" s="551"/>
      <c r="BI918" s="551"/>
      <c r="BJ918" s="551"/>
      <c r="BK918" s="551"/>
      <c r="BL918" s="551"/>
      <c r="BM918" s="551"/>
      <c r="BN918" s="551"/>
      <c r="BO918" s="551"/>
      <c r="BP918" s="551"/>
      <c r="BQ918" s="551"/>
      <c r="BR918" s="551"/>
      <c r="BS918" s="551"/>
      <c r="BT918" s="551"/>
      <c r="BU918" s="551"/>
      <c r="BV918" s="551"/>
      <c r="BW918" s="551"/>
      <c r="BX918" s="551"/>
      <c r="BY918" s="551"/>
      <c r="BZ918" s="551"/>
      <c r="CA918" s="551"/>
      <c r="CB918" s="551"/>
      <c r="CC918" s="551"/>
      <c r="CD918" s="551"/>
      <c r="CE918" s="551"/>
      <c r="CF918" s="551"/>
      <c r="CG918" s="551"/>
      <c r="CH918" s="551"/>
      <c r="CI918" s="551"/>
      <c r="CJ918" s="551"/>
      <c r="CK918" s="551"/>
      <c r="CL918" s="551"/>
      <c r="CM918" s="551"/>
      <c r="CN918" s="551"/>
      <c r="CO918" s="551"/>
      <c r="CP918" s="551"/>
      <c r="CQ918" s="551"/>
      <c r="CR918" s="551"/>
      <c r="CS918" s="551"/>
      <c r="CT918" s="551"/>
      <c r="CU918" s="551"/>
      <c r="CV918" s="551"/>
      <c r="CW918" s="551"/>
      <c r="CX918" s="551"/>
      <c r="CY918" s="551"/>
      <c r="CZ918" s="551"/>
      <c r="DA918" s="551"/>
      <c r="DB918" s="551"/>
      <c r="DC918" s="551"/>
      <c r="DD918" s="551"/>
      <c r="DE918" s="551"/>
      <c r="DF918" s="551"/>
    </row>
    <row r="919" spans="1:110" s="565" customFormat="1" ht="30" customHeight="1" x14ac:dyDescent="0.25">
      <c r="A919" s="2024">
        <v>5</v>
      </c>
      <c r="B919" s="2071" t="s">
        <v>58</v>
      </c>
      <c r="C919" s="2365"/>
      <c r="D919" s="2365"/>
      <c r="E919" s="2366"/>
      <c r="F919" s="1455" t="s">
        <v>1646</v>
      </c>
      <c r="G919" s="1391" t="s">
        <v>2063</v>
      </c>
      <c r="H919" s="103">
        <v>5560</v>
      </c>
      <c r="I919" s="1197">
        <v>65.603999999999999</v>
      </c>
      <c r="J919" s="1404">
        <f t="shared" si="21"/>
        <v>364758.24</v>
      </c>
      <c r="K919" s="555"/>
      <c r="L919" s="987"/>
      <c r="M919" s="987"/>
      <c r="N919" s="567"/>
      <c r="AC919" s="551"/>
      <c r="AD919" s="551"/>
      <c r="AE919" s="551"/>
      <c r="AF919" s="551"/>
      <c r="AG919" s="551"/>
      <c r="AH919" s="551"/>
      <c r="AI919" s="551"/>
      <c r="AJ919" s="551"/>
      <c r="AK919" s="551"/>
      <c r="AL919" s="551"/>
      <c r="AM919" s="551"/>
      <c r="AN919" s="551"/>
      <c r="AO919" s="551"/>
      <c r="AP919" s="551"/>
      <c r="AQ919" s="551"/>
      <c r="AR919" s="551"/>
      <c r="AS919" s="551"/>
      <c r="AT919" s="551"/>
      <c r="AU919" s="551"/>
      <c r="AV919" s="551"/>
      <c r="AW919" s="551"/>
      <c r="AX919" s="551"/>
      <c r="AY919" s="551"/>
      <c r="AZ919" s="551"/>
      <c r="BA919" s="551"/>
      <c r="BB919" s="551"/>
      <c r="BC919" s="551"/>
      <c r="BD919" s="551"/>
      <c r="BE919" s="551"/>
      <c r="BF919" s="551"/>
      <c r="BG919" s="551"/>
      <c r="BH919" s="551"/>
      <c r="BI919" s="551"/>
      <c r="BJ919" s="551"/>
      <c r="BK919" s="551"/>
      <c r="BL919" s="551"/>
      <c r="BM919" s="551"/>
      <c r="BN919" s="551"/>
      <c r="BO919" s="551"/>
      <c r="BP919" s="551"/>
      <c r="BQ919" s="551"/>
      <c r="BR919" s="551"/>
      <c r="BS919" s="551"/>
      <c r="BT919" s="551"/>
      <c r="BU919" s="551"/>
      <c r="BV919" s="551"/>
      <c r="BW919" s="551"/>
      <c r="BX919" s="551"/>
      <c r="BY919" s="551"/>
      <c r="BZ919" s="551"/>
      <c r="CA919" s="551"/>
      <c r="CB919" s="551"/>
      <c r="CC919" s="551"/>
      <c r="CD919" s="551"/>
      <c r="CE919" s="551"/>
      <c r="CF919" s="551"/>
      <c r="CG919" s="551"/>
      <c r="CH919" s="551"/>
      <c r="CI919" s="551"/>
      <c r="CJ919" s="551"/>
      <c r="CK919" s="551"/>
      <c r="CL919" s="551"/>
      <c r="CM919" s="551"/>
      <c r="CN919" s="551"/>
      <c r="CO919" s="551"/>
      <c r="CP919" s="551"/>
      <c r="CQ919" s="551"/>
      <c r="CR919" s="551"/>
      <c r="CS919" s="551"/>
      <c r="CT919" s="551"/>
      <c r="CU919" s="551"/>
      <c r="CV919" s="551"/>
      <c r="CW919" s="551"/>
      <c r="CX919" s="551"/>
      <c r="CY919" s="551"/>
      <c r="CZ919" s="551"/>
      <c r="DA919" s="551"/>
      <c r="DB919" s="551"/>
      <c r="DC919" s="551"/>
      <c r="DD919" s="551"/>
      <c r="DE919" s="551"/>
      <c r="DF919" s="551"/>
    </row>
    <row r="920" spans="1:110" s="565" customFormat="1" ht="30" hidden="1" customHeight="1" x14ac:dyDescent="0.25">
      <c r="A920" s="2162"/>
      <c r="B920" s="2287"/>
      <c r="C920" s="2288"/>
      <c r="D920" s="2288"/>
      <c r="E920" s="2289"/>
      <c r="F920" s="1455" t="s">
        <v>1646</v>
      </c>
      <c r="G920" s="1391" t="s">
        <v>2063</v>
      </c>
      <c r="H920" s="103"/>
      <c r="I920" s="1368">
        <v>72.164000000000001</v>
      </c>
      <c r="J920" s="1404">
        <f t="shared" si="21"/>
        <v>0</v>
      </c>
      <c r="K920" s="555"/>
      <c r="L920" s="987"/>
      <c r="M920" s="987"/>
      <c r="N920" s="567"/>
      <c r="AC920" s="551"/>
      <c r="AD920" s="551"/>
      <c r="AE920" s="551"/>
      <c r="AF920" s="551"/>
      <c r="AG920" s="551"/>
      <c r="AH920" s="551"/>
      <c r="AI920" s="551"/>
      <c r="AJ920" s="551"/>
      <c r="AK920" s="551"/>
      <c r="AL920" s="551"/>
      <c r="AM920" s="551"/>
      <c r="AN920" s="551"/>
      <c r="AO920" s="551"/>
      <c r="AP920" s="551"/>
      <c r="AQ920" s="551"/>
      <c r="AR920" s="551"/>
      <c r="AS920" s="551"/>
      <c r="AT920" s="551"/>
      <c r="AU920" s="551"/>
      <c r="AV920" s="551"/>
      <c r="AW920" s="551"/>
      <c r="AX920" s="551"/>
      <c r="AY920" s="551"/>
      <c r="AZ920" s="551"/>
      <c r="BA920" s="551"/>
      <c r="BB920" s="551"/>
      <c r="BC920" s="551"/>
      <c r="BD920" s="551"/>
      <c r="BE920" s="551"/>
      <c r="BF920" s="551"/>
      <c r="BG920" s="551"/>
      <c r="BH920" s="551"/>
      <c r="BI920" s="551"/>
      <c r="BJ920" s="551"/>
      <c r="BK920" s="551"/>
      <c r="BL920" s="551"/>
      <c r="BM920" s="551"/>
      <c r="BN920" s="551"/>
      <c r="BO920" s="551"/>
      <c r="BP920" s="551"/>
      <c r="BQ920" s="551"/>
      <c r="BR920" s="551"/>
      <c r="BS920" s="551"/>
      <c r="BT920" s="551"/>
      <c r="BU920" s="551"/>
      <c r="BV920" s="551"/>
      <c r="BW920" s="551"/>
      <c r="BX920" s="551"/>
      <c r="BY920" s="551"/>
      <c r="BZ920" s="551"/>
      <c r="CA920" s="551"/>
      <c r="CB920" s="551"/>
      <c r="CC920" s="551"/>
      <c r="CD920" s="551"/>
      <c r="CE920" s="551"/>
      <c r="CF920" s="551"/>
      <c r="CG920" s="551"/>
      <c r="CH920" s="551"/>
      <c r="CI920" s="551"/>
      <c r="CJ920" s="551"/>
      <c r="CK920" s="551"/>
      <c r="CL920" s="551"/>
      <c r="CM920" s="551"/>
      <c r="CN920" s="551"/>
      <c r="CO920" s="551"/>
      <c r="CP920" s="551"/>
      <c r="CQ920" s="551"/>
      <c r="CR920" s="551"/>
      <c r="CS920" s="551"/>
      <c r="CT920" s="551"/>
      <c r="CU920" s="551"/>
      <c r="CV920" s="551"/>
      <c r="CW920" s="551"/>
      <c r="CX920" s="551"/>
      <c r="CY920" s="551"/>
      <c r="CZ920" s="551"/>
      <c r="DA920" s="551"/>
      <c r="DB920" s="551"/>
      <c r="DC920" s="551"/>
      <c r="DD920" s="551"/>
      <c r="DE920" s="551"/>
      <c r="DF920" s="551"/>
    </row>
    <row r="921" spans="1:110" s="565" customFormat="1" ht="30" customHeight="1" x14ac:dyDescent="0.25">
      <c r="A921" s="2024">
        <v>6</v>
      </c>
      <c r="B921" s="2071" t="s">
        <v>1481</v>
      </c>
      <c r="C921" s="2365"/>
      <c r="D921" s="2365"/>
      <c r="E921" s="2366"/>
      <c r="F921" s="1455" t="s">
        <v>1646</v>
      </c>
      <c r="G921" s="1391" t="s">
        <v>2063</v>
      </c>
      <c r="H921" s="103">
        <v>1515</v>
      </c>
      <c r="I921" s="65">
        <v>14.868</v>
      </c>
      <c r="J921" s="1404">
        <f t="shared" si="21"/>
        <v>22525.02</v>
      </c>
      <c r="K921" s="555"/>
      <c r="L921" s="987"/>
      <c r="M921" s="987"/>
      <c r="N921" s="1283"/>
      <c r="O921" s="604"/>
      <c r="AC921" s="551"/>
      <c r="AD921" s="551"/>
      <c r="AE921" s="551"/>
      <c r="AF921" s="551"/>
      <c r="AG921" s="551"/>
      <c r="AH921" s="551"/>
      <c r="AI921" s="551"/>
      <c r="AJ921" s="551"/>
      <c r="AK921" s="551"/>
      <c r="AL921" s="551"/>
      <c r="AM921" s="551"/>
      <c r="AN921" s="551"/>
      <c r="AO921" s="551"/>
      <c r="AP921" s="551"/>
      <c r="AQ921" s="551"/>
      <c r="AR921" s="551"/>
      <c r="AS921" s="551"/>
      <c r="AT921" s="551"/>
      <c r="AU921" s="551"/>
      <c r="AV921" s="551"/>
      <c r="AW921" s="551"/>
      <c r="AX921" s="551"/>
      <c r="AY921" s="551"/>
      <c r="AZ921" s="551"/>
      <c r="BA921" s="551"/>
      <c r="BB921" s="551"/>
      <c r="BC921" s="551"/>
      <c r="BD921" s="551"/>
      <c r="BE921" s="551"/>
      <c r="BF921" s="551"/>
      <c r="BG921" s="551"/>
      <c r="BH921" s="551"/>
      <c r="BI921" s="551"/>
      <c r="BJ921" s="551"/>
      <c r="BK921" s="551"/>
      <c r="BL921" s="551"/>
      <c r="BM921" s="551"/>
      <c r="BN921" s="551"/>
      <c r="BO921" s="551"/>
      <c r="BP921" s="551"/>
      <c r="BQ921" s="551"/>
      <c r="BR921" s="551"/>
      <c r="BS921" s="551"/>
      <c r="BT921" s="551"/>
      <c r="BU921" s="551"/>
      <c r="BV921" s="551"/>
      <c r="BW921" s="551"/>
      <c r="BX921" s="551"/>
      <c r="BY921" s="551"/>
      <c r="BZ921" s="551"/>
      <c r="CA921" s="551"/>
      <c r="CB921" s="551"/>
      <c r="CC921" s="551"/>
      <c r="CD921" s="551"/>
      <c r="CE921" s="551"/>
      <c r="CF921" s="551"/>
      <c r="CG921" s="551"/>
      <c r="CH921" s="551"/>
      <c r="CI921" s="551"/>
      <c r="CJ921" s="551"/>
      <c r="CK921" s="551"/>
      <c r="CL921" s="551"/>
      <c r="CM921" s="551"/>
      <c r="CN921" s="551"/>
      <c r="CO921" s="551"/>
      <c r="CP921" s="551"/>
      <c r="CQ921" s="551"/>
      <c r="CR921" s="551"/>
      <c r="CS921" s="551"/>
      <c r="CT921" s="551"/>
      <c r="CU921" s="551"/>
      <c r="CV921" s="551"/>
      <c r="CW921" s="551"/>
      <c r="CX921" s="551"/>
      <c r="CY921" s="551"/>
      <c r="CZ921" s="551"/>
      <c r="DA921" s="551"/>
      <c r="DB921" s="551"/>
      <c r="DC921" s="551"/>
      <c r="DD921" s="551"/>
      <c r="DE921" s="551"/>
      <c r="DF921" s="551"/>
    </row>
    <row r="922" spans="1:110" s="565" customFormat="1" ht="30" hidden="1" customHeight="1" x14ac:dyDescent="0.25">
      <c r="A922" s="2162">
        <v>9</v>
      </c>
      <c r="B922" s="2287"/>
      <c r="C922" s="2288"/>
      <c r="D922" s="2288"/>
      <c r="E922" s="2289"/>
      <c r="F922" s="1455" t="s">
        <v>1646</v>
      </c>
      <c r="G922" s="1391" t="s">
        <v>2063</v>
      </c>
      <c r="H922" s="1300"/>
      <c r="I922" s="1301">
        <v>15.611000000000001</v>
      </c>
      <c r="J922" s="1426">
        <f t="shared" si="21"/>
        <v>0</v>
      </c>
      <c r="K922" s="555"/>
      <c r="L922" s="987"/>
      <c r="M922" s="987"/>
      <c r="N922" s="568"/>
      <c r="O922" s="604"/>
      <c r="AC922" s="551"/>
      <c r="AD922" s="551"/>
      <c r="AE922" s="551"/>
      <c r="AF922" s="551"/>
      <c r="AG922" s="551"/>
      <c r="AH922" s="551"/>
      <c r="AI922" s="551"/>
      <c r="AJ922" s="551"/>
      <c r="AK922" s="551"/>
      <c r="AL922" s="551"/>
      <c r="AM922" s="551"/>
      <c r="AN922" s="551"/>
      <c r="AO922" s="551"/>
      <c r="AP922" s="551"/>
      <c r="AQ922" s="551"/>
      <c r="AR922" s="551"/>
      <c r="AS922" s="551"/>
      <c r="AT922" s="551"/>
      <c r="AU922" s="551"/>
      <c r="AV922" s="551"/>
      <c r="AW922" s="551"/>
      <c r="AX922" s="551"/>
      <c r="AY922" s="551"/>
      <c r="AZ922" s="551"/>
      <c r="BA922" s="551"/>
      <c r="BB922" s="551"/>
      <c r="BC922" s="551"/>
      <c r="BD922" s="551"/>
      <c r="BE922" s="551"/>
      <c r="BF922" s="551"/>
      <c r="BG922" s="551"/>
      <c r="BH922" s="551"/>
      <c r="BI922" s="551"/>
      <c r="BJ922" s="551"/>
      <c r="BK922" s="551"/>
      <c r="BL922" s="551"/>
      <c r="BM922" s="551"/>
      <c r="BN922" s="551"/>
      <c r="BO922" s="551"/>
      <c r="BP922" s="551"/>
      <c r="BQ922" s="551"/>
      <c r="BR922" s="551"/>
      <c r="BS922" s="551"/>
      <c r="BT922" s="551"/>
      <c r="BU922" s="551"/>
      <c r="BV922" s="551"/>
      <c r="BW922" s="551"/>
      <c r="BX922" s="551"/>
      <c r="BY922" s="551"/>
      <c r="BZ922" s="551"/>
      <c r="CA922" s="551"/>
      <c r="CB922" s="551"/>
      <c r="CC922" s="551"/>
      <c r="CD922" s="551"/>
      <c r="CE922" s="551"/>
      <c r="CF922" s="551"/>
      <c r="CG922" s="551"/>
      <c r="CH922" s="551"/>
      <c r="CI922" s="551"/>
      <c r="CJ922" s="551"/>
      <c r="CK922" s="551"/>
      <c r="CL922" s="551"/>
      <c r="CM922" s="551"/>
      <c r="CN922" s="551"/>
      <c r="CO922" s="551"/>
      <c r="CP922" s="551"/>
      <c r="CQ922" s="551"/>
      <c r="CR922" s="551"/>
      <c r="CS922" s="551"/>
      <c r="CT922" s="551"/>
      <c r="CU922" s="551"/>
      <c r="CV922" s="551"/>
      <c r="CW922" s="551"/>
      <c r="CX922" s="551"/>
      <c r="CY922" s="551"/>
      <c r="CZ922" s="551"/>
      <c r="DA922" s="551"/>
      <c r="DB922" s="551"/>
      <c r="DC922" s="551"/>
      <c r="DD922" s="551"/>
      <c r="DE922" s="551"/>
      <c r="DF922" s="551"/>
    </row>
    <row r="923" spans="1:110" s="565" customFormat="1" ht="30" customHeight="1" x14ac:dyDescent="0.25">
      <c r="A923" s="2024">
        <v>5</v>
      </c>
      <c r="B923" s="2071" t="s">
        <v>1482</v>
      </c>
      <c r="C923" s="2365"/>
      <c r="D923" s="2365"/>
      <c r="E923" s="2366"/>
      <c r="F923" s="1455" t="s">
        <v>1646</v>
      </c>
      <c r="G923" s="1391" t="s">
        <v>2063</v>
      </c>
      <c r="H923" s="103">
        <v>1635</v>
      </c>
      <c r="I923" s="65">
        <v>4.0919999999999996</v>
      </c>
      <c r="J923" s="1404">
        <f t="shared" si="21"/>
        <v>6690.42</v>
      </c>
      <c r="K923" s="555"/>
      <c r="L923" s="987"/>
      <c r="M923" s="1299"/>
      <c r="N923" s="568"/>
      <c r="O923" s="604"/>
      <c r="AC923" s="551"/>
      <c r="AD923" s="551"/>
      <c r="AE923" s="551"/>
      <c r="AF923" s="551"/>
      <c r="AG923" s="551"/>
      <c r="AH923" s="551"/>
      <c r="AI923" s="551"/>
      <c r="AJ923" s="551"/>
      <c r="AK923" s="551"/>
      <c r="AL923" s="551"/>
      <c r="AM923" s="551"/>
      <c r="AN923" s="551"/>
      <c r="AO923" s="551"/>
      <c r="AP923" s="551"/>
      <c r="AQ923" s="551"/>
      <c r="AR923" s="551"/>
      <c r="AS923" s="551"/>
      <c r="AT923" s="551"/>
      <c r="AU923" s="551"/>
      <c r="AV923" s="551"/>
      <c r="AW923" s="551"/>
      <c r="AX923" s="551"/>
      <c r="AY923" s="551"/>
      <c r="AZ923" s="551"/>
      <c r="BA923" s="551"/>
      <c r="BB923" s="551"/>
      <c r="BC923" s="551"/>
      <c r="BD923" s="551"/>
      <c r="BE923" s="551"/>
      <c r="BF923" s="551"/>
      <c r="BG923" s="551"/>
      <c r="BH923" s="551"/>
      <c r="BI923" s="551"/>
      <c r="BJ923" s="551"/>
      <c r="BK923" s="551"/>
      <c r="BL923" s="551"/>
      <c r="BM923" s="551"/>
      <c r="BN923" s="551"/>
      <c r="BO923" s="551"/>
      <c r="BP923" s="551"/>
      <c r="BQ923" s="551"/>
      <c r="BR923" s="551"/>
      <c r="BS923" s="551"/>
      <c r="BT923" s="551"/>
      <c r="BU923" s="551"/>
      <c r="BV923" s="551"/>
      <c r="BW923" s="551"/>
      <c r="BX923" s="551"/>
      <c r="BY923" s="551"/>
      <c r="BZ923" s="551"/>
      <c r="CA923" s="551"/>
      <c r="CB923" s="551"/>
      <c r="CC923" s="551"/>
      <c r="CD923" s="551"/>
      <c r="CE923" s="551"/>
      <c r="CF923" s="551"/>
      <c r="CG923" s="551"/>
      <c r="CH923" s="551"/>
      <c r="CI923" s="551"/>
      <c r="CJ923" s="551"/>
      <c r="CK923" s="551"/>
      <c r="CL923" s="551"/>
      <c r="CM923" s="551"/>
      <c r="CN923" s="551"/>
      <c r="CO923" s="551"/>
      <c r="CP923" s="551"/>
      <c r="CQ923" s="551"/>
      <c r="CR923" s="551"/>
      <c r="CS923" s="551"/>
      <c r="CT923" s="551"/>
      <c r="CU923" s="551"/>
      <c r="CV923" s="551"/>
      <c r="CW923" s="551"/>
      <c r="CX923" s="551"/>
      <c r="CY923" s="551"/>
      <c r="CZ923" s="551"/>
      <c r="DA923" s="551"/>
      <c r="DB923" s="551"/>
      <c r="DC923" s="551"/>
      <c r="DD923" s="551"/>
      <c r="DE923" s="551"/>
      <c r="DF923" s="551"/>
    </row>
    <row r="924" spans="1:110" s="565" customFormat="1" ht="30" hidden="1" customHeight="1" x14ac:dyDescent="0.25">
      <c r="A924" s="2162">
        <v>11</v>
      </c>
      <c r="B924" s="2287"/>
      <c r="C924" s="2288"/>
      <c r="D924" s="2288"/>
      <c r="E924" s="2289"/>
      <c r="F924" s="1455" t="s">
        <v>1646</v>
      </c>
      <c r="G924" s="1391" t="s">
        <v>2063</v>
      </c>
      <c r="H924" s="103"/>
      <c r="I924" s="65">
        <v>4.3</v>
      </c>
      <c r="J924" s="1404">
        <f t="shared" si="21"/>
        <v>0</v>
      </c>
      <c r="K924" s="555"/>
      <c r="L924" s="987"/>
      <c r="M924" s="987"/>
      <c r="N924" s="568"/>
      <c r="O924" s="604"/>
      <c r="AC924" s="551"/>
      <c r="AD924" s="551"/>
      <c r="AE924" s="551"/>
      <c r="AF924" s="551"/>
      <c r="AG924" s="551"/>
      <c r="AH924" s="551"/>
      <c r="AI924" s="551"/>
      <c r="AJ924" s="551"/>
      <c r="AK924" s="551"/>
      <c r="AL924" s="551"/>
      <c r="AM924" s="551"/>
      <c r="AN924" s="551"/>
      <c r="AO924" s="551"/>
      <c r="AP924" s="551"/>
      <c r="AQ924" s="551"/>
      <c r="AR924" s="551"/>
      <c r="AS924" s="551"/>
      <c r="AT924" s="551"/>
      <c r="AU924" s="551"/>
      <c r="AV924" s="551"/>
      <c r="AW924" s="551"/>
      <c r="AX924" s="551"/>
      <c r="AY924" s="551"/>
      <c r="AZ924" s="551"/>
      <c r="BA924" s="551"/>
      <c r="BB924" s="551"/>
      <c r="BC924" s="551"/>
      <c r="BD924" s="551"/>
      <c r="BE924" s="551"/>
      <c r="BF924" s="551"/>
      <c r="BG924" s="551"/>
      <c r="BH924" s="551"/>
      <c r="BI924" s="551"/>
      <c r="BJ924" s="551"/>
      <c r="BK924" s="551"/>
      <c r="BL924" s="551"/>
      <c r="BM924" s="551"/>
      <c r="BN924" s="551"/>
      <c r="BO924" s="551"/>
      <c r="BP924" s="551"/>
      <c r="BQ924" s="551"/>
      <c r="BR924" s="551"/>
      <c r="BS924" s="551"/>
      <c r="BT924" s="551"/>
      <c r="BU924" s="551"/>
      <c r="BV924" s="551"/>
      <c r="BW924" s="551"/>
      <c r="BX924" s="551"/>
      <c r="BY924" s="551"/>
      <c r="BZ924" s="551"/>
      <c r="CA924" s="551"/>
      <c r="CB924" s="551"/>
      <c r="CC924" s="551"/>
      <c r="CD924" s="551"/>
      <c r="CE924" s="551"/>
      <c r="CF924" s="551"/>
      <c r="CG924" s="551"/>
      <c r="CH924" s="551"/>
      <c r="CI924" s="551"/>
      <c r="CJ924" s="551"/>
      <c r="CK924" s="551"/>
      <c r="CL924" s="551"/>
      <c r="CM924" s="551"/>
      <c r="CN924" s="551"/>
      <c r="CO924" s="551"/>
      <c r="CP924" s="551"/>
      <c r="CQ924" s="551"/>
      <c r="CR924" s="551"/>
      <c r="CS924" s="551"/>
      <c r="CT924" s="551"/>
      <c r="CU924" s="551"/>
      <c r="CV924" s="551"/>
      <c r="CW924" s="551"/>
      <c r="CX924" s="551"/>
      <c r="CY924" s="551"/>
      <c r="CZ924" s="551"/>
      <c r="DA924" s="551"/>
      <c r="DB924" s="551"/>
      <c r="DC924" s="551"/>
      <c r="DD924" s="551"/>
      <c r="DE924" s="551"/>
      <c r="DF924" s="551"/>
    </row>
    <row r="925" spans="1:110" s="565" customFormat="1" ht="30" customHeight="1" x14ac:dyDescent="0.25">
      <c r="A925" s="2024">
        <v>7</v>
      </c>
      <c r="B925" s="2071" t="s">
        <v>1485</v>
      </c>
      <c r="C925" s="2365"/>
      <c r="D925" s="2365"/>
      <c r="E925" s="2366"/>
      <c r="F925" s="1455" t="s">
        <v>1646</v>
      </c>
      <c r="G925" s="1391" t="s">
        <v>2063</v>
      </c>
      <c r="H925" s="103">
        <v>2080</v>
      </c>
      <c r="I925" s="65">
        <f>I919</f>
        <v>65.603999999999999</v>
      </c>
      <c r="J925" s="1404">
        <f t="shared" si="21"/>
        <v>136456.32000000001</v>
      </c>
      <c r="K925" s="555"/>
      <c r="L925" s="987"/>
      <c r="M925" s="987"/>
      <c r="N925" s="568"/>
      <c r="O925" s="604"/>
      <c r="AC925" s="551"/>
      <c r="AD925" s="551"/>
      <c r="AE925" s="551"/>
      <c r="AF925" s="551"/>
      <c r="AG925" s="551"/>
      <c r="AH925" s="551"/>
      <c r="AI925" s="551"/>
      <c r="AJ925" s="551"/>
      <c r="AK925" s="551"/>
      <c r="AL925" s="551"/>
      <c r="AM925" s="551"/>
      <c r="AN925" s="551"/>
      <c r="AO925" s="551"/>
      <c r="AP925" s="551"/>
      <c r="AQ925" s="551"/>
      <c r="AR925" s="551"/>
      <c r="AS925" s="551"/>
      <c r="AT925" s="551"/>
      <c r="AU925" s="551"/>
      <c r="AV925" s="551"/>
      <c r="AW925" s="551"/>
      <c r="AX925" s="551"/>
      <c r="AY925" s="551"/>
      <c r="AZ925" s="551"/>
      <c r="BA925" s="551"/>
      <c r="BB925" s="551"/>
      <c r="BC925" s="551"/>
      <c r="BD925" s="551"/>
      <c r="BE925" s="551"/>
      <c r="BF925" s="551"/>
      <c r="BG925" s="551"/>
      <c r="BH925" s="551"/>
      <c r="BI925" s="551"/>
      <c r="BJ925" s="551"/>
      <c r="BK925" s="551"/>
      <c r="BL925" s="551"/>
      <c r="BM925" s="551"/>
      <c r="BN925" s="551"/>
      <c r="BO925" s="551"/>
      <c r="BP925" s="551"/>
      <c r="BQ925" s="551"/>
      <c r="BR925" s="551"/>
      <c r="BS925" s="551"/>
      <c r="BT925" s="551"/>
      <c r="BU925" s="551"/>
      <c r="BV925" s="551"/>
      <c r="BW925" s="551"/>
      <c r="BX925" s="551"/>
      <c r="BY925" s="551"/>
      <c r="BZ925" s="551"/>
      <c r="CA925" s="551"/>
      <c r="CB925" s="551"/>
      <c r="CC925" s="551"/>
      <c r="CD925" s="551"/>
      <c r="CE925" s="551"/>
      <c r="CF925" s="551"/>
      <c r="CG925" s="551"/>
      <c r="CH925" s="551"/>
      <c r="CI925" s="551"/>
      <c r="CJ925" s="551"/>
      <c r="CK925" s="551"/>
      <c r="CL925" s="551"/>
      <c r="CM925" s="551"/>
      <c r="CN925" s="551"/>
      <c r="CO925" s="551"/>
      <c r="CP925" s="551"/>
      <c r="CQ925" s="551"/>
      <c r="CR925" s="551"/>
      <c r="CS925" s="551"/>
      <c r="CT925" s="551"/>
      <c r="CU925" s="551"/>
      <c r="CV925" s="551"/>
      <c r="CW925" s="551"/>
      <c r="CX925" s="551"/>
      <c r="CY925" s="551"/>
      <c r="CZ925" s="551"/>
      <c r="DA925" s="551"/>
      <c r="DB925" s="551"/>
      <c r="DC925" s="551"/>
      <c r="DD925" s="551"/>
      <c r="DE925" s="551"/>
      <c r="DF925" s="551"/>
    </row>
    <row r="926" spans="1:110" s="565" customFormat="1" ht="30" hidden="1" customHeight="1" x14ac:dyDescent="0.25">
      <c r="A926" s="2162">
        <v>14</v>
      </c>
      <c r="B926" s="2287"/>
      <c r="C926" s="2288"/>
      <c r="D926" s="2288"/>
      <c r="E926" s="2289"/>
      <c r="F926" s="1455" t="s">
        <v>1646</v>
      </c>
      <c r="G926" s="1427" t="s">
        <v>1844</v>
      </c>
      <c r="H926" s="1300"/>
      <c r="I926" s="65">
        <f>I920</f>
        <v>72.164000000000001</v>
      </c>
      <c r="J926" s="1426">
        <f t="shared" si="21"/>
        <v>0</v>
      </c>
      <c r="K926" s="555"/>
      <c r="L926" s="987"/>
      <c r="M926" s="987"/>
      <c r="N926" s="568"/>
      <c r="O926" s="604"/>
      <c r="AC926" s="551"/>
      <c r="AD926" s="551"/>
      <c r="AE926" s="551"/>
      <c r="AF926" s="551"/>
      <c r="AG926" s="551"/>
      <c r="AH926" s="551"/>
      <c r="AI926" s="551"/>
      <c r="AJ926" s="551"/>
      <c r="AK926" s="551"/>
      <c r="AL926" s="551"/>
      <c r="AM926" s="551"/>
      <c r="AN926" s="551"/>
      <c r="AO926" s="551"/>
      <c r="AP926" s="551"/>
      <c r="AQ926" s="551"/>
      <c r="AR926" s="551"/>
      <c r="AS926" s="551"/>
      <c r="AT926" s="551"/>
      <c r="AU926" s="551"/>
      <c r="AV926" s="551"/>
      <c r="AW926" s="551"/>
      <c r="AX926" s="551"/>
      <c r="AY926" s="551"/>
      <c r="AZ926" s="551"/>
      <c r="BA926" s="551"/>
      <c r="BB926" s="551"/>
      <c r="BC926" s="551"/>
      <c r="BD926" s="551"/>
      <c r="BE926" s="551"/>
      <c r="BF926" s="551"/>
      <c r="BG926" s="551"/>
      <c r="BH926" s="551"/>
      <c r="BI926" s="551"/>
      <c r="BJ926" s="551"/>
      <c r="BK926" s="551"/>
      <c r="BL926" s="551"/>
      <c r="BM926" s="551"/>
      <c r="BN926" s="551"/>
      <c r="BO926" s="551"/>
      <c r="BP926" s="551"/>
      <c r="BQ926" s="551"/>
      <c r="BR926" s="551"/>
      <c r="BS926" s="551"/>
      <c r="BT926" s="551"/>
      <c r="BU926" s="551"/>
      <c r="BV926" s="551"/>
      <c r="BW926" s="551"/>
      <c r="BX926" s="551"/>
      <c r="BY926" s="551"/>
      <c r="BZ926" s="551"/>
      <c r="CA926" s="551"/>
      <c r="CB926" s="551"/>
      <c r="CC926" s="551"/>
      <c r="CD926" s="551"/>
      <c r="CE926" s="551"/>
      <c r="CF926" s="551"/>
      <c r="CG926" s="551"/>
      <c r="CH926" s="551"/>
      <c r="CI926" s="551"/>
      <c r="CJ926" s="551"/>
      <c r="CK926" s="551"/>
      <c r="CL926" s="551"/>
      <c r="CM926" s="551"/>
      <c r="CN926" s="551"/>
      <c r="CO926" s="551"/>
      <c r="CP926" s="551"/>
      <c r="CQ926" s="551"/>
      <c r="CR926" s="551"/>
      <c r="CS926" s="551"/>
      <c r="CT926" s="551"/>
      <c r="CU926" s="551"/>
      <c r="CV926" s="551"/>
      <c r="CW926" s="551"/>
      <c r="CX926" s="551"/>
      <c r="CY926" s="551"/>
      <c r="CZ926" s="551"/>
      <c r="DA926" s="551"/>
      <c r="DB926" s="551"/>
      <c r="DC926" s="551"/>
      <c r="DD926" s="551"/>
      <c r="DE926" s="551"/>
      <c r="DF926" s="551"/>
    </row>
    <row r="927" spans="1:110" s="565" customFormat="1" ht="15" customHeight="1" x14ac:dyDescent="0.25">
      <c r="A927" s="2069" t="s">
        <v>39</v>
      </c>
      <c r="B927" s="2069"/>
      <c r="C927" s="2069"/>
      <c r="D927" s="2069"/>
      <c r="E927" s="2069"/>
      <c r="F927" s="2069"/>
      <c r="G927" s="2367"/>
      <c r="H927" s="1192" t="s">
        <v>82</v>
      </c>
      <c r="I927" s="1192" t="s">
        <v>82</v>
      </c>
      <c r="J927" s="1192">
        <f>SUM(J912:J926)</f>
        <v>960844.08</v>
      </c>
      <c r="K927" s="564">
        <v>0</v>
      </c>
      <c r="L927" s="739">
        <f>J927-K927</f>
        <v>960844.08</v>
      </c>
      <c r="M927" s="1298"/>
      <c r="N927" s="1236"/>
      <c r="O927" s="1046"/>
      <c r="AC927" s="551"/>
      <c r="AD927" s="551"/>
      <c r="AE927" s="551"/>
      <c r="AF927" s="551"/>
      <c r="AG927" s="551"/>
      <c r="AH927" s="551"/>
      <c r="AI927" s="551"/>
      <c r="AJ927" s="551"/>
      <c r="AK927" s="551"/>
      <c r="AL927" s="551"/>
      <c r="AM927" s="551"/>
      <c r="AN927" s="551"/>
      <c r="AO927" s="551"/>
      <c r="AP927" s="551"/>
      <c r="AQ927" s="551"/>
      <c r="AR927" s="551"/>
      <c r="AS927" s="551"/>
      <c r="AT927" s="551"/>
      <c r="AU927" s="551"/>
      <c r="AV927" s="551"/>
      <c r="AW927" s="551"/>
      <c r="AX927" s="551"/>
      <c r="AY927" s="551"/>
      <c r="AZ927" s="551"/>
      <c r="BA927" s="551"/>
      <c r="BB927" s="551"/>
      <c r="BC927" s="551"/>
      <c r="BD927" s="551"/>
      <c r="BE927" s="551"/>
      <c r="BF927" s="551"/>
      <c r="BG927" s="551"/>
      <c r="BH927" s="551"/>
      <c r="BI927" s="551"/>
      <c r="BJ927" s="551"/>
      <c r="BK927" s="551"/>
      <c r="BL927" s="551"/>
      <c r="BM927" s="551"/>
      <c r="BN927" s="551"/>
      <c r="BO927" s="551"/>
      <c r="BP927" s="551"/>
      <c r="BQ927" s="551"/>
      <c r="BR927" s="551"/>
      <c r="BS927" s="551"/>
      <c r="BT927" s="551"/>
      <c r="BU927" s="551"/>
      <c r="BV927" s="551"/>
      <c r="BW927" s="551"/>
      <c r="BX927" s="551"/>
      <c r="BY927" s="551"/>
      <c r="BZ927" s="551"/>
      <c r="CA927" s="551"/>
      <c r="CB927" s="551"/>
      <c r="CC927" s="551"/>
      <c r="CD927" s="551"/>
      <c r="CE927" s="551"/>
      <c r="CF927" s="551"/>
      <c r="CG927" s="551"/>
      <c r="CH927" s="551"/>
      <c r="CI927" s="551"/>
      <c r="CJ927" s="551"/>
      <c r="CK927" s="551"/>
      <c r="CL927" s="551"/>
      <c r="CM927" s="551"/>
      <c r="CN927" s="551"/>
      <c r="CO927" s="551"/>
      <c r="CP927" s="551"/>
      <c r="CQ927" s="551"/>
      <c r="CR927" s="551"/>
      <c r="CS927" s="551"/>
      <c r="CT927" s="551"/>
      <c r="CU927" s="551"/>
      <c r="CV927" s="551"/>
      <c r="CW927" s="551"/>
      <c r="CX927" s="551"/>
      <c r="CY927" s="551"/>
      <c r="CZ927" s="551"/>
      <c r="DA927" s="551"/>
      <c r="DB927" s="551"/>
      <c r="DC927" s="551"/>
      <c r="DD927" s="551"/>
      <c r="DE927" s="551"/>
      <c r="DF927" s="551"/>
    </row>
    <row r="928" spans="1:110" s="61" customFormat="1" x14ac:dyDescent="0.25">
      <c r="A928" s="1198"/>
      <c r="B928" s="779"/>
      <c r="C928" s="779"/>
      <c r="D928" s="779"/>
      <c r="E928" s="779"/>
      <c r="F928" s="779"/>
      <c r="G928" s="779"/>
      <c r="H928" s="779"/>
      <c r="I928" s="779"/>
      <c r="J928" s="782"/>
      <c r="K928" s="835"/>
      <c r="L928" s="855"/>
      <c r="M928" s="70"/>
      <c r="N928" s="354"/>
      <c r="O928" s="354"/>
    </row>
    <row r="929" spans="1:15" s="61" customFormat="1" ht="15" customHeight="1" x14ac:dyDescent="0.25">
      <c r="A929" s="1898" t="s">
        <v>8</v>
      </c>
      <c r="B929" s="1898" t="s">
        <v>35</v>
      </c>
      <c r="C929" s="1898"/>
      <c r="D929" s="1898"/>
      <c r="E929" s="1898"/>
      <c r="F929" s="1898" t="s">
        <v>272</v>
      </c>
      <c r="G929" s="2184" t="s">
        <v>2048</v>
      </c>
      <c r="H929" s="2279"/>
      <c r="I929" s="2279"/>
      <c r="J929" s="2280"/>
      <c r="K929" s="835"/>
      <c r="L929" s="855"/>
      <c r="M929" s="70"/>
      <c r="N929" s="354"/>
      <c r="O929" s="354"/>
    </row>
    <row r="930" spans="1:15" s="61" customFormat="1" ht="45" x14ac:dyDescent="0.25">
      <c r="A930" s="1898"/>
      <c r="B930" s="1898"/>
      <c r="C930" s="1898"/>
      <c r="D930" s="1898"/>
      <c r="E930" s="1898"/>
      <c r="F930" s="1898"/>
      <c r="G930" s="1405" t="s">
        <v>515</v>
      </c>
      <c r="H930" s="1405" t="s">
        <v>55</v>
      </c>
      <c r="I930" s="1404" t="s">
        <v>265</v>
      </c>
      <c r="J930" s="1404" t="s">
        <v>256</v>
      </c>
      <c r="K930" s="354"/>
      <c r="L930" s="87"/>
      <c r="M930" s="354"/>
      <c r="N930" s="354"/>
      <c r="O930" s="354"/>
    </row>
    <row r="931" spans="1:15" s="61" customFormat="1" ht="30" x14ac:dyDescent="0.25">
      <c r="A931" s="2042">
        <v>5</v>
      </c>
      <c r="B931" s="1953" t="s">
        <v>59</v>
      </c>
      <c r="C931" s="2359"/>
      <c r="D931" s="2359"/>
      <c r="E931" s="2359"/>
      <c r="F931" s="1175" t="s">
        <v>1646</v>
      </c>
      <c r="G931" s="1552" t="s">
        <v>2062</v>
      </c>
      <c r="H931" s="1363">
        <v>355</v>
      </c>
      <c r="I931" s="1400">
        <v>61.223999999999997</v>
      </c>
      <c r="J931" s="1363">
        <f>H931*I931</f>
        <v>21734.52</v>
      </c>
      <c r="K931" s="87"/>
      <c r="L931" s="1044" t="s">
        <v>1486</v>
      </c>
      <c r="M931" s="174">
        <v>0</v>
      </c>
      <c r="N931" s="354"/>
      <c r="O931" s="354"/>
    </row>
    <row r="932" spans="1:15" s="61" customFormat="1" ht="30" customHeight="1" x14ac:dyDescent="0.25">
      <c r="A932" s="2042"/>
      <c r="B932" s="2359"/>
      <c r="C932" s="2359"/>
      <c r="D932" s="2359"/>
      <c r="E932" s="2359"/>
      <c r="F932" s="1175" t="s">
        <v>1646</v>
      </c>
      <c r="G932" s="1552" t="s">
        <v>2063</v>
      </c>
      <c r="H932" s="1363">
        <v>1590</v>
      </c>
      <c r="I932" s="1400">
        <v>61.223999999999997</v>
      </c>
      <c r="J932" s="1363">
        <f t="shared" ref="J932:J933" si="22">H932*I932</f>
        <v>97346.16</v>
      </c>
      <c r="K932" s="87"/>
      <c r="L932" s="990"/>
      <c r="M932" s="354"/>
      <c r="N932" s="354"/>
      <c r="O932" s="354"/>
    </row>
    <row r="933" spans="1:15" s="61" customFormat="1" ht="30" hidden="1" customHeight="1" x14ac:dyDescent="0.25">
      <c r="A933" s="2043"/>
      <c r="B933" s="2359"/>
      <c r="C933" s="2359"/>
      <c r="D933" s="2359"/>
      <c r="E933" s="2359"/>
      <c r="F933" s="1175" t="s">
        <v>1646</v>
      </c>
      <c r="G933" s="1392" t="s">
        <v>1844</v>
      </c>
      <c r="H933" s="1363"/>
      <c r="I933" s="1368">
        <v>67.346000000000004</v>
      </c>
      <c r="J933" s="1363">
        <f t="shared" si="22"/>
        <v>0</v>
      </c>
      <c r="K933" s="87"/>
      <c r="L933" s="990"/>
      <c r="M933" s="722"/>
      <c r="N933" s="354"/>
      <c r="O933" s="354"/>
    </row>
    <row r="934" spans="1:15" s="61" customFormat="1" ht="30" customHeight="1" x14ac:dyDescent="0.25">
      <c r="A934" s="2042">
        <v>6</v>
      </c>
      <c r="B934" s="1953" t="s">
        <v>84</v>
      </c>
      <c r="C934" s="2359"/>
      <c r="D934" s="2359"/>
      <c r="E934" s="2359"/>
      <c r="F934" s="1175" t="s">
        <v>1679</v>
      </c>
      <c r="G934" s="1552" t="s">
        <v>2062</v>
      </c>
      <c r="H934" s="1363">
        <v>32</v>
      </c>
      <c r="I934" s="1368">
        <v>2365.788</v>
      </c>
      <c r="J934" s="1363">
        <f>H934*I934</f>
        <v>75705.22</v>
      </c>
      <c r="K934" s="354"/>
      <c r="L934" s="1196"/>
      <c r="M934" s="722"/>
      <c r="N934" s="722"/>
      <c r="O934" s="354"/>
    </row>
    <row r="935" spans="1:15" s="61" customFormat="1" ht="30" customHeight="1" x14ac:dyDescent="0.25">
      <c r="A935" s="2042"/>
      <c r="B935" s="2359"/>
      <c r="C935" s="2359"/>
      <c r="D935" s="2359"/>
      <c r="E935" s="2359"/>
      <c r="F935" s="1175" t="s">
        <v>1679</v>
      </c>
      <c r="G935" s="1552" t="s">
        <v>2063</v>
      </c>
      <c r="H935" s="1363">
        <v>165</v>
      </c>
      <c r="I935" s="1368">
        <v>2365.788</v>
      </c>
      <c r="J935" s="1363">
        <f t="shared" ref="J935:J936" si="23">H935*I935</f>
        <v>390355.02</v>
      </c>
      <c r="K935" s="354"/>
      <c r="L935" s="1196"/>
      <c r="M935" s="722"/>
      <c r="N935" s="722"/>
      <c r="O935" s="354"/>
    </row>
    <row r="936" spans="1:15" s="61" customFormat="1" ht="30" hidden="1" customHeight="1" x14ac:dyDescent="0.25">
      <c r="A936" s="2043"/>
      <c r="B936" s="2359"/>
      <c r="C936" s="2359"/>
      <c r="D936" s="2359"/>
      <c r="E936" s="2359"/>
      <c r="F936" s="1175" t="s">
        <v>1679</v>
      </c>
      <c r="G936" s="1392" t="s">
        <v>1844</v>
      </c>
      <c r="H936" s="1363"/>
      <c r="I936" s="1368">
        <v>2602.3670000000002</v>
      </c>
      <c r="J936" s="1363">
        <f t="shared" si="23"/>
        <v>0</v>
      </c>
      <c r="K936" s="354"/>
      <c r="L936" s="1196"/>
      <c r="M936" s="722"/>
      <c r="N936" s="722"/>
      <c r="O936" s="354"/>
    </row>
    <row r="937" spans="1:15" s="61" customFormat="1" ht="15" customHeight="1" x14ac:dyDescent="0.25">
      <c r="A937" s="2035" t="s">
        <v>39</v>
      </c>
      <c r="B937" s="2035"/>
      <c r="C937" s="2035"/>
      <c r="D937" s="2035"/>
      <c r="E937" s="2035"/>
      <c r="F937" s="2035"/>
      <c r="G937" s="2035"/>
      <c r="H937" s="2035"/>
      <c r="I937" s="2035"/>
      <c r="J937" s="1369">
        <f>SUM(J931:J936)</f>
        <v>585140.92000000004</v>
      </c>
      <c r="K937" s="344">
        <v>0</v>
      </c>
      <c r="L937" s="849">
        <f>J937-K937</f>
        <v>585140.92000000004</v>
      </c>
      <c r="M937" s="1302"/>
      <c r="N937" s="340"/>
      <c r="O937" s="1047"/>
    </row>
    <row r="938" spans="1:15" s="61" customFormat="1" hidden="1" x14ac:dyDescent="0.25">
      <c r="A938" s="2264" t="s">
        <v>514</v>
      </c>
      <c r="B938" s="2265"/>
      <c r="C938" s="2265"/>
      <c r="D938" s="2265"/>
      <c r="E938" s="2265"/>
      <c r="F938" s="2265"/>
      <c r="G938" s="2265"/>
      <c r="H938" s="2265"/>
      <c r="I938" s="2265"/>
      <c r="J938" s="2265"/>
      <c r="K938" s="87"/>
      <c r="L938" s="87"/>
      <c r="M938" s="354"/>
      <c r="N938" s="354"/>
      <c r="O938" s="1048"/>
    </row>
    <row r="939" spans="1:15" s="61" customFormat="1" hidden="1" x14ac:dyDescent="0.25">
      <c r="A939" s="2266" t="s">
        <v>1134</v>
      </c>
      <c r="B939" s="2266"/>
      <c r="C939" s="2266"/>
      <c r="D939" s="2266"/>
      <c r="E939" s="2266"/>
      <c r="F939" s="2266"/>
      <c r="G939" s="2266"/>
      <c r="H939" s="2266"/>
      <c r="I939" s="2266"/>
      <c r="J939" s="1403">
        <v>0</v>
      </c>
      <c r="K939" s="344"/>
      <c r="L939" s="849"/>
      <c r="M939" s="70"/>
      <c r="N939" s="354"/>
      <c r="O939" s="354"/>
    </row>
    <row r="940" spans="1:15" s="61" customFormat="1" hidden="1" x14ac:dyDescent="0.25">
      <c r="A940" s="2266" t="s">
        <v>153</v>
      </c>
      <c r="B940" s="2266"/>
      <c r="C940" s="2266"/>
      <c r="D940" s="2266"/>
      <c r="E940" s="2266"/>
      <c r="F940" s="2266"/>
      <c r="G940" s="2266"/>
      <c r="H940" s="2266"/>
      <c r="I940" s="2266"/>
      <c r="J940" s="724">
        <f>76383.19+297762.15+73363.12</f>
        <v>447508.46</v>
      </c>
      <c r="M940" s="70"/>
      <c r="N940" s="354"/>
      <c r="O940" s="354"/>
    </row>
    <row r="941" spans="1:15" s="61" customFormat="1" hidden="1" x14ac:dyDescent="0.25">
      <c r="A941" s="2258" t="s">
        <v>619</v>
      </c>
      <c r="B941" s="2258"/>
      <c r="C941" s="2258"/>
      <c r="D941" s="2258"/>
      <c r="E941" s="2258"/>
      <c r="F941" s="2258"/>
      <c r="G941" s="2258"/>
      <c r="H941" s="2258"/>
      <c r="I941" s="2258"/>
      <c r="J941" s="988"/>
      <c r="K941" s="344"/>
      <c r="L941" s="849"/>
      <c r="M941" s="70"/>
      <c r="N941" s="354"/>
      <c r="O941" s="354"/>
    </row>
    <row r="942" spans="1:15" s="61" customFormat="1" ht="15" hidden="1" customHeight="1" x14ac:dyDescent="0.25">
      <c r="A942" s="2258" t="s">
        <v>1147</v>
      </c>
      <c r="B942" s="2258"/>
      <c r="C942" s="2258"/>
      <c r="D942" s="2258"/>
      <c r="E942" s="2258"/>
      <c r="F942" s="2258"/>
      <c r="G942" s="2258"/>
      <c r="H942" s="2258"/>
      <c r="I942" s="2258"/>
      <c r="J942" s="360"/>
      <c r="K942" s="87"/>
      <c r="L942" s="87"/>
      <c r="M942" s="70"/>
      <c r="N942" s="354"/>
      <c r="O942" s="354"/>
    </row>
    <row r="943" spans="1:15" s="61" customFormat="1" ht="15" customHeight="1" x14ac:dyDescent="0.25">
      <c r="A943" s="721"/>
      <c r="B943" s="719"/>
      <c r="C943" s="719"/>
      <c r="D943" s="719"/>
      <c r="E943" s="719"/>
      <c r="F943" s="719"/>
      <c r="G943" s="719"/>
      <c r="H943" s="719"/>
      <c r="I943" s="719"/>
      <c r="J943" s="720"/>
      <c r="K943" s="87"/>
      <c r="L943" s="87"/>
      <c r="M943" s="354"/>
      <c r="N943" s="354"/>
      <c r="O943" s="354"/>
    </row>
    <row r="944" spans="1:15" s="61" customFormat="1" ht="30" hidden="1" x14ac:dyDescent="0.25">
      <c r="A944" s="1447">
        <v>9</v>
      </c>
      <c r="B944" s="2283" t="s">
        <v>1266</v>
      </c>
      <c r="C944" s="2219"/>
      <c r="D944" s="2219"/>
      <c r="E944" s="2219"/>
      <c r="F944" s="1128" t="s">
        <v>1679</v>
      </c>
      <c r="G944" s="1417" t="s">
        <v>1645</v>
      </c>
      <c r="H944" s="1176"/>
      <c r="I944" s="736">
        <v>2158.5720000000001</v>
      </c>
      <c r="J944" s="1434">
        <f>H944*I944</f>
        <v>0</v>
      </c>
      <c r="K944" s="87"/>
      <c r="L944" s="87"/>
      <c r="M944" s="1048"/>
      <c r="N944" s="354"/>
      <c r="O944" s="354"/>
    </row>
    <row r="945" spans="1:28" s="61" customFormat="1" ht="15" hidden="1" customHeight="1" x14ac:dyDescent="0.25">
      <c r="A945" s="2284" t="s">
        <v>39</v>
      </c>
      <c r="B945" s="2284"/>
      <c r="C945" s="2284"/>
      <c r="D945" s="2284"/>
      <c r="E945" s="2284"/>
      <c r="F945" s="2284"/>
      <c r="G945" s="2173" t="s">
        <v>82</v>
      </c>
      <c r="H945" s="1191">
        <f>H944</f>
        <v>0</v>
      </c>
      <c r="I945" s="1190" t="s">
        <v>82</v>
      </c>
      <c r="J945" s="1192">
        <f>SUM(J944:J944)</f>
        <v>0</v>
      </c>
      <c r="K945" s="87"/>
      <c r="L945" s="87"/>
      <c r="M945" s="354"/>
      <c r="N945" s="354"/>
      <c r="O945" s="354"/>
    </row>
    <row r="946" spans="1:28" s="61" customFormat="1" ht="15" hidden="1" customHeight="1" x14ac:dyDescent="0.25">
      <c r="A946" s="2264" t="s">
        <v>514</v>
      </c>
      <c r="B946" s="2265"/>
      <c r="C946" s="2265"/>
      <c r="D946" s="2265"/>
      <c r="E946" s="2265"/>
      <c r="F946" s="2265"/>
      <c r="G946" s="2265"/>
      <c r="H946" s="2265"/>
      <c r="I946" s="2265"/>
      <c r="J946" s="2265"/>
      <c r="K946" s="87"/>
      <c r="L946" s="87"/>
      <c r="M946" s="354"/>
      <c r="N946" s="354"/>
      <c r="O946" s="354"/>
    </row>
    <row r="947" spans="1:28" s="61" customFormat="1" ht="15" hidden="1" customHeight="1" x14ac:dyDescent="0.25">
      <c r="A947" s="2266" t="s">
        <v>1134</v>
      </c>
      <c r="B947" s="2266"/>
      <c r="C947" s="2266"/>
      <c r="D947" s="2266"/>
      <c r="E947" s="2266"/>
      <c r="F947" s="2266"/>
      <c r="G947" s="2266"/>
      <c r="H947" s="2266"/>
      <c r="I947" s="2266"/>
      <c r="J947" s="1435">
        <v>0</v>
      </c>
      <c r="K947" s="87"/>
      <c r="L947" s="87"/>
      <c r="M947" s="354"/>
      <c r="N947" s="354"/>
      <c r="O947" s="354"/>
    </row>
    <row r="948" spans="1:28" s="61" customFormat="1" ht="15" hidden="1" customHeight="1" x14ac:dyDescent="0.25">
      <c r="A948" s="2369" t="s">
        <v>153</v>
      </c>
      <c r="B948" s="2369"/>
      <c r="C948" s="2369"/>
      <c r="D948" s="2369"/>
      <c r="E948" s="2369"/>
      <c r="F948" s="2369"/>
      <c r="G948" s="2369"/>
      <c r="H948" s="2369"/>
      <c r="I948" s="2369"/>
      <c r="J948" s="1420">
        <v>321951.49</v>
      </c>
      <c r="K948" s="87"/>
      <c r="L948" s="354"/>
      <c r="M948" s="354"/>
      <c r="N948" s="354"/>
      <c r="O948" s="354"/>
    </row>
    <row r="949" spans="1:28" s="61" customFormat="1" ht="15" hidden="1" customHeight="1" x14ac:dyDescent="0.25">
      <c r="A949" s="1242"/>
      <c r="B949" s="657"/>
      <c r="C949" s="657"/>
      <c r="D949" s="657"/>
      <c r="E949" s="657"/>
      <c r="F949" s="657"/>
      <c r="G949" s="657"/>
      <c r="H949" s="657"/>
      <c r="I949" s="657"/>
      <c r="J949" s="559"/>
      <c r="K949" s="87"/>
      <c r="L949" s="354"/>
      <c r="M949" s="354"/>
      <c r="N949" s="354"/>
      <c r="O949" s="354"/>
    </row>
    <row r="950" spans="1:28" ht="23.25" x14ac:dyDescent="0.25">
      <c r="A950" s="2370" t="s">
        <v>118</v>
      </c>
      <c r="B950" s="2370"/>
      <c r="C950" s="2370"/>
      <c r="D950" s="2370"/>
      <c r="E950" s="2370"/>
      <c r="F950" s="2370"/>
      <c r="G950" s="2370"/>
      <c r="H950" s="2370"/>
      <c r="I950" s="2370"/>
      <c r="J950" s="737">
        <f>J937+J927+J903+J891+J878+J855+J759+J748+J731+J718+J688+J655+J617+J605+J579+J571+J562+J554+J545+J536+J530+J524+J515+J506+J483+J470+J464+J444+J424+J410+J396+J389+J377+J366+J345+J333+J327+J321+J314+J304+J272+J261+J246+J234+J205+J191+J173+J164+J153+J143+J117+J98+J75+J67+J57+J44+J866</f>
        <v>435082978.01999998</v>
      </c>
      <c r="K950" s="552" t="b">
        <f>J950=J7</f>
        <v>1</v>
      </c>
      <c r="L950" s="552">
        <f>J7</f>
        <v>435082978.01999998</v>
      </c>
      <c r="M950" s="1203">
        <f>L950-J950</f>
        <v>0</v>
      </c>
      <c r="N950" s="551"/>
      <c r="O950" s="551"/>
      <c r="P950" s="551"/>
      <c r="Q950" s="551"/>
      <c r="R950" s="551"/>
      <c r="S950" s="551"/>
      <c r="T950" s="551"/>
      <c r="U950" s="551"/>
      <c r="V950" s="551"/>
      <c r="W950" s="551"/>
      <c r="X950" s="551"/>
      <c r="Y950" s="551"/>
      <c r="Z950" s="551"/>
      <c r="AA950" s="551"/>
      <c r="AB950" s="551"/>
    </row>
    <row r="951" spans="1:28" x14ac:dyDescent="0.25">
      <c r="K951" s="565"/>
      <c r="M951" s="551"/>
      <c r="N951" s="551"/>
      <c r="O951" s="551"/>
      <c r="P951" s="551"/>
      <c r="Q951" s="551"/>
      <c r="R951" s="551"/>
      <c r="S951" s="551"/>
      <c r="T951" s="551"/>
      <c r="U951" s="551"/>
      <c r="V951" s="551"/>
      <c r="W951" s="551"/>
      <c r="X951" s="551"/>
      <c r="Y951" s="551"/>
      <c r="Z951" s="551"/>
      <c r="AA951" s="551"/>
      <c r="AB951" s="551"/>
    </row>
    <row r="952" spans="1:28" x14ac:dyDescent="0.25">
      <c r="A952" s="738" t="s">
        <v>610</v>
      </c>
      <c r="I952" s="2368" t="s">
        <v>357</v>
      </c>
      <c r="J952" s="2368"/>
      <c r="K952" s="610"/>
      <c r="M952" s="551"/>
      <c r="N952" s="551"/>
      <c r="O952" s="551"/>
      <c r="P952" s="551"/>
      <c r="Q952" s="551"/>
      <c r="R952" s="551"/>
      <c r="S952" s="551"/>
      <c r="T952" s="551"/>
      <c r="U952" s="551"/>
      <c r="V952" s="551"/>
      <c r="W952" s="551"/>
      <c r="X952" s="551"/>
      <c r="Y952" s="551"/>
      <c r="Z952" s="551"/>
      <c r="AA952" s="551"/>
      <c r="AB952" s="551"/>
    </row>
    <row r="953" spans="1:28" x14ac:dyDescent="0.25">
      <c r="A953" s="738"/>
      <c r="J953" s="742"/>
      <c r="K953" s="565"/>
      <c r="L953" s="551"/>
      <c r="M953" s="551"/>
      <c r="N953" s="551"/>
      <c r="O953" s="551"/>
      <c r="P953" s="551"/>
      <c r="Q953" s="551"/>
      <c r="R953" s="551"/>
      <c r="S953" s="551"/>
      <c r="T953" s="551"/>
      <c r="U953" s="551"/>
      <c r="V953" s="551"/>
      <c r="W953" s="551"/>
      <c r="X953" s="551"/>
      <c r="Y953" s="551"/>
      <c r="Z953" s="551"/>
      <c r="AA953" s="551"/>
      <c r="AB953" s="551"/>
    </row>
    <row r="954" spans="1:28" x14ac:dyDescent="0.25">
      <c r="A954" s="738" t="s">
        <v>156</v>
      </c>
      <c r="I954" s="1936" t="s">
        <v>729</v>
      </c>
      <c r="J954" s="1936"/>
      <c r="K954" s="551"/>
      <c r="L954" s="551"/>
      <c r="M954" s="551"/>
      <c r="N954" s="551"/>
      <c r="O954" s="551"/>
      <c r="P954" s="551"/>
      <c r="Q954" s="551"/>
      <c r="R954" s="551"/>
      <c r="S954" s="551"/>
      <c r="T954" s="551"/>
      <c r="U954" s="551"/>
      <c r="V954" s="551"/>
      <c r="W954" s="551"/>
      <c r="X954" s="551"/>
      <c r="Y954" s="551"/>
      <c r="Z954" s="551"/>
      <c r="AA954" s="551"/>
      <c r="AB954" s="551"/>
    </row>
    <row r="955" spans="1:28" x14ac:dyDescent="0.25">
      <c r="A955" s="738"/>
      <c r="J955" s="1414"/>
      <c r="K955" s="551"/>
      <c r="L955" s="551"/>
      <c r="M955" s="551"/>
      <c r="N955" s="551"/>
      <c r="O955" s="551"/>
      <c r="P955" s="551"/>
      <c r="Q955" s="551"/>
      <c r="R955" s="551"/>
      <c r="S955" s="551"/>
      <c r="T955" s="551"/>
      <c r="U955" s="551"/>
      <c r="V955" s="551"/>
      <c r="W955" s="551"/>
      <c r="X955" s="551"/>
      <c r="Y955" s="551"/>
      <c r="Z955" s="551"/>
      <c r="AA955" s="551"/>
      <c r="AB955" s="551"/>
    </row>
    <row r="956" spans="1:28" x14ac:dyDescent="0.25">
      <c r="A956" s="738" t="s">
        <v>117</v>
      </c>
      <c r="J956" s="1414"/>
      <c r="K956" s="551"/>
      <c r="L956" s="551"/>
      <c r="M956" s="551"/>
      <c r="N956" s="551"/>
      <c r="O956" s="551"/>
      <c r="P956" s="551"/>
      <c r="Q956" s="551"/>
      <c r="R956" s="551"/>
      <c r="S956" s="551"/>
      <c r="T956" s="551"/>
      <c r="U956" s="551"/>
      <c r="V956" s="551"/>
      <c r="W956" s="551"/>
      <c r="X956" s="551"/>
      <c r="Y956" s="551"/>
      <c r="Z956" s="551"/>
      <c r="AA956" s="551"/>
      <c r="AB956" s="551"/>
    </row>
    <row r="957" spans="1:28" ht="15" customHeight="1" x14ac:dyDescent="0.25">
      <c r="A957" s="738" t="s">
        <v>1681</v>
      </c>
      <c r="I957" s="2368" t="s">
        <v>243</v>
      </c>
      <c r="J957" s="2368"/>
      <c r="K957" s="551"/>
      <c r="L957" s="551"/>
      <c r="M957" s="551"/>
      <c r="N957" s="551"/>
      <c r="O957" s="551"/>
      <c r="P957" s="551"/>
      <c r="Q957" s="551"/>
      <c r="R957" s="551"/>
      <c r="S957" s="551"/>
      <c r="T957" s="551"/>
      <c r="U957" s="551"/>
      <c r="V957" s="551"/>
      <c r="W957" s="551"/>
      <c r="X957" s="551"/>
      <c r="Y957" s="551"/>
      <c r="Z957" s="551"/>
      <c r="AA957" s="551"/>
      <c r="AB957" s="551"/>
    </row>
  </sheetData>
  <sheetProtection insertRows="0" deleteRows="0" autoFilter="0"/>
  <dataConsolidate link="1"/>
  <mergeCells count="796">
    <mergeCell ref="I957:J957"/>
    <mergeCell ref="A946:J946"/>
    <mergeCell ref="A947:I947"/>
    <mergeCell ref="A948:I948"/>
    <mergeCell ref="A950:I950"/>
    <mergeCell ref="I952:J952"/>
    <mergeCell ref="I954:J954"/>
    <mergeCell ref="A939:I939"/>
    <mergeCell ref="A940:I940"/>
    <mergeCell ref="A941:I941"/>
    <mergeCell ref="A942:I942"/>
    <mergeCell ref="B944:E944"/>
    <mergeCell ref="A945:G945"/>
    <mergeCell ref="A934:A936"/>
    <mergeCell ref="B934:E936"/>
    <mergeCell ref="A937:I937"/>
    <mergeCell ref="A938:J938"/>
    <mergeCell ref="A923:A924"/>
    <mergeCell ref="B923:E924"/>
    <mergeCell ref="A925:A926"/>
    <mergeCell ref="B925:E926"/>
    <mergeCell ref="A927:G927"/>
    <mergeCell ref="A929:A930"/>
    <mergeCell ref="B929:E930"/>
    <mergeCell ref="F929:F930"/>
    <mergeCell ref="G929:J929"/>
    <mergeCell ref="A917:A918"/>
    <mergeCell ref="B917:E918"/>
    <mergeCell ref="A919:A920"/>
    <mergeCell ref="B919:E920"/>
    <mergeCell ref="A921:A922"/>
    <mergeCell ref="B921:E922"/>
    <mergeCell ref="A910:A911"/>
    <mergeCell ref="B910:E911"/>
    <mergeCell ref="A931:A933"/>
    <mergeCell ref="B931:E933"/>
    <mergeCell ref="F910:F911"/>
    <mergeCell ref="G910:J910"/>
    <mergeCell ref="A912:A916"/>
    <mergeCell ref="B912:E912"/>
    <mergeCell ref="G912:G916"/>
    <mergeCell ref="B913:E913"/>
    <mergeCell ref="B914:E914"/>
    <mergeCell ref="B915:E915"/>
    <mergeCell ref="A903:I903"/>
    <mergeCell ref="A904:J904"/>
    <mergeCell ref="A905:I905"/>
    <mergeCell ref="A906:I906"/>
    <mergeCell ref="A907:I907"/>
    <mergeCell ref="A908:I908"/>
    <mergeCell ref="B916:E916"/>
    <mergeCell ref="A898:A899"/>
    <mergeCell ref="B898:E899"/>
    <mergeCell ref="F898:F899"/>
    <mergeCell ref="G898:J898"/>
    <mergeCell ref="A900:A902"/>
    <mergeCell ref="B900:E902"/>
    <mergeCell ref="A891:I891"/>
    <mergeCell ref="A892:J892"/>
    <mergeCell ref="A893:I893"/>
    <mergeCell ref="A894:I894"/>
    <mergeCell ref="A895:I895"/>
    <mergeCell ref="A896:I896"/>
    <mergeCell ref="A886:A887"/>
    <mergeCell ref="B886:E887"/>
    <mergeCell ref="F886:F887"/>
    <mergeCell ref="G886:J886"/>
    <mergeCell ref="A888:A890"/>
    <mergeCell ref="B888:E890"/>
    <mergeCell ref="B876:F876"/>
    <mergeCell ref="S876:AB876"/>
    <mergeCell ref="B877:F877"/>
    <mergeCell ref="S877:AB877"/>
    <mergeCell ref="A878:G878"/>
    <mergeCell ref="S878:AB878"/>
    <mergeCell ref="B873:F873"/>
    <mergeCell ref="S873:AC873"/>
    <mergeCell ref="B874:F874"/>
    <mergeCell ref="T874:Y874"/>
    <mergeCell ref="B875:F875"/>
    <mergeCell ref="T875:Y875"/>
    <mergeCell ref="S870:AB870"/>
    <mergeCell ref="A871:A872"/>
    <mergeCell ref="B871:F872"/>
    <mergeCell ref="G871:G872"/>
    <mergeCell ref="H871:J871"/>
    <mergeCell ref="S872:AB872"/>
    <mergeCell ref="T857:Y869"/>
    <mergeCell ref="A861:A862"/>
    <mergeCell ref="B861:F862"/>
    <mergeCell ref="G861:G862"/>
    <mergeCell ref="H861:J861"/>
    <mergeCell ref="A863:J863"/>
    <mergeCell ref="B864:F864"/>
    <mergeCell ref="B865:F865"/>
    <mergeCell ref="A866:G866"/>
    <mergeCell ref="B850:F850"/>
    <mergeCell ref="B851:F851"/>
    <mergeCell ref="B852:F852"/>
    <mergeCell ref="B853:F853"/>
    <mergeCell ref="A855:G855"/>
    <mergeCell ref="S857:S869"/>
    <mergeCell ref="H843:J843"/>
    <mergeCell ref="B845:F845"/>
    <mergeCell ref="B846:F846"/>
    <mergeCell ref="B847:F847"/>
    <mergeCell ref="B848:F848"/>
    <mergeCell ref="B849:F849"/>
    <mergeCell ref="B838:F838"/>
    <mergeCell ref="B839:F839"/>
    <mergeCell ref="A840:G840"/>
    <mergeCell ref="A843:A844"/>
    <mergeCell ref="B843:F844"/>
    <mergeCell ref="G843:G844"/>
    <mergeCell ref="B830:F830"/>
    <mergeCell ref="B831:F831"/>
    <mergeCell ref="B832:F832"/>
    <mergeCell ref="A833:I833"/>
    <mergeCell ref="A836:A837"/>
    <mergeCell ref="B836:F837"/>
    <mergeCell ref="G836:G837"/>
    <mergeCell ref="H836:J836"/>
    <mergeCell ref="B821:F821"/>
    <mergeCell ref="B822:F822"/>
    <mergeCell ref="B823:F823"/>
    <mergeCell ref="B824:F824"/>
    <mergeCell ref="A825:I825"/>
    <mergeCell ref="A828:A829"/>
    <mergeCell ref="B828:F829"/>
    <mergeCell ref="G828:G829"/>
    <mergeCell ref="H828:J828"/>
    <mergeCell ref="B812:F812"/>
    <mergeCell ref="B813:F813"/>
    <mergeCell ref="B814:F814"/>
    <mergeCell ref="B815:F815"/>
    <mergeCell ref="A816:I816"/>
    <mergeCell ref="A819:A820"/>
    <mergeCell ref="B819:F820"/>
    <mergeCell ref="G819:G820"/>
    <mergeCell ref="H819:J819"/>
    <mergeCell ref="B806:F806"/>
    <mergeCell ref="B807:F807"/>
    <mergeCell ref="B808:F808"/>
    <mergeCell ref="B809:F809"/>
    <mergeCell ref="B810:F810"/>
    <mergeCell ref="B811:F811"/>
    <mergeCell ref="B800:F800"/>
    <mergeCell ref="B801:F801"/>
    <mergeCell ref="B802:F802"/>
    <mergeCell ref="B803:F803"/>
    <mergeCell ref="B804:F804"/>
    <mergeCell ref="B805:F805"/>
    <mergeCell ref="B794:F794"/>
    <mergeCell ref="B795:F795"/>
    <mergeCell ref="B796:F796"/>
    <mergeCell ref="B797:F797"/>
    <mergeCell ref="B798:F798"/>
    <mergeCell ref="B799:F799"/>
    <mergeCell ref="B788:F788"/>
    <mergeCell ref="B789:F789"/>
    <mergeCell ref="B790:F790"/>
    <mergeCell ref="B791:F791"/>
    <mergeCell ref="B792:F792"/>
    <mergeCell ref="B793:F793"/>
    <mergeCell ref="B782:F782"/>
    <mergeCell ref="B783:F783"/>
    <mergeCell ref="B784:F784"/>
    <mergeCell ref="B785:F785"/>
    <mergeCell ref="B786:F786"/>
    <mergeCell ref="B787:F787"/>
    <mergeCell ref="B776:F776"/>
    <mergeCell ref="B777:F777"/>
    <mergeCell ref="B778:F778"/>
    <mergeCell ref="B779:F779"/>
    <mergeCell ref="B780:F780"/>
    <mergeCell ref="B781:F781"/>
    <mergeCell ref="B770:F770"/>
    <mergeCell ref="B771:F771"/>
    <mergeCell ref="B772:F772"/>
    <mergeCell ref="B773:F773"/>
    <mergeCell ref="B774:F774"/>
    <mergeCell ref="B775:F775"/>
    <mergeCell ref="B764:F764"/>
    <mergeCell ref="B765:F765"/>
    <mergeCell ref="B766:F766"/>
    <mergeCell ref="B767:F767"/>
    <mergeCell ref="B768:F768"/>
    <mergeCell ref="B769:F769"/>
    <mergeCell ref="A757:I757"/>
    <mergeCell ref="B758:F758"/>
    <mergeCell ref="A759:I759"/>
    <mergeCell ref="A762:A763"/>
    <mergeCell ref="B762:F763"/>
    <mergeCell ref="G762:G763"/>
    <mergeCell ref="H762:J762"/>
    <mergeCell ref="A737:J737"/>
    <mergeCell ref="A748:G748"/>
    <mergeCell ref="A749:I749"/>
    <mergeCell ref="A750:I750"/>
    <mergeCell ref="A755:A756"/>
    <mergeCell ref="B755:F756"/>
    <mergeCell ref="G755:G756"/>
    <mergeCell ref="H755:J755"/>
    <mergeCell ref="B729:F729"/>
    <mergeCell ref="B730:F730"/>
    <mergeCell ref="A731:I731"/>
    <mergeCell ref="A735:A736"/>
    <mergeCell ref="B735:F736"/>
    <mergeCell ref="G735:G736"/>
    <mergeCell ref="H735:J735"/>
    <mergeCell ref="B723:F723"/>
    <mergeCell ref="B724:F724"/>
    <mergeCell ref="B725:F725"/>
    <mergeCell ref="B726:F726"/>
    <mergeCell ref="B727:F727"/>
    <mergeCell ref="B728:F728"/>
    <mergeCell ref="B717:F717"/>
    <mergeCell ref="A718:I718"/>
    <mergeCell ref="A720:J720"/>
    <mergeCell ref="A721:A722"/>
    <mergeCell ref="B721:F722"/>
    <mergeCell ref="G721:J721"/>
    <mergeCell ref="B711:F711"/>
    <mergeCell ref="B712:F712"/>
    <mergeCell ref="B713:F713"/>
    <mergeCell ref="B714:F714"/>
    <mergeCell ref="B715:F715"/>
    <mergeCell ref="B716:F716"/>
    <mergeCell ref="B705:F705"/>
    <mergeCell ref="B706:F706"/>
    <mergeCell ref="B707:F707"/>
    <mergeCell ref="B708:F708"/>
    <mergeCell ref="B709:F709"/>
    <mergeCell ref="B710:F710"/>
    <mergeCell ref="B699:F699"/>
    <mergeCell ref="B700:F700"/>
    <mergeCell ref="B701:F701"/>
    <mergeCell ref="B702:F702"/>
    <mergeCell ref="B703:F703"/>
    <mergeCell ref="B704:F704"/>
    <mergeCell ref="B693:F693"/>
    <mergeCell ref="B694:F694"/>
    <mergeCell ref="B695:F695"/>
    <mergeCell ref="B696:F696"/>
    <mergeCell ref="B697:F697"/>
    <mergeCell ref="B698:F698"/>
    <mergeCell ref="B685:F685"/>
    <mergeCell ref="B686:F686"/>
    <mergeCell ref="B687:F687"/>
    <mergeCell ref="A688:I688"/>
    <mergeCell ref="A690:J690"/>
    <mergeCell ref="A691:A692"/>
    <mergeCell ref="B691:F692"/>
    <mergeCell ref="G691:J691"/>
    <mergeCell ref="B679:F679"/>
    <mergeCell ref="B680:F680"/>
    <mergeCell ref="B681:F681"/>
    <mergeCell ref="B682:F682"/>
    <mergeCell ref="B683:F683"/>
    <mergeCell ref="B684:F684"/>
    <mergeCell ref="H672:J672"/>
    <mergeCell ref="A674:I674"/>
    <mergeCell ref="B675:F675"/>
    <mergeCell ref="B676:F676"/>
    <mergeCell ref="B677:F677"/>
    <mergeCell ref="B678:F678"/>
    <mergeCell ref="B664:F664"/>
    <mergeCell ref="B665:F665"/>
    <mergeCell ref="A666:G666"/>
    <mergeCell ref="A672:A673"/>
    <mergeCell ref="B672:F673"/>
    <mergeCell ref="G672:G673"/>
    <mergeCell ref="A660:A661"/>
    <mergeCell ref="B660:F661"/>
    <mergeCell ref="G660:G661"/>
    <mergeCell ref="H660:J660"/>
    <mergeCell ref="B662:F662"/>
    <mergeCell ref="B663:F663"/>
    <mergeCell ref="B650:F650"/>
    <mergeCell ref="B651:F651"/>
    <mergeCell ref="B652:F652"/>
    <mergeCell ref="B653:F653"/>
    <mergeCell ref="B654:F654"/>
    <mergeCell ref="A655:G655"/>
    <mergeCell ref="A641:I641"/>
    <mergeCell ref="A647:A648"/>
    <mergeCell ref="B647:F648"/>
    <mergeCell ref="G647:G648"/>
    <mergeCell ref="H647:J647"/>
    <mergeCell ref="B649:F649"/>
    <mergeCell ref="B635:F635"/>
    <mergeCell ref="A636:G636"/>
    <mergeCell ref="A637:J637"/>
    <mergeCell ref="A638:I638"/>
    <mergeCell ref="A639:I639"/>
    <mergeCell ref="A640:I640"/>
    <mergeCell ref="H623:J623"/>
    <mergeCell ref="B625:F625"/>
    <mergeCell ref="M625:N625"/>
    <mergeCell ref="B626:F626"/>
    <mergeCell ref="A627:G627"/>
    <mergeCell ref="A633:A634"/>
    <mergeCell ref="B633:F634"/>
    <mergeCell ref="G633:G634"/>
    <mergeCell ref="H633:J633"/>
    <mergeCell ref="B615:F615"/>
    <mergeCell ref="B616:F616"/>
    <mergeCell ref="A617:G617"/>
    <mergeCell ref="A623:A624"/>
    <mergeCell ref="B623:F624"/>
    <mergeCell ref="G623:G624"/>
    <mergeCell ref="A605:G605"/>
    <mergeCell ref="A612:A613"/>
    <mergeCell ref="B612:F613"/>
    <mergeCell ref="G612:G613"/>
    <mergeCell ref="H612:J612"/>
    <mergeCell ref="A614:I614"/>
    <mergeCell ref="A600:A601"/>
    <mergeCell ref="B600:F601"/>
    <mergeCell ref="G600:J600"/>
    <mergeCell ref="B602:F602"/>
    <mergeCell ref="B603:F603"/>
    <mergeCell ref="B604:F604"/>
    <mergeCell ref="B590:F590"/>
    <mergeCell ref="B591:F591"/>
    <mergeCell ref="A592:G592"/>
    <mergeCell ref="A593:J593"/>
    <mergeCell ref="A594:I594"/>
    <mergeCell ref="A595:I595"/>
    <mergeCell ref="A579:G579"/>
    <mergeCell ref="A581:J581"/>
    <mergeCell ref="A582:I582"/>
    <mergeCell ref="A583:I583"/>
    <mergeCell ref="A588:A589"/>
    <mergeCell ref="B588:F589"/>
    <mergeCell ref="G588:G589"/>
    <mergeCell ref="H588:J588"/>
    <mergeCell ref="A571:G571"/>
    <mergeCell ref="A576:A577"/>
    <mergeCell ref="B576:F577"/>
    <mergeCell ref="G576:G577"/>
    <mergeCell ref="H576:J576"/>
    <mergeCell ref="B578:F578"/>
    <mergeCell ref="O567:Q567"/>
    <mergeCell ref="O568:Q568"/>
    <mergeCell ref="B569:D569"/>
    <mergeCell ref="O569:Q569"/>
    <mergeCell ref="B570:D570"/>
    <mergeCell ref="N570:V570"/>
    <mergeCell ref="B560:D560"/>
    <mergeCell ref="B561:D561"/>
    <mergeCell ref="A562:G562"/>
    <mergeCell ref="A567:A568"/>
    <mergeCell ref="B567:D568"/>
    <mergeCell ref="E567:J567"/>
    <mergeCell ref="B551:F551"/>
    <mergeCell ref="B552:F552"/>
    <mergeCell ref="B553:I553"/>
    <mergeCell ref="A554:G554"/>
    <mergeCell ref="A558:A559"/>
    <mergeCell ref="B558:D559"/>
    <mergeCell ref="E558:J558"/>
    <mergeCell ref="B542:F542"/>
    <mergeCell ref="B543:F543"/>
    <mergeCell ref="B544:F544"/>
    <mergeCell ref="A545:I545"/>
    <mergeCell ref="A549:A550"/>
    <mergeCell ref="B549:F550"/>
    <mergeCell ref="G549:G550"/>
    <mergeCell ref="H549:J549"/>
    <mergeCell ref="B535:E535"/>
    <mergeCell ref="A536:I536"/>
    <mergeCell ref="A539:A540"/>
    <mergeCell ref="B539:F540"/>
    <mergeCell ref="G539:J539"/>
    <mergeCell ref="B541:F541"/>
    <mergeCell ref="B529:F529"/>
    <mergeCell ref="A530:I530"/>
    <mergeCell ref="A533:A534"/>
    <mergeCell ref="B533:E534"/>
    <mergeCell ref="F533:F534"/>
    <mergeCell ref="G533:J533"/>
    <mergeCell ref="A520:I520"/>
    <mergeCell ref="B521:F521"/>
    <mergeCell ref="B522:F522"/>
    <mergeCell ref="B523:F523"/>
    <mergeCell ref="A524:I524"/>
    <mergeCell ref="A527:A528"/>
    <mergeCell ref="B527:F528"/>
    <mergeCell ref="G527:G528"/>
    <mergeCell ref="H527:J527"/>
    <mergeCell ref="A511:I511"/>
    <mergeCell ref="B512:F512"/>
    <mergeCell ref="B513:F513"/>
    <mergeCell ref="B514:F514"/>
    <mergeCell ref="A515:I515"/>
    <mergeCell ref="A518:A519"/>
    <mergeCell ref="B518:F519"/>
    <mergeCell ref="G518:G519"/>
    <mergeCell ref="H518:J518"/>
    <mergeCell ref="B505:F505"/>
    <mergeCell ref="A506:G506"/>
    <mergeCell ref="A509:A510"/>
    <mergeCell ref="B509:F510"/>
    <mergeCell ref="G509:G510"/>
    <mergeCell ref="H509:J509"/>
    <mergeCell ref="A499:I499"/>
    <mergeCell ref="A502:A503"/>
    <mergeCell ref="B502:F503"/>
    <mergeCell ref="G502:G503"/>
    <mergeCell ref="H502:J502"/>
    <mergeCell ref="B504:F504"/>
    <mergeCell ref="B493:F493"/>
    <mergeCell ref="B494:F494"/>
    <mergeCell ref="A495:I495"/>
    <mergeCell ref="A496:J496"/>
    <mergeCell ref="A497:I497"/>
    <mergeCell ref="A498:I498"/>
    <mergeCell ref="A487:I487"/>
    <mergeCell ref="A488:I488"/>
    <mergeCell ref="A491:A492"/>
    <mergeCell ref="B491:F492"/>
    <mergeCell ref="G491:G492"/>
    <mergeCell ref="H491:J491"/>
    <mergeCell ref="A481:J481"/>
    <mergeCell ref="B482:F482"/>
    <mergeCell ref="A483:I483"/>
    <mergeCell ref="A484:J484"/>
    <mergeCell ref="A485:I485"/>
    <mergeCell ref="A486:I486"/>
    <mergeCell ref="A476:A477"/>
    <mergeCell ref="B476:F477"/>
    <mergeCell ref="G476:J476"/>
    <mergeCell ref="A478:J478"/>
    <mergeCell ref="A479:A480"/>
    <mergeCell ref="B479:F479"/>
    <mergeCell ref="B480:F480"/>
    <mergeCell ref="A467:A468"/>
    <mergeCell ref="B467:E468"/>
    <mergeCell ref="F467:F468"/>
    <mergeCell ref="G467:J467"/>
    <mergeCell ref="B469:E469"/>
    <mergeCell ref="A470:I470"/>
    <mergeCell ref="B460:E460"/>
    <mergeCell ref="B461:E461"/>
    <mergeCell ref="B462:E462"/>
    <mergeCell ref="B463:E463"/>
    <mergeCell ref="A464:I464"/>
    <mergeCell ref="A466:H466"/>
    <mergeCell ref="B454:E454"/>
    <mergeCell ref="B455:E455"/>
    <mergeCell ref="B456:E456"/>
    <mergeCell ref="B457:E457"/>
    <mergeCell ref="B458:E458"/>
    <mergeCell ref="B459:E459"/>
    <mergeCell ref="G447:J447"/>
    <mergeCell ref="A449:F449"/>
    <mergeCell ref="B450:E450"/>
    <mergeCell ref="B451:E451"/>
    <mergeCell ref="B452:E452"/>
    <mergeCell ref="B453:E453"/>
    <mergeCell ref="B440:F440"/>
    <mergeCell ref="B441:F441"/>
    <mergeCell ref="B442:F442"/>
    <mergeCell ref="A443:F443"/>
    <mergeCell ref="A444:F444"/>
    <mergeCell ref="A447:A448"/>
    <mergeCell ref="B447:E448"/>
    <mergeCell ref="F447:F448"/>
    <mergeCell ref="A434:I434"/>
    <mergeCell ref="B435:F435"/>
    <mergeCell ref="B436:F436"/>
    <mergeCell ref="B437:F437"/>
    <mergeCell ref="A438:F438"/>
    <mergeCell ref="A439:I439"/>
    <mergeCell ref="A427:I427"/>
    <mergeCell ref="A428:I428"/>
    <mergeCell ref="A429:I429"/>
    <mergeCell ref="A432:A433"/>
    <mergeCell ref="B432:F433"/>
    <mergeCell ref="G432:J432"/>
    <mergeCell ref="A420:J420"/>
    <mergeCell ref="B422:D422"/>
    <mergeCell ref="B423:D423"/>
    <mergeCell ref="A424:I424"/>
    <mergeCell ref="A425:J425"/>
    <mergeCell ref="A426:I426"/>
    <mergeCell ref="A414:I414"/>
    <mergeCell ref="A415:I415"/>
    <mergeCell ref="A418:A419"/>
    <mergeCell ref="B418:D419"/>
    <mergeCell ref="E418:E419"/>
    <mergeCell ref="F418:F419"/>
    <mergeCell ref="G418:J418"/>
    <mergeCell ref="A407:J407"/>
    <mergeCell ref="B409:D409"/>
    <mergeCell ref="A410:I410"/>
    <mergeCell ref="A411:J411"/>
    <mergeCell ref="A412:I412"/>
    <mergeCell ref="A413:I413"/>
    <mergeCell ref="A401:I401"/>
    <mergeCell ref="A403:I403"/>
    <mergeCell ref="A405:A406"/>
    <mergeCell ref="B405:D406"/>
    <mergeCell ref="E405:E406"/>
    <mergeCell ref="F405:F406"/>
    <mergeCell ref="G405:J405"/>
    <mergeCell ref="B395:E395"/>
    <mergeCell ref="A396:I396"/>
    <mergeCell ref="A397:J397"/>
    <mergeCell ref="A398:I398"/>
    <mergeCell ref="A399:I399"/>
    <mergeCell ref="A400:I400"/>
    <mergeCell ref="B387:E387"/>
    <mergeCell ref="B388:E388"/>
    <mergeCell ref="A389:I389"/>
    <mergeCell ref="A390:I390"/>
    <mergeCell ref="A392:H392"/>
    <mergeCell ref="A393:A394"/>
    <mergeCell ref="B393:E394"/>
    <mergeCell ref="F393:F394"/>
    <mergeCell ref="G393:J393"/>
    <mergeCell ref="A382:I382"/>
    <mergeCell ref="A384:H384"/>
    <mergeCell ref="A385:A386"/>
    <mergeCell ref="B385:E386"/>
    <mergeCell ref="F385:F386"/>
    <mergeCell ref="G385:J385"/>
    <mergeCell ref="B376:E376"/>
    <mergeCell ref="A377:I377"/>
    <mergeCell ref="A378:J378"/>
    <mergeCell ref="A379:I379"/>
    <mergeCell ref="A380:I380"/>
    <mergeCell ref="A381:I381"/>
    <mergeCell ref="A371:I371"/>
    <mergeCell ref="A373:H373"/>
    <mergeCell ref="A374:A375"/>
    <mergeCell ref="B374:E375"/>
    <mergeCell ref="F374:F375"/>
    <mergeCell ref="G374:J374"/>
    <mergeCell ref="B365:E365"/>
    <mergeCell ref="A366:I366"/>
    <mergeCell ref="A367:J367"/>
    <mergeCell ref="A368:I368"/>
    <mergeCell ref="A369:I369"/>
    <mergeCell ref="A370:I370"/>
    <mergeCell ref="A361:H361"/>
    <mergeCell ref="A362:A363"/>
    <mergeCell ref="B362:E363"/>
    <mergeCell ref="F362:F363"/>
    <mergeCell ref="G362:J362"/>
    <mergeCell ref="B364:E364"/>
    <mergeCell ref="B355:E355"/>
    <mergeCell ref="G355:H355"/>
    <mergeCell ref="A356:I356"/>
    <mergeCell ref="A357:J357"/>
    <mergeCell ref="A358:I358"/>
    <mergeCell ref="A359:I359"/>
    <mergeCell ref="A352:H352"/>
    <mergeCell ref="A353:A354"/>
    <mergeCell ref="B353:E354"/>
    <mergeCell ref="F353:F354"/>
    <mergeCell ref="G353:J353"/>
    <mergeCell ref="G354:H354"/>
    <mergeCell ref="A345:I345"/>
    <mergeCell ref="A346:J346"/>
    <mergeCell ref="A347:I347"/>
    <mergeCell ref="A348:I348"/>
    <mergeCell ref="A349:I349"/>
    <mergeCell ref="A350:I350"/>
    <mergeCell ref="A341:A342"/>
    <mergeCell ref="B341:E342"/>
    <mergeCell ref="F341:F342"/>
    <mergeCell ref="G341:J341"/>
    <mergeCell ref="B343:E343"/>
    <mergeCell ref="B344:E344"/>
    <mergeCell ref="A334:J334"/>
    <mergeCell ref="A335:I335"/>
    <mergeCell ref="A336:I336"/>
    <mergeCell ref="A337:I337"/>
    <mergeCell ref="A338:I338"/>
    <mergeCell ref="A340:H340"/>
    <mergeCell ref="A330:A331"/>
    <mergeCell ref="B330:E331"/>
    <mergeCell ref="F330:F331"/>
    <mergeCell ref="G330:J330"/>
    <mergeCell ref="B332:E332"/>
    <mergeCell ref="A333:I333"/>
    <mergeCell ref="A324:A325"/>
    <mergeCell ref="B324:E325"/>
    <mergeCell ref="F324:F325"/>
    <mergeCell ref="G324:J324"/>
    <mergeCell ref="B326:E326"/>
    <mergeCell ref="A327:I327"/>
    <mergeCell ref="A317:A318"/>
    <mergeCell ref="B317:G318"/>
    <mergeCell ref="H317:J317"/>
    <mergeCell ref="B319:G319"/>
    <mergeCell ref="B320:G320"/>
    <mergeCell ref="A321:I321"/>
    <mergeCell ref="B309:F309"/>
    <mergeCell ref="B310:F310"/>
    <mergeCell ref="B311:F311"/>
    <mergeCell ref="B312:F312"/>
    <mergeCell ref="B313:F313"/>
    <mergeCell ref="A314:I314"/>
    <mergeCell ref="A301:J301"/>
    <mergeCell ref="B302:E302"/>
    <mergeCell ref="B303:E303"/>
    <mergeCell ref="A304:I304"/>
    <mergeCell ref="A307:A308"/>
    <mergeCell ref="B307:F308"/>
    <mergeCell ref="G307:J307"/>
    <mergeCell ref="A295:J295"/>
    <mergeCell ref="B296:E296"/>
    <mergeCell ref="A299:A300"/>
    <mergeCell ref="B299:E300"/>
    <mergeCell ref="F299:F300"/>
    <mergeCell ref="G299:G300"/>
    <mergeCell ref="A283:I283"/>
    <mergeCell ref="A284:I284"/>
    <mergeCell ref="A285:I285"/>
    <mergeCell ref="A287:I287"/>
    <mergeCell ref="A288:I288"/>
    <mergeCell ref="A293:A294"/>
    <mergeCell ref="B293:E294"/>
    <mergeCell ref="F293:J293"/>
    <mergeCell ref="A276:I276"/>
    <mergeCell ref="A277:I277"/>
    <mergeCell ref="B279:E279"/>
    <mergeCell ref="A280:G280"/>
    <mergeCell ref="A281:J281"/>
    <mergeCell ref="A282:I282"/>
    <mergeCell ref="A269:A271"/>
    <mergeCell ref="B269:E271"/>
    <mergeCell ref="A272:I272"/>
    <mergeCell ref="A273:J273"/>
    <mergeCell ref="A274:I274"/>
    <mergeCell ref="A275:I275"/>
    <mergeCell ref="B260:D260"/>
    <mergeCell ref="A261:F261"/>
    <mergeCell ref="A267:A268"/>
    <mergeCell ref="B267:E268"/>
    <mergeCell ref="F267:F268"/>
    <mergeCell ref="G267:J267"/>
    <mergeCell ref="A251:I251"/>
    <mergeCell ref="A258:A259"/>
    <mergeCell ref="B258:D259"/>
    <mergeCell ref="E258:E259"/>
    <mergeCell ref="F258:F259"/>
    <mergeCell ref="G258:J258"/>
    <mergeCell ref="B245:E245"/>
    <mergeCell ref="A246:I246"/>
    <mergeCell ref="A247:J247"/>
    <mergeCell ref="A248:I248"/>
    <mergeCell ref="A249:I249"/>
    <mergeCell ref="A250:I250"/>
    <mergeCell ref="A239:I239"/>
    <mergeCell ref="A242:A243"/>
    <mergeCell ref="B242:E243"/>
    <mergeCell ref="F242:F243"/>
    <mergeCell ref="G242:J242"/>
    <mergeCell ref="A244:J244"/>
    <mergeCell ref="B233:I233"/>
    <mergeCell ref="A234:I234"/>
    <mergeCell ref="A235:J235"/>
    <mergeCell ref="A236:I236"/>
    <mergeCell ref="A237:I237"/>
    <mergeCell ref="A238:I238"/>
    <mergeCell ref="A229:A230"/>
    <mergeCell ref="B229:E230"/>
    <mergeCell ref="F229:F230"/>
    <mergeCell ref="G229:J229"/>
    <mergeCell ref="A231:J231"/>
    <mergeCell ref="B232:E232"/>
    <mergeCell ref="A205:G205"/>
    <mergeCell ref="A213:A214"/>
    <mergeCell ref="B213:F214"/>
    <mergeCell ref="G213:J213"/>
    <mergeCell ref="B215:F216"/>
    <mergeCell ref="A217:G217"/>
    <mergeCell ref="A191:I191"/>
    <mergeCell ref="A201:A202"/>
    <mergeCell ref="B201:G202"/>
    <mergeCell ref="H201:J201"/>
    <mergeCell ref="B203:G203"/>
    <mergeCell ref="B204:G204"/>
    <mergeCell ref="A186:E186"/>
    <mergeCell ref="F186:G186"/>
    <mergeCell ref="A188:A189"/>
    <mergeCell ref="B188:F189"/>
    <mergeCell ref="G188:J188"/>
    <mergeCell ref="B190:F190"/>
    <mergeCell ref="A173:I173"/>
    <mergeCell ref="A183:A184"/>
    <mergeCell ref="B183:E184"/>
    <mergeCell ref="F183:J183"/>
    <mergeCell ref="F184:G184"/>
    <mergeCell ref="B185:E185"/>
    <mergeCell ref="F185:G185"/>
    <mergeCell ref="B160:G160"/>
    <mergeCell ref="B161:G161"/>
    <mergeCell ref="B162:G162"/>
    <mergeCell ref="B163:G163"/>
    <mergeCell ref="A164:I164"/>
    <mergeCell ref="A170:A171"/>
    <mergeCell ref="B170:G171"/>
    <mergeCell ref="H170:J170"/>
    <mergeCell ref="B151:G151"/>
    <mergeCell ref="B152:G152"/>
    <mergeCell ref="A153:I153"/>
    <mergeCell ref="A158:A159"/>
    <mergeCell ref="B158:G159"/>
    <mergeCell ref="H158:J158"/>
    <mergeCell ref="A143:I143"/>
    <mergeCell ref="A147:A148"/>
    <mergeCell ref="B147:G148"/>
    <mergeCell ref="H147:J147"/>
    <mergeCell ref="B149:G149"/>
    <mergeCell ref="B150:G150"/>
    <mergeCell ref="A123:J123"/>
    <mergeCell ref="A131:A132"/>
    <mergeCell ref="B131:I132"/>
    <mergeCell ref="B133:I133"/>
    <mergeCell ref="A134:I134"/>
    <mergeCell ref="A140:A141"/>
    <mergeCell ref="B140:G141"/>
    <mergeCell ref="H140:J140"/>
    <mergeCell ref="A119:J119"/>
    <mergeCell ref="A120:J120"/>
    <mergeCell ref="K120:M120"/>
    <mergeCell ref="A121:J121"/>
    <mergeCell ref="A122:J122"/>
    <mergeCell ref="K122:M122"/>
    <mergeCell ref="B107:F107"/>
    <mergeCell ref="A108:F108"/>
    <mergeCell ref="A114:A115"/>
    <mergeCell ref="B114:G115"/>
    <mergeCell ref="H114:J114"/>
    <mergeCell ref="A117:I117"/>
    <mergeCell ref="B97:G97"/>
    <mergeCell ref="A98:G98"/>
    <mergeCell ref="A104:J104"/>
    <mergeCell ref="A105:A106"/>
    <mergeCell ref="B105:F106"/>
    <mergeCell ref="G105:J105"/>
    <mergeCell ref="A92:J92"/>
    <mergeCell ref="A93:A94"/>
    <mergeCell ref="B93:G94"/>
    <mergeCell ref="H93:J93"/>
    <mergeCell ref="B95:G95"/>
    <mergeCell ref="B96:G96"/>
    <mergeCell ref="A67:I67"/>
    <mergeCell ref="A72:A73"/>
    <mergeCell ref="B72:F73"/>
    <mergeCell ref="G72:J72"/>
    <mergeCell ref="A75:I75"/>
    <mergeCell ref="A79:J79"/>
    <mergeCell ref="B56:I56"/>
    <mergeCell ref="A57:I57"/>
    <mergeCell ref="A64:A65"/>
    <mergeCell ref="B64:F65"/>
    <mergeCell ref="G64:J64"/>
    <mergeCell ref="B66:F66"/>
    <mergeCell ref="B50:I50"/>
    <mergeCell ref="B51:I51"/>
    <mergeCell ref="B52:I52"/>
    <mergeCell ref="B53:I53"/>
    <mergeCell ref="B54:I54"/>
    <mergeCell ref="B55:I55"/>
    <mergeCell ref="B40:I40"/>
    <mergeCell ref="B41:I41"/>
    <mergeCell ref="B42:I42"/>
    <mergeCell ref="B43:I43"/>
    <mergeCell ref="A44:I44"/>
    <mergeCell ref="B49:I49"/>
    <mergeCell ref="B37:I37"/>
    <mergeCell ref="B38:I38"/>
    <mergeCell ref="B39:I39"/>
    <mergeCell ref="A14:I14"/>
    <mergeCell ref="A15:I15"/>
    <mergeCell ref="A16:I16"/>
    <mergeCell ref="A17:I17"/>
    <mergeCell ref="A18:I18"/>
    <mergeCell ref="E22:I22"/>
    <mergeCell ref="A1:J1"/>
    <mergeCell ref="A3:J3"/>
    <mergeCell ref="P4:P5"/>
    <mergeCell ref="P9:P13"/>
    <mergeCell ref="A10:I10"/>
    <mergeCell ref="A11:I11"/>
    <mergeCell ref="A12:I12"/>
    <mergeCell ref="A13:I13"/>
    <mergeCell ref="A35:A36"/>
    <mergeCell ref="B35:I36"/>
    <mergeCell ref="J35:J36"/>
  </mergeCells>
  <printOptions horizontalCentered="1"/>
  <pageMargins left="0.78740157480314965" right="0.19685039370078741" top="0.19685039370078741" bottom="0.19685039370078741" header="0" footer="0"/>
  <pageSetup paperSize="9" scale="6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3"/>
  <sheetViews>
    <sheetView view="pageBreakPreview" topLeftCell="A206" zoomScale="80" zoomScaleNormal="70" zoomScaleSheetLayoutView="80" workbookViewId="0">
      <selection activeCell="E279" sqref="E279"/>
    </sheetView>
  </sheetViews>
  <sheetFormatPr defaultColWidth="8.7109375" defaultRowHeight="15" x14ac:dyDescent="0.25"/>
  <cols>
    <col min="1" max="1" width="4.85546875" style="1644" customWidth="1"/>
    <col min="2" max="2" width="33.140625" style="1644" customWidth="1"/>
    <col min="3" max="3" width="28.42578125" style="1644" customWidth="1"/>
    <col min="4" max="4" width="17.42578125" style="60" customWidth="1"/>
    <col min="5" max="5" width="18.5703125" style="90" customWidth="1"/>
    <col min="6" max="6" width="16.28515625" style="60" customWidth="1"/>
    <col min="7" max="7" width="18.140625" style="60" customWidth="1"/>
    <col min="8" max="8" width="22.7109375" style="61" customWidth="1"/>
    <col min="9" max="9" width="17.85546875" style="61" customWidth="1"/>
    <col min="10" max="10" width="8.7109375" style="61"/>
    <col min="11" max="11" width="18.28515625" style="61" customWidth="1"/>
    <col min="12" max="12" width="20.42578125" style="61" customWidth="1"/>
    <col min="13" max="13" width="18" style="61" customWidth="1"/>
    <col min="14" max="14" width="16.42578125" style="61" customWidth="1"/>
    <col min="15" max="16384" width="8.7109375" style="61"/>
  </cols>
  <sheetData>
    <row r="1" spans="1:14" ht="24.75" customHeight="1" x14ac:dyDescent="0.25">
      <c r="A1" s="1967" t="s">
        <v>833</v>
      </c>
      <c r="B1" s="1967"/>
      <c r="C1" s="1967"/>
      <c r="D1" s="1967"/>
      <c r="E1" s="1967"/>
      <c r="F1" s="1967"/>
      <c r="G1" s="1967"/>
      <c r="K1" s="1636"/>
      <c r="L1" s="1636" t="s">
        <v>1496</v>
      </c>
      <c r="M1" s="1636" t="s">
        <v>2047</v>
      </c>
      <c r="N1" s="1636"/>
    </row>
    <row r="2" spans="1:14" ht="21.75" customHeight="1" x14ac:dyDescent="0.25">
      <c r="A2" s="2386" t="s">
        <v>609</v>
      </c>
      <c r="B2" s="2386"/>
      <c r="C2" s="2386"/>
      <c r="D2" s="2386"/>
      <c r="E2" s="2386"/>
      <c r="F2" s="2386"/>
      <c r="G2" s="2386"/>
      <c r="K2" s="1611" t="s">
        <v>1964</v>
      </c>
      <c r="L2" s="1363">
        <f>G117</f>
        <v>197472</v>
      </c>
      <c r="M2" s="1363">
        <v>197472</v>
      </c>
      <c r="N2" s="1491" t="b">
        <f t="shared" ref="N2:N8" si="0">L2=M2</f>
        <v>1</v>
      </c>
    </row>
    <row r="3" spans="1:14" ht="17.25" customHeight="1" x14ac:dyDescent="0.25">
      <c r="A3" s="58"/>
      <c r="B3" s="58"/>
      <c r="C3" s="58"/>
      <c r="D3" s="58"/>
      <c r="E3" s="1777"/>
      <c r="F3" s="58"/>
      <c r="G3" s="58"/>
      <c r="K3" s="1611" t="s">
        <v>1965</v>
      </c>
      <c r="L3" s="1363">
        <f>G46+G73</f>
        <v>12238799</v>
      </c>
      <c r="M3" s="1363">
        <v>12238799</v>
      </c>
      <c r="N3" s="1611" t="b">
        <f t="shared" si="0"/>
        <v>1</v>
      </c>
    </row>
    <row r="4" spans="1:14" ht="15.75" x14ac:dyDescent="0.25">
      <c r="A4" s="1643" t="s">
        <v>21</v>
      </c>
      <c r="B4" s="104"/>
      <c r="C4" s="104"/>
      <c r="D4" s="105"/>
      <c r="E4" s="1778"/>
      <c r="F4" s="105"/>
      <c r="G4" s="105"/>
      <c r="K4" s="1611" t="s">
        <v>770</v>
      </c>
      <c r="L4" s="1363">
        <f>G190+G257</f>
        <v>37500</v>
      </c>
      <c r="M4" s="1363">
        <v>37500</v>
      </c>
      <c r="N4" s="1611" t="b">
        <f t="shared" si="0"/>
        <v>1</v>
      </c>
    </row>
    <row r="5" spans="1:14" ht="15.75" x14ac:dyDescent="0.25">
      <c r="A5" s="104"/>
      <c r="B5" s="104"/>
      <c r="C5" s="104"/>
      <c r="D5" s="105"/>
      <c r="E5" s="1778"/>
      <c r="F5" s="105"/>
      <c r="G5" s="105"/>
      <c r="K5" s="1001" t="s">
        <v>1966</v>
      </c>
      <c r="L5" s="1363">
        <f>G53+G83</f>
        <v>591083.78</v>
      </c>
      <c r="M5" s="1363">
        <v>591083.78</v>
      </c>
      <c r="N5" s="1611" t="b">
        <f t="shared" si="0"/>
        <v>1</v>
      </c>
    </row>
    <row r="6" spans="1:14" ht="15.75" x14ac:dyDescent="0.25">
      <c r="A6" s="1643" t="s">
        <v>24</v>
      </c>
      <c r="B6" s="1643"/>
      <c r="C6" s="1643"/>
      <c r="D6" s="704"/>
      <c r="E6" s="1779"/>
      <c r="F6" s="704"/>
      <c r="G6" s="107">
        <f>G8+G25</f>
        <v>17058755.780000001</v>
      </c>
      <c r="H6" s="61" t="b">
        <f>G6=M13</f>
        <v>1</v>
      </c>
      <c r="K6" s="1611" t="s">
        <v>1967</v>
      </c>
      <c r="L6" s="1363">
        <f>G105</f>
        <v>480000</v>
      </c>
      <c r="M6" s="1363">
        <v>480000</v>
      </c>
      <c r="N6" s="1611" t="b">
        <f t="shared" si="0"/>
        <v>1</v>
      </c>
    </row>
    <row r="7" spans="1:14" ht="15.75" x14ac:dyDescent="0.25">
      <c r="A7" s="1643"/>
      <c r="B7" s="1643"/>
      <c r="C7" s="1643"/>
      <c r="D7" s="704"/>
      <c r="E7" s="1779"/>
      <c r="F7" s="704"/>
      <c r="G7" s="107"/>
      <c r="K7" s="1611"/>
      <c r="L7" s="1363"/>
      <c r="M7" s="1363"/>
      <c r="N7" s="1611"/>
    </row>
    <row r="8" spans="1:14" ht="15.75" customHeight="1" x14ac:dyDescent="0.25">
      <c r="A8" s="2387" t="s">
        <v>1970</v>
      </c>
      <c r="B8" s="2387"/>
      <c r="C8" s="2387"/>
      <c r="D8" s="2387"/>
      <c r="E8" s="2387"/>
      <c r="F8" s="2387"/>
      <c r="G8" s="646">
        <f>G10+G16</f>
        <v>17021255.780000001</v>
      </c>
      <c r="H8" s="1650"/>
      <c r="I8" s="70"/>
      <c r="K8" s="1611" t="s">
        <v>1968</v>
      </c>
      <c r="L8" s="1363">
        <f>G61+G93</f>
        <v>156240</v>
      </c>
      <c r="M8" s="1363">
        <v>156240</v>
      </c>
      <c r="N8" s="1611" t="b">
        <f t="shared" si="0"/>
        <v>1</v>
      </c>
    </row>
    <row r="9" spans="1:14" ht="15.75" x14ac:dyDescent="0.25">
      <c r="A9" s="1622"/>
      <c r="B9" s="1622"/>
      <c r="C9" s="1622"/>
      <c r="D9" s="1622"/>
      <c r="E9" s="1622"/>
      <c r="F9" s="1622"/>
      <c r="G9" s="646"/>
      <c r="H9" s="341"/>
      <c r="K9" s="1611" t="s">
        <v>1969</v>
      </c>
      <c r="L9" s="1363">
        <f>G153+G181</f>
        <v>3324000</v>
      </c>
      <c r="M9" s="1363">
        <v>3324000</v>
      </c>
      <c r="N9" s="1611" t="b">
        <f>L9=M9</f>
        <v>1</v>
      </c>
    </row>
    <row r="10" spans="1:14" ht="21.75" customHeight="1" x14ac:dyDescent="0.25">
      <c r="A10" s="2388" t="s">
        <v>2262</v>
      </c>
      <c r="B10" s="2389"/>
      <c r="C10" s="2389"/>
      <c r="D10" s="2389"/>
      <c r="E10" s="2389"/>
      <c r="F10" s="2389"/>
      <c r="G10" s="1493">
        <f>G12+G13+G15</f>
        <v>12986122.779999999</v>
      </c>
      <c r="H10" s="1650"/>
      <c r="K10" s="1611"/>
      <c r="L10" s="1363"/>
      <c r="M10" s="1363"/>
      <c r="N10" s="1611" t="b">
        <f>L10=M10</f>
        <v>1</v>
      </c>
    </row>
    <row r="11" spans="1:14" ht="15.75" hidden="1" x14ac:dyDescent="0.25">
      <c r="A11" s="2390" t="s">
        <v>758</v>
      </c>
      <c r="B11" s="2390"/>
      <c r="C11" s="2390"/>
      <c r="D11" s="2390"/>
      <c r="E11" s="2390"/>
      <c r="F11" s="2390"/>
      <c r="G11" s="1494">
        <v>0</v>
      </c>
      <c r="H11" s="1650"/>
      <c r="K11" s="1611" t="s">
        <v>1497</v>
      </c>
      <c r="L11" s="1363">
        <f>G199+G219</f>
        <v>33661</v>
      </c>
      <c r="M11" s="1363">
        <v>33661</v>
      </c>
      <c r="N11" s="1611" t="b">
        <f>L11=M11</f>
        <v>1</v>
      </c>
    </row>
    <row r="12" spans="1:14" ht="36.75" customHeight="1" x14ac:dyDescent="0.25">
      <c r="A12" s="2390" t="s">
        <v>1972</v>
      </c>
      <c r="B12" s="2390"/>
      <c r="C12" s="2390"/>
      <c r="D12" s="2390"/>
      <c r="E12" s="2390"/>
      <c r="F12" s="2390"/>
      <c r="G12" s="1494">
        <f>G46+G73</f>
        <v>12238799</v>
      </c>
      <c r="H12" s="81" t="b">
        <f>G12=M3</f>
        <v>1</v>
      </c>
      <c r="M12" s="99">
        <f>SUM(M2:M11)</f>
        <v>17058755.780000001</v>
      </c>
    </row>
    <row r="13" spans="1:14" ht="38.25" customHeight="1" x14ac:dyDescent="0.25">
      <c r="A13" s="2390" t="s">
        <v>1973</v>
      </c>
      <c r="B13" s="2390"/>
      <c r="C13" s="2390"/>
      <c r="D13" s="2390"/>
      <c r="E13" s="2390"/>
      <c r="F13" s="2390"/>
      <c r="G13" s="1494">
        <f>G53+G83</f>
        <v>591083.78</v>
      </c>
      <c r="H13" s="81" t="b">
        <f>G13=M5</f>
        <v>1</v>
      </c>
      <c r="M13" s="1780">
        <v>17058755.780000001</v>
      </c>
      <c r="N13" s="61" t="b">
        <f>M12=M13</f>
        <v>1</v>
      </c>
    </row>
    <row r="14" spans="1:14" ht="54.75" hidden="1" customHeight="1" x14ac:dyDescent="0.25">
      <c r="A14" s="2390" t="s">
        <v>1974</v>
      </c>
      <c r="B14" s="2390"/>
      <c r="C14" s="2390"/>
      <c r="D14" s="2390"/>
      <c r="E14" s="2390"/>
      <c r="F14" s="2390"/>
      <c r="G14" s="1494">
        <f>G252</f>
        <v>0</v>
      </c>
      <c r="H14" s="81"/>
      <c r="M14" s="61" t="b">
        <f>M12=M13</f>
        <v>1</v>
      </c>
    </row>
    <row r="15" spans="1:14" ht="48" customHeight="1" x14ac:dyDescent="0.25">
      <c r="A15" s="2400" t="s">
        <v>1975</v>
      </c>
      <c r="B15" s="2400"/>
      <c r="C15" s="2400"/>
      <c r="D15" s="2400"/>
      <c r="E15" s="2400"/>
      <c r="F15" s="2400"/>
      <c r="G15" s="106">
        <f>G61+G93</f>
        <v>156240</v>
      </c>
      <c r="H15" s="81" t="b">
        <f>G15=M8</f>
        <v>1</v>
      </c>
    </row>
    <row r="16" spans="1:14" ht="36" customHeight="1" x14ac:dyDescent="0.25">
      <c r="A16" s="2388" t="s">
        <v>2260</v>
      </c>
      <c r="B16" s="2389"/>
      <c r="C16" s="2389"/>
      <c r="D16" s="2389"/>
      <c r="E16" s="2389"/>
      <c r="F16" s="2389"/>
      <c r="G16" s="1781">
        <f>G17+G23+G24+G21</f>
        <v>4035133</v>
      </c>
      <c r="H16" s="1650"/>
    </row>
    <row r="17" spans="1:13" ht="53.25" customHeight="1" x14ac:dyDescent="0.25">
      <c r="A17" s="2390" t="s">
        <v>1977</v>
      </c>
      <c r="B17" s="2390"/>
      <c r="C17" s="2390"/>
      <c r="D17" s="2390"/>
      <c r="E17" s="2390"/>
      <c r="F17" s="2390"/>
      <c r="G17" s="1494">
        <f>G153+G181</f>
        <v>3324000</v>
      </c>
      <c r="H17" s="1648" t="b">
        <f>G17=M9</f>
        <v>1</v>
      </c>
      <c r="M17" s="354"/>
    </row>
    <row r="18" spans="1:13" ht="18" customHeight="1" x14ac:dyDescent="0.25">
      <c r="A18" s="2390" t="s">
        <v>1978</v>
      </c>
      <c r="B18" s="2390"/>
      <c r="C18" s="2390"/>
      <c r="D18" s="2390"/>
      <c r="E18" s="2390"/>
      <c r="F18" s="2390"/>
      <c r="G18" s="1494"/>
      <c r="H18" s="1650"/>
      <c r="I18" s="70"/>
      <c r="M18" s="354"/>
    </row>
    <row r="19" spans="1:13" ht="21.75" customHeight="1" x14ac:dyDescent="0.25">
      <c r="A19" s="2392" t="s">
        <v>1979</v>
      </c>
      <c r="B19" s="2392"/>
      <c r="C19" s="2392"/>
      <c r="D19" s="2392"/>
      <c r="E19" s="2392"/>
      <c r="F19" s="2392"/>
      <c r="G19" s="1494"/>
      <c r="H19" s="1650"/>
      <c r="I19" s="70"/>
      <c r="M19" s="354"/>
    </row>
    <row r="20" spans="1:13" ht="15.75" customHeight="1" x14ac:dyDescent="0.25">
      <c r="A20" s="2392" t="s">
        <v>756</v>
      </c>
      <c r="B20" s="2392"/>
      <c r="C20" s="2392"/>
      <c r="D20" s="2392"/>
      <c r="E20" s="2392"/>
      <c r="F20" s="2392"/>
      <c r="G20" s="1494"/>
      <c r="H20" s="1650"/>
      <c r="I20" s="70"/>
    </row>
    <row r="21" spans="1:13" ht="15.75" customHeight="1" x14ac:dyDescent="0.25">
      <c r="A21" s="2392" t="s">
        <v>1506</v>
      </c>
      <c r="B21" s="2392"/>
      <c r="C21" s="2392"/>
      <c r="D21" s="2392"/>
      <c r="E21" s="2392"/>
      <c r="F21" s="2392"/>
      <c r="G21" s="1494">
        <f>G199+G219</f>
        <v>33661</v>
      </c>
      <c r="H21" s="341" t="b">
        <f>G21=M11</f>
        <v>1</v>
      </c>
      <c r="I21" s="70"/>
    </row>
    <row r="22" spans="1:13" ht="39.75" customHeight="1" x14ac:dyDescent="0.25">
      <c r="A22" s="2390" t="s">
        <v>1980</v>
      </c>
      <c r="B22" s="2390"/>
      <c r="C22" s="2390"/>
      <c r="D22" s="2390"/>
      <c r="E22" s="2390"/>
      <c r="F22" s="2390"/>
      <c r="G22" s="1494"/>
      <c r="H22" s="1650"/>
    </row>
    <row r="23" spans="1:13" ht="21" customHeight="1" x14ac:dyDescent="0.25">
      <c r="A23" s="2390" t="s">
        <v>1981</v>
      </c>
      <c r="B23" s="2390"/>
      <c r="C23" s="2390"/>
      <c r="D23" s="2390"/>
      <c r="E23" s="2390"/>
      <c r="F23" s="2390"/>
      <c r="G23" s="1494">
        <f>G115</f>
        <v>197472</v>
      </c>
      <c r="H23" s="1650" t="b">
        <f>G23=M2</f>
        <v>1</v>
      </c>
    </row>
    <row r="24" spans="1:13" ht="33" customHeight="1" x14ac:dyDescent="0.25">
      <c r="A24" s="2390" t="s">
        <v>1982</v>
      </c>
      <c r="B24" s="2390"/>
      <c r="C24" s="2390"/>
      <c r="D24" s="2390"/>
      <c r="E24" s="2390"/>
      <c r="F24" s="2390"/>
      <c r="G24" s="1494">
        <f>G103</f>
        <v>480000</v>
      </c>
      <c r="H24" s="1648" t="b">
        <f>G24=M6</f>
        <v>1</v>
      </c>
      <c r="K24" s="108"/>
      <c r="L24" s="108"/>
    </row>
    <row r="25" spans="1:13" ht="36" customHeight="1" x14ac:dyDescent="0.25">
      <c r="A25" s="2387" t="s">
        <v>1983</v>
      </c>
      <c r="B25" s="2387"/>
      <c r="C25" s="2387"/>
      <c r="D25" s="2387"/>
      <c r="E25" s="2387"/>
      <c r="F25" s="2387"/>
      <c r="G25" s="646">
        <f>G27</f>
        <v>37500</v>
      </c>
      <c r="H25" s="1788"/>
      <c r="K25" s="108"/>
      <c r="L25" s="108"/>
    </row>
    <row r="26" spans="1:13" ht="49.5" customHeight="1" x14ac:dyDescent="0.25">
      <c r="A26" s="2388" t="s">
        <v>2263</v>
      </c>
      <c r="B26" s="2388"/>
      <c r="C26" s="2388"/>
      <c r="D26" s="2388"/>
      <c r="E26" s="2388"/>
      <c r="F26" s="2388"/>
      <c r="G26" s="1493">
        <f>G27</f>
        <v>37500</v>
      </c>
      <c r="H26" s="1788"/>
      <c r="K26" s="108"/>
      <c r="L26" s="108"/>
    </row>
    <row r="27" spans="1:13" ht="34.5" customHeight="1" x14ac:dyDescent="0.25">
      <c r="A27" s="2390" t="s">
        <v>1985</v>
      </c>
      <c r="B27" s="2390"/>
      <c r="C27" s="2390"/>
      <c r="D27" s="2390"/>
      <c r="E27" s="2390"/>
      <c r="F27" s="2390"/>
      <c r="G27" s="1494">
        <f>G190+G238</f>
        <v>37500</v>
      </c>
      <c r="H27" s="1648" t="b">
        <f>G27=M4</f>
        <v>1</v>
      </c>
      <c r="K27" s="108"/>
      <c r="L27" s="108"/>
    </row>
    <row r="28" spans="1:13" ht="15.75" x14ac:dyDescent="0.25">
      <c r="A28" s="1623"/>
      <c r="B28" s="1623"/>
      <c r="C28" s="1623"/>
      <c r="D28" s="1623"/>
      <c r="E28" s="1623"/>
      <c r="F28" s="1623"/>
      <c r="G28" s="1494"/>
      <c r="H28" s="1648"/>
      <c r="K28" s="108"/>
      <c r="L28" s="108"/>
    </row>
    <row r="29" spans="1:13" ht="34.5" customHeight="1" x14ac:dyDescent="0.25">
      <c r="A29" s="2387" t="s">
        <v>2251</v>
      </c>
      <c r="B29" s="2387"/>
      <c r="C29" s="2387"/>
      <c r="D29" s="2387"/>
      <c r="E29" s="2387"/>
      <c r="F29" s="2387"/>
      <c r="G29" s="646">
        <v>2905.32</v>
      </c>
      <c r="H29" s="1648"/>
      <c r="K29" s="108"/>
      <c r="L29" s="108"/>
    </row>
    <row r="30" spans="1:13" ht="51.75" customHeight="1" x14ac:dyDescent="0.25">
      <c r="A30" s="2387" t="s">
        <v>2252</v>
      </c>
      <c r="B30" s="2387"/>
      <c r="C30" s="2387"/>
      <c r="D30" s="2387"/>
      <c r="E30" s="2387"/>
      <c r="F30" s="2387"/>
      <c r="G30" s="646">
        <v>-2905.32</v>
      </c>
      <c r="H30" s="1648"/>
      <c r="K30" s="108"/>
      <c r="L30" s="108"/>
    </row>
    <row r="31" spans="1:13" ht="15.75" x14ac:dyDescent="0.25">
      <c r="A31" s="1782"/>
      <c r="B31" s="1782"/>
      <c r="C31" s="1782"/>
      <c r="D31" s="1782"/>
      <c r="E31" s="1782"/>
      <c r="F31" s="1782"/>
      <c r="G31" s="106"/>
      <c r="H31" s="1648"/>
      <c r="K31" s="108" t="s">
        <v>305</v>
      </c>
      <c r="L31" s="108" t="s">
        <v>236</v>
      </c>
    </row>
    <row r="32" spans="1:13" x14ac:dyDescent="0.25">
      <c r="A32" s="1783"/>
      <c r="B32" s="1596"/>
      <c r="C32" s="1596"/>
      <c r="D32" s="1596"/>
      <c r="E32" s="1596"/>
      <c r="F32" s="1596"/>
      <c r="G32" s="85"/>
      <c r="K32" s="108">
        <f>G42+G69+G103+G115+G150</f>
        <v>17058755.780000001</v>
      </c>
      <c r="L32" s="108">
        <f>G44+G71+G104+G116+G152+G179+G218+G238</f>
        <v>17058755.780000001</v>
      </c>
    </row>
    <row r="33" spans="1:12" x14ac:dyDescent="0.25">
      <c r="A33" s="1645" t="s">
        <v>25</v>
      </c>
      <c r="G33" s="85">
        <f>G34</f>
        <v>17058755.780000001</v>
      </c>
      <c r="K33" s="108" t="b">
        <f>M13=K32</f>
        <v>1</v>
      </c>
      <c r="L33" s="108" t="b">
        <f>L32=M13</f>
        <v>1</v>
      </c>
    </row>
    <row r="34" spans="1:12" x14ac:dyDescent="0.25">
      <c r="A34" s="1645" t="s">
        <v>31</v>
      </c>
      <c r="G34" s="85">
        <f>G35</f>
        <v>17058755.780000001</v>
      </c>
      <c r="K34" s="70"/>
      <c r="L34" s="70"/>
    </row>
    <row r="35" spans="1:12" x14ac:dyDescent="0.25">
      <c r="A35" s="1645" t="s">
        <v>1373</v>
      </c>
      <c r="G35" s="85">
        <f>G38+G113+G144+G145+G146+G147</f>
        <v>17058755.780000001</v>
      </c>
    </row>
    <row r="36" spans="1:12" x14ac:dyDescent="0.25">
      <c r="A36" s="1645"/>
      <c r="G36" s="85"/>
    </row>
    <row r="37" spans="1:12" hidden="1" x14ac:dyDescent="0.25">
      <c r="A37" s="1645" t="s">
        <v>1232</v>
      </c>
      <c r="G37" s="69"/>
    </row>
    <row r="38" spans="1:12" x14ac:dyDescent="0.25">
      <c r="A38" s="1644" t="s">
        <v>1233</v>
      </c>
      <c r="G38" s="69">
        <f>G42+G103+G69</f>
        <v>13466122.779999999</v>
      </c>
    </row>
    <row r="39" spans="1:12" hidden="1" x14ac:dyDescent="0.25">
      <c r="A39" s="1644" t="s">
        <v>312</v>
      </c>
      <c r="G39" s="69"/>
    </row>
    <row r="40" spans="1:12" hidden="1" x14ac:dyDescent="0.25">
      <c r="A40" s="1644" t="s">
        <v>313</v>
      </c>
      <c r="D40" s="1644"/>
      <c r="E40" s="60"/>
      <c r="F40" s="69"/>
      <c r="G40" s="69"/>
      <c r="H40" s="70"/>
      <c r="I40" s="70"/>
      <c r="J40" s="70"/>
    </row>
    <row r="41" spans="1:12" x14ac:dyDescent="0.25">
      <c r="A41" s="1645"/>
      <c r="D41" s="1644"/>
      <c r="E41" s="60"/>
      <c r="F41" s="69"/>
      <c r="G41" s="69"/>
      <c r="H41" s="70"/>
      <c r="I41" s="70"/>
      <c r="J41" s="70"/>
    </row>
    <row r="42" spans="1:12" x14ac:dyDescent="0.25">
      <c r="A42" s="1645" t="s">
        <v>1986</v>
      </c>
      <c r="C42" s="1497" t="s">
        <v>65</v>
      </c>
      <c r="D42" s="1645"/>
      <c r="E42" s="1644"/>
      <c r="G42" s="1789">
        <f>G44</f>
        <v>9973980.6300000008</v>
      </c>
      <c r="H42" s="60"/>
      <c r="I42" s="85"/>
      <c r="J42" s="1648"/>
      <c r="K42" s="1648"/>
      <c r="L42" s="1648"/>
    </row>
    <row r="43" spans="1:12" x14ac:dyDescent="0.25">
      <c r="A43" s="1645"/>
      <c r="C43" s="1497"/>
      <c r="D43" s="1645"/>
      <c r="E43" s="1644"/>
      <c r="G43" s="1789"/>
      <c r="H43" s="60"/>
      <c r="I43" s="85"/>
      <c r="J43" s="1648"/>
      <c r="K43" s="1648"/>
      <c r="L43" s="1648"/>
    </row>
    <row r="44" spans="1:12" x14ac:dyDescent="0.25">
      <c r="A44" s="1645" t="s">
        <v>1987</v>
      </c>
      <c r="C44" s="1497" t="s">
        <v>64</v>
      </c>
      <c r="D44" s="394"/>
      <c r="E44" s="1644"/>
      <c r="G44" s="1789">
        <f>G46+G53+G61</f>
        <v>9973980.6300000008</v>
      </c>
      <c r="H44" s="60"/>
      <c r="I44" s="85"/>
      <c r="J44" s="1648"/>
      <c r="K44" s="1648"/>
      <c r="L44" s="1648"/>
    </row>
    <row r="45" spans="1:12" x14ac:dyDescent="0.25">
      <c r="A45" s="1645"/>
      <c r="C45" s="1497"/>
      <c r="D45" s="394"/>
      <c r="E45" s="1644"/>
      <c r="G45" s="1789"/>
      <c r="H45" s="60"/>
      <c r="I45" s="85"/>
      <c r="J45" s="1648"/>
      <c r="K45" s="1648"/>
      <c r="L45" s="1648"/>
    </row>
    <row r="46" spans="1:12" s="1650" customFormat="1" x14ac:dyDescent="0.25">
      <c r="A46" s="1647" t="s">
        <v>1503</v>
      </c>
      <c r="B46" s="1647"/>
      <c r="C46" s="2401" t="s">
        <v>1965</v>
      </c>
      <c r="D46" s="2402"/>
      <c r="E46" s="1648"/>
      <c r="F46" s="1648"/>
      <c r="G46" s="1789">
        <f>G51</f>
        <v>9399999.2300000004</v>
      </c>
      <c r="H46" s="774"/>
      <c r="I46" s="970"/>
      <c r="J46" s="970"/>
      <c r="K46" s="970"/>
    </row>
    <row r="47" spans="1:12" s="1650" customFormat="1" x14ac:dyDescent="0.25">
      <c r="A47" s="1647" t="s">
        <v>1504</v>
      </c>
      <c r="B47" s="1647"/>
      <c r="C47" s="2401" t="s">
        <v>1988</v>
      </c>
      <c r="D47" s="2402"/>
      <c r="E47" s="1648"/>
      <c r="F47" s="1648"/>
      <c r="G47" s="1648"/>
      <c r="H47" s="774"/>
      <c r="I47" s="970"/>
      <c r="J47" s="970"/>
      <c r="K47" s="970"/>
    </row>
    <row r="48" spans="1:12" ht="32.25" customHeight="1" x14ac:dyDescent="0.25">
      <c r="A48" s="1896" t="s">
        <v>1989</v>
      </c>
      <c r="B48" s="1897"/>
      <c r="C48" s="1897"/>
      <c r="D48" s="1897"/>
      <c r="E48" s="1897"/>
      <c r="F48" s="1897"/>
      <c r="G48" s="1897"/>
      <c r="H48" s="60"/>
      <c r="I48" s="69"/>
      <c r="J48" s="1648"/>
      <c r="K48" s="1648"/>
      <c r="L48" s="1648"/>
    </row>
    <row r="49" spans="1:13" s="1650" customFormat="1" ht="33.75" customHeight="1" x14ac:dyDescent="0.25">
      <c r="A49" s="1611" t="s">
        <v>8</v>
      </c>
      <c r="B49" s="2397" t="s">
        <v>35</v>
      </c>
      <c r="C49" s="2398"/>
      <c r="D49" s="2398"/>
      <c r="E49" s="2398"/>
      <c r="F49" s="2399"/>
      <c r="G49" s="1611" t="s">
        <v>297</v>
      </c>
      <c r="H49" s="970"/>
      <c r="I49" s="970"/>
    </row>
    <row r="50" spans="1:13" s="1650" customFormat="1" x14ac:dyDescent="0.25">
      <c r="A50" s="1649">
        <v>1</v>
      </c>
      <c r="B50" s="2391" t="s">
        <v>289</v>
      </c>
      <c r="C50" s="2073"/>
      <c r="D50" s="2073"/>
      <c r="E50" s="2073"/>
      <c r="F50" s="2074"/>
      <c r="G50" s="1617">
        <v>9399999.2300000004</v>
      </c>
      <c r="H50" s="970"/>
      <c r="I50" s="970"/>
      <c r="J50" s="108"/>
      <c r="K50" s="108"/>
      <c r="L50" s="108"/>
    </row>
    <row r="51" spans="1:13" s="1650" customFormat="1" ht="15" customHeight="1" x14ac:dyDescent="0.25">
      <c r="A51" s="2403" t="s">
        <v>786</v>
      </c>
      <c r="B51" s="2404"/>
      <c r="C51" s="2404"/>
      <c r="D51" s="2404"/>
      <c r="E51" s="2404"/>
      <c r="F51" s="2405"/>
      <c r="G51" s="1369">
        <f>G50</f>
        <v>9399999.2300000004</v>
      </c>
      <c r="H51" s="1790"/>
      <c r="I51" s="970"/>
      <c r="J51" s="108"/>
      <c r="K51" s="108"/>
      <c r="L51" s="108"/>
    </row>
    <row r="52" spans="1:13" s="775" customFormat="1" x14ac:dyDescent="0.2">
      <c r="A52" s="1647"/>
      <c r="B52" s="1647"/>
      <c r="C52" s="1647"/>
      <c r="D52" s="1647"/>
      <c r="E52" s="1647"/>
      <c r="F52" s="1647"/>
      <c r="G52" s="1791"/>
      <c r="H52" s="1788"/>
      <c r="I52" s="1328"/>
      <c r="J52" s="1504"/>
      <c r="K52" s="1504"/>
      <c r="L52" s="1505"/>
      <c r="M52" s="774"/>
    </row>
    <row r="53" spans="1:13" s="775" customFormat="1" ht="15" customHeight="1" x14ac:dyDescent="0.2">
      <c r="A53" s="1647" t="s">
        <v>1503</v>
      </c>
      <c r="B53" s="1647"/>
      <c r="C53" s="2401" t="s">
        <v>1966</v>
      </c>
      <c r="D53" s="2402"/>
      <c r="E53" s="1648"/>
      <c r="F53" s="1648"/>
      <c r="G53" s="1789">
        <f>G58</f>
        <v>453981.4</v>
      </c>
      <c r="H53" s="1788"/>
      <c r="I53" s="1328"/>
      <c r="J53" s="1504"/>
      <c r="K53" s="1504"/>
      <c r="L53" s="1505"/>
      <c r="M53" s="774"/>
    </row>
    <row r="54" spans="1:13" s="775" customFormat="1" ht="15" customHeight="1" x14ac:dyDescent="0.2">
      <c r="A54" s="1647" t="s">
        <v>1504</v>
      </c>
      <c r="B54" s="1647"/>
      <c r="C54" s="2401" t="s">
        <v>1990</v>
      </c>
      <c r="D54" s="2402"/>
      <c r="E54" s="1648"/>
      <c r="F54" s="1648"/>
      <c r="G54" s="1648"/>
      <c r="H54" s="1788"/>
      <c r="I54" s="1328"/>
      <c r="J54" s="1504"/>
      <c r="K54" s="1504"/>
      <c r="L54" s="1505"/>
      <c r="M54" s="774"/>
    </row>
    <row r="55" spans="1:13" s="775" customFormat="1" ht="33.75" customHeight="1" x14ac:dyDescent="0.2">
      <c r="A55" s="1896" t="s">
        <v>1991</v>
      </c>
      <c r="B55" s="1897"/>
      <c r="C55" s="1897"/>
      <c r="D55" s="1897"/>
      <c r="E55" s="1897"/>
      <c r="F55" s="1897"/>
      <c r="G55" s="1897"/>
      <c r="H55" s="1788"/>
      <c r="I55" s="1328"/>
      <c r="J55" s="1504"/>
      <c r="K55" s="1504"/>
      <c r="L55" s="1505"/>
      <c r="M55" s="774"/>
    </row>
    <row r="56" spans="1:13" s="775" customFormat="1" ht="28.5" customHeight="1" x14ac:dyDescent="0.2">
      <c r="A56" s="1611" t="s">
        <v>8</v>
      </c>
      <c r="B56" s="2397" t="s">
        <v>35</v>
      </c>
      <c r="C56" s="2398"/>
      <c r="D56" s="2398"/>
      <c r="E56" s="2398"/>
      <c r="F56" s="2399"/>
      <c r="G56" s="1611" t="s">
        <v>297</v>
      </c>
      <c r="H56" s="1788"/>
      <c r="I56" s="1328"/>
      <c r="J56" s="1504"/>
      <c r="K56" s="1504"/>
      <c r="L56" s="1505"/>
      <c r="M56" s="774"/>
    </row>
    <row r="57" spans="1:13" s="775" customFormat="1" hidden="1" x14ac:dyDescent="0.2">
      <c r="A57" s="1649">
        <v>1</v>
      </c>
      <c r="B57" s="2391" t="s">
        <v>288</v>
      </c>
      <c r="C57" s="2073"/>
      <c r="D57" s="2073"/>
      <c r="E57" s="2073"/>
      <c r="F57" s="2074"/>
      <c r="G57" s="1617">
        <f>G58/12</f>
        <v>37831.78</v>
      </c>
      <c r="H57" s="1788"/>
      <c r="I57" s="1328"/>
      <c r="J57" s="1504"/>
      <c r="K57" s="1504"/>
      <c r="L57" s="1505"/>
      <c r="M57" s="774"/>
    </row>
    <row r="58" spans="1:13" s="775" customFormat="1" x14ac:dyDescent="0.2">
      <c r="A58" s="1649">
        <v>1</v>
      </c>
      <c r="B58" s="2391" t="s">
        <v>289</v>
      </c>
      <c r="C58" s="2073"/>
      <c r="D58" s="2073"/>
      <c r="E58" s="2073"/>
      <c r="F58" s="2074"/>
      <c r="G58" s="1617">
        <v>453981.4</v>
      </c>
      <c r="H58" s="1788"/>
      <c r="I58" s="1328"/>
      <c r="J58" s="1504"/>
      <c r="K58" s="1504"/>
      <c r="L58" s="1505"/>
      <c r="M58" s="774"/>
    </row>
    <row r="59" spans="1:13" s="775" customFormat="1" x14ac:dyDescent="0.2">
      <c r="A59" s="2403" t="s">
        <v>786</v>
      </c>
      <c r="B59" s="2404"/>
      <c r="C59" s="2404"/>
      <c r="D59" s="2404"/>
      <c r="E59" s="2404"/>
      <c r="F59" s="2405"/>
      <c r="G59" s="1369">
        <f>G58</f>
        <v>453981.4</v>
      </c>
      <c r="H59" s="1788"/>
      <c r="I59" s="1328"/>
      <c r="J59" s="1504"/>
      <c r="K59" s="1504"/>
      <c r="L59" s="1505"/>
      <c r="M59" s="774"/>
    </row>
    <row r="60" spans="1:13" s="775" customFormat="1" x14ac:dyDescent="0.2">
      <c r="A60" s="1647"/>
      <c r="B60" s="1647"/>
      <c r="C60" s="1647"/>
      <c r="D60" s="1647"/>
      <c r="E60" s="1647"/>
      <c r="F60" s="1647"/>
      <c r="G60" s="1791"/>
      <c r="H60" s="1788"/>
      <c r="I60" s="1328"/>
      <c r="J60" s="1504"/>
      <c r="K60" s="1504"/>
      <c r="L60" s="1505"/>
      <c r="M60" s="774"/>
    </row>
    <row r="61" spans="1:13" s="775" customFormat="1" x14ac:dyDescent="0.2">
      <c r="A61" s="1645" t="s">
        <v>26</v>
      </c>
      <c r="B61" s="1645"/>
      <c r="C61" s="86" t="s">
        <v>1968</v>
      </c>
      <c r="D61" s="1644"/>
      <c r="E61" s="60"/>
      <c r="F61" s="69"/>
      <c r="G61" s="85">
        <f>G66</f>
        <v>120000</v>
      </c>
      <c r="H61" s="70"/>
      <c r="I61" s="70"/>
      <c r="J61" s="1504"/>
      <c r="K61" s="1504"/>
      <c r="L61" s="1505"/>
      <c r="M61" s="774"/>
    </row>
    <row r="62" spans="1:13" s="775" customFormat="1" x14ac:dyDescent="0.2">
      <c r="A62" s="1645" t="s">
        <v>27</v>
      </c>
      <c r="B62" s="1645"/>
      <c r="C62" s="86" t="s">
        <v>1992</v>
      </c>
      <c r="D62" s="1644"/>
      <c r="E62" s="60"/>
      <c r="F62" s="69"/>
      <c r="G62" s="85"/>
      <c r="H62" s="1784"/>
      <c r="I62" s="70"/>
      <c r="J62" s="1504"/>
      <c r="K62" s="1504"/>
      <c r="L62" s="1505"/>
      <c r="M62" s="774"/>
    </row>
    <row r="63" spans="1:13" s="775" customFormat="1" ht="33" customHeight="1" x14ac:dyDescent="0.2">
      <c r="A63" s="1908" t="s">
        <v>1993</v>
      </c>
      <c r="B63" s="1908"/>
      <c r="C63" s="1908"/>
      <c r="D63" s="1908"/>
      <c r="E63" s="1908"/>
      <c r="F63" s="1908"/>
      <c r="G63" s="1908"/>
      <c r="H63" s="70"/>
      <c r="I63" s="70"/>
      <c r="J63" s="1504"/>
      <c r="K63" s="1504"/>
      <c r="L63" s="1505"/>
      <c r="M63" s="774"/>
    </row>
    <row r="64" spans="1:13" s="775" customFormat="1" ht="30" x14ac:dyDescent="0.2">
      <c r="A64" s="1598" t="s">
        <v>8</v>
      </c>
      <c r="B64" s="2120" t="s">
        <v>35</v>
      </c>
      <c r="C64" s="2409"/>
      <c r="D64" s="2409"/>
      <c r="E64" s="2409"/>
      <c r="F64" s="2410"/>
      <c r="G64" s="1617" t="s">
        <v>256</v>
      </c>
      <c r="H64" s="70"/>
      <c r="I64" s="70"/>
      <c r="J64" s="1504"/>
      <c r="K64" s="1504"/>
      <c r="L64" s="1505"/>
      <c r="M64" s="774"/>
    </row>
    <row r="65" spans="1:13" s="775" customFormat="1" x14ac:dyDescent="0.2">
      <c r="A65" s="1141">
        <v>1</v>
      </c>
      <c r="B65" s="2391" t="s">
        <v>1994</v>
      </c>
      <c r="C65" s="2073"/>
      <c r="D65" s="2073"/>
      <c r="E65" s="2073"/>
      <c r="F65" s="2074"/>
      <c r="G65" s="1617">
        <v>120000</v>
      </c>
      <c r="H65" s="108"/>
      <c r="I65" s="108"/>
      <c r="J65" s="1504"/>
      <c r="K65" s="1504"/>
      <c r="L65" s="1505"/>
      <c r="M65" s="774"/>
    </row>
    <row r="66" spans="1:13" s="775" customFormat="1" x14ac:dyDescent="0.2">
      <c r="A66" s="1987" t="s">
        <v>39</v>
      </c>
      <c r="B66" s="1988"/>
      <c r="C66" s="1988"/>
      <c r="D66" s="1988"/>
      <c r="E66" s="1988"/>
      <c r="F66" s="1989"/>
      <c r="G66" s="1192">
        <f>G65</f>
        <v>120000</v>
      </c>
      <c r="H66" s="344"/>
      <c r="I66" s="81">
        <f>G66-H66</f>
        <v>120000</v>
      </c>
      <c r="J66" s="1504"/>
      <c r="K66" s="1504"/>
      <c r="L66" s="1505"/>
      <c r="M66" s="774"/>
    </row>
    <row r="67" spans="1:13" s="775" customFormat="1" x14ac:dyDescent="0.2">
      <c r="A67" s="1647"/>
      <c r="B67" s="1647"/>
      <c r="C67" s="1647"/>
      <c r="D67" s="1647"/>
      <c r="E67" s="1647"/>
      <c r="F67" s="1647"/>
      <c r="G67" s="1791"/>
      <c r="H67" s="1788"/>
      <c r="I67" s="1328"/>
      <c r="J67" s="1504"/>
      <c r="K67" s="1504"/>
      <c r="L67" s="1505"/>
      <c r="M67" s="774"/>
    </row>
    <row r="68" spans="1:13" s="775" customFormat="1" ht="28.5" hidden="1" customHeight="1" x14ac:dyDescent="0.2">
      <c r="A68" s="2121" t="s">
        <v>1995</v>
      </c>
      <c r="B68" s="2111"/>
      <c r="C68" s="2111"/>
      <c r="D68" s="2111"/>
      <c r="E68" s="2111"/>
      <c r="F68" s="2111"/>
      <c r="G68" s="2111"/>
      <c r="H68" s="82"/>
      <c r="I68" s="82"/>
      <c r="J68" s="82"/>
      <c r="K68" s="1504"/>
      <c r="L68" s="1505"/>
      <c r="M68" s="774"/>
    </row>
    <row r="69" spans="1:13" s="775" customFormat="1" x14ac:dyDescent="0.2">
      <c r="A69" s="1645" t="s">
        <v>1986</v>
      </c>
      <c r="B69" s="1644"/>
      <c r="C69" s="1497" t="s">
        <v>72</v>
      </c>
      <c r="D69" s="1645"/>
      <c r="E69" s="1644"/>
      <c r="F69" s="60"/>
      <c r="G69" s="1789">
        <f>G71</f>
        <v>3012142.15</v>
      </c>
      <c r="H69" s="1788"/>
      <c r="I69" s="1328"/>
      <c r="J69" s="1507"/>
      <c r="K69" s="1507"/>
      <c r="L69" s="1505"/>
      <c r="M69" s="774"/>
    </row>
    <row r="70" spans="1:13" s="775" customFormat="1" x14ac:dyDescent="0.2">
      <c r="A70" s="1645"/>
      <c r="B70" s="1644"/>
      <c r="C70" s="1497"/>
      <c r="D70" s="1645"/>
      <c r="E70" s="1644"/>
      <c r="F70" s="60"/>
      <c r="G70" s="1789"/>
      <c r="H70" s="1788"/>
      <c r="I70" s="1328"/>
      <c r="J70" s="1507"/>
      <c r="K70" s="1507"/>
      <c r="L70" s="1505"/>
      <c r="M70" s="774"/>
    </row>
    <row r="71" spans="1:13" s="775" customFormat="1" x14ac:dyDescent="0.2">
      <c r="A71" s="1645" t="s">
        <v>1987</v>
      </c>
      <c r="B71" s="1644"/>
      <c r="C71" s="1497" t="s">
        <v>74</v>
      </c>
      <c r="D71" s="394"/>
      <c r="E71" s="1644"/>
      <c r="F71" s="60"/>
      <c r="G71" s="1789">
        <f>G73+G83+G93</f>
        <v>3012142.15</v>
      </c>
      <c r="H71" s="1788"/>
      <c r="I71" s="1328"/>
      <c r="J71" s="1507"/>
      <c r="K71" s="1507"/>
      <c r="L71" s="1505"/>
      <c r="M71" s="774"/>
    </row>
    <row r="72" spans="1:13" s="775" customFormat="1" x14ac:dyDescent="0.2">
      <c r="A72" s="1645"/>
      <c r="B72" s="1644"/>
      <c r="C72" s="1497"/>
      <c r="D72" s="394"/>
      <c r="E72" s="1644"/>
      <c r="F72" s="60"/>
      <c r="G72" s="1789"/>
      <c r="H72" s="1788"/>
      <c r="I72" s="1328"/>
      <c r="J72" s="1507"/>
      <c r="K72" s="1507"/>
      <c r="L72" s="1505"/>
      <c r="M72" s="774"/>
    </row>
    <row r="73" spans="1:13" s="775" customFormat="1" ht="15" customHeight="1" x14ac:dyDescent="0.2">
      <c r="A73" s="1647" t="s">
        <v>1503</v>
      </c>
      <c r="B73" s="1647"/>
      <c r="C73" s="2401" t="s">
        <v>1965</v>
      </c>
      <c r="D73" s="2402"/>
      <c r="E73" s="1648"/>
      <c r="F73" s="1648"/>
      <c r="G73" s="1789">
        <f>G81</f>
        <v>2838799.77</v>
      </c>
      <c r="H73" s="1788"/>
      <c r="I73" s="1328"/>
      <c r="J73" s="1507"/>
      <c r="K73" s="1507"/>
      <c r="L73" s="1505"/>
      <c r="M73" s="774"/>
    </row>
    <row r="74" spans="1:13" s="775" customFormat="1" ht="15" customHeight="1" x14ac:dyDescent="0.2">
      <c r="A74" s="1647" t="s">
        <v>1504</v>
      </c>
      <c r="B74" s="1647"/>
      <c r="C74" s="2401" t="s">
        <v>1988</v>
      </c>
      <c r="D74" s="2402"/>
      <c r="E74" s="1648"/>
      <c r="F74" s="1648"/>
      <c r="G74" s="1648"/>
      <c r="H74" s="1788"/>
      <c r="I74" s="1328"/>
      <c r="J74" s="1507"/>
      <c r="K74" s="1507"/>
      <c r="L74" s="1505"/>
      <c r="M74" s="774"/>
    </row>
    <row r="75" spans="1:13" s="775" customFormat="1" x14ac:dyDescent="0.2">
      <c r="A75" s="1644" t="s">
        <v>1996</v>
      </c>
      <c r="B75" s="1644"/>
      <c r="C75" s="1644"/>
      <c r="D75" s="72"/>
      <c r="E75" s="72"/>
      <c r="F75" s="60"/>
      <c r="G75" s="90"/>
      <c r="H75" s="1788"/>
      <c r="I75" s="1328"/>
      <c r="J75" s="1507"/>
      <c r="K75" s="1507"/>
      <c r="L75" s="1505"/>
      <c r="M75" s="774"/>
    </row>
    <row r="76" spans="1:13" s="775" customFormat="1" ht="60" x14ac:dyDescent="0.2">
      <c r="A76" s="1611" t="s">
        <v>8</v>
      </c>
      <c r="B76" s="2397" t="s">
        <v>35</v>
      </c>
      <c r="C76" s="2026"/>
      <c r="D76" s="2027"/>
      <c r="E76" s="1617" t="s">
        <v>1997</v>
      </c>
      <c r="F76" s="1617" t="s">
        <v>53</v>
      </c>
      <c r="G76" s="1617" t="s">
        <v>261</v>
      </c>
      <c r="H76" s="1788"/>
      <c r="I76" s="1328"/>
      <c r="J76" s="1507"/>
      <c r="K76" s="1507"/>
      <c r="L76" s="1505"/>
      <c r="M76" s="774"/>
    </row>
    <row r="77" spans="1:13" s="775" customFormat="1" x14ac:dyDescent="0.2">
      <c r="A77" s="1611">
        <v>1</v>
      </c>
      <c r="B77" s="2073" t="s">
        <v>1606</v>
      </c>
      <c r="C77" s="2047"/>
      <c r="D77" s="2048"/>
      <c r="E77" s="1675" t="s">
        <v>82</v>
      </c>
      <c r="F77" s="1676" t="s">
        <v>82</v>
      </c>
      <c r="G77" s="1532">
        <f>G78</f>
        <v>2819999.77</v>
      </c>
      <c r="H77" s="1788"/>
      <c r="I77" s="1328"/>
      <c r="J77" s="1507"/>
      <c r="K77" s="1507"/>
      <c r="L77" s="1505"/>
      <c r="M77" s="774"/>
    </row>
    <row r="78" spans="1:13" s="775" customFormat="1" ht="45.75" customHeight="1" x14ac:dyDescent="0.2">
      <c r="A78" s="1611" t="s">
        <v>1607</v>
      </c>
      <c r="B78" s="2073" t="s">
        <v>1608</v>
      </c>
      <c r="C78" s="2047"/>
      <c r="D78" s="2048"/>
      <c r="E78" s="1675">
        <f>G51</f>
        <v>9399999.2300000004</v>
      </c>
      <c r="F78" s="1676">
        <v>0.3</v>
      </c>
      <c r="G78" s="1617">
        <f>E78*F78</f>
        <v>2819999.77</v>
      </c>
      <c r="H78" s="78"/>
      <c r="I78" s="1792"/>
      <c r="J78" s="1507"/>
      <c r="K78" s="1507"/>
      <c r="L78" s="1505"/>
      <c r="M78" s="774"/>
    </row>
    <row r="79" spans="1:13" s="775" customFormat="1" ht="44.25" customHeight="1" x14ac:dyDescent="0.2">
      <c r="A79" s="1611">
        <v>2</v>
      </c>
      <c r="B79" s="2073" t="s">
        <v>1609</v>
      </c>
      <c r="C79" s="2047"/>
      <c r="D79" s="2048"/>
      <c r="E79" s="1675" t="s">
        <v>82</v>
      </c>
      <c r="F79" s="1676" t="s">
        <v>82</v>
      </c>
      <c r="G79" s="1532">
        <f>G80</f>
        <v>18800</v>
      </c>
      <c r="H79" s="1788"/>
      <c r="I79" s="1328"/>
      <c r="J79" s="1507"/>
      <c r="K79" s="1507"/>
      <c r="L79" s="1505"/>
      <c r="M79" s="774"/>
    </row>
    <row r="80" spans="1:13" s="775" customFormat="1" ht="48" customHeight="1" x14ac:dyDescent="0.2">
      <c r="A80" s="1611" t="s">
        <v>1607</v>
      </c>
      <c r="B80" s="2073" t="s">
        <v>1610</v>
      </c>
      <c r="C80" s="2047"/>
      <c r="D80" s="2048"/>
      <c r="E80" s="1675">
        <f>G51</f>
        <v>9399999.2300000004</v>
      </c>
      <c r="F80" s="1676">
        <v>2E-3</v>
      </c>
      <c r="G80" s="1617">
        <f>E80*F80</f>
        <v>18800</v>
      </c>
      <c r="H80" s="78"/>
      <c r="I80" s="1792"/>
      <c r="J80" s="1504"/>
      <c r="K80" s="1507"/>
      <c r="L80" s="1505"/>
      <c r="M80" s="774"/>
    </row>
    <row r="81" spans="1:13" s="775" customFormat="1" x14ac:dyDescent="0.25">
      <c r="A81" s="2403" t="s">
        <v>786</v>
      </c>
      <c r="B81" s="2404"/>
      <c r="C81" s="2404"/>
      <c r="D81" s="2404"/>
      <c r="E81" s="2404"/>
      <c r="F81" s="2405"/>
      <c r="G81" s="1369">
        <f>G77+G79</f>
        <v>2838799.77</v>
      </c>
      <c r="H81" s="1790"/>
      <c r="I81" s="1328"/>
      <c r="J81" s="1507"/>
      <c r="K81" s="1507"/>
      <c r="L81" s="1505"/>
      <c r="M81" s="774"/>
    </row>
    <row r="82" spans="1:13" s="775" customFormat="1" x14ac:dyDescent="0.2">
      <c r="A82" s="1647"/>
      <c r="B82" s="1647"/>
      <c r="C82" s="1647"/>
      <c r="D82" s="1647"/>
      <c r="E82" s="1647"/>
      <c r="F82" s="1647"/>
      <c r="G82" s="1791"/>
      <c r="H82" s="1788"/>
      <c r="I82" s="1328"/>
      <c r="J82" s="1507"/>
      <c r="K82" s="1507"/>
      <c r="L82" s="1505"/>
      <c r="M82" s="774"/>
    </row>
    <row r="83" spans="1:13" s="775" customFormat="1" ht="15" customHeight="1" x14ac:dyDescent="0.2">
      <c r="A83" s="1647" t="s">
        <v>1503</v>
      </c>
      <c r="B83" s="1647"/>
      <c r="C83" s="2401" t="s">
        <v>1966</v>
      </c>
      <c r="D83" s="2402"/>
      <c r="E83" s="1648"/>
      <c r="F83" s="1648"/>
      <c r="G83" s="1789">
        <f>G91</f>
        <v>137102.38</v>
      </c>
      <c r="H83" s="1788"/>
      <c r="I83" s="1328"/>
      <c r="J83" s="1504"/>
      <c r="K83" s="1504"/>
      <c r="L83" s="1505"/>
      <c r="M83" s="774"/>
    </row>
    <row r="84" spans="1:13" s="775" customFormat="1" ht="15" customHeight="1" x14ac:dyDescent="0.2">
      <c r="A84" s="1647" t="s">
        <v>1504</v>
      </c>
      <c r="B84" s="1647"/>
      <c r="C84" s="2401" t="s">
        <v>1990</v>
      </c>
      <c r="D84" s="2402"/>
      <c r="E84" s="1648"/>
      <c r="F84" s="1648"/>
      <c r="G84" s="1648"/>
      <c r="H84" s="1788"/>
      <c r="I84" s="1328"/>
      <c r="J84" s="1504"/>
      <c r="K84" s="1504"/>
      <c r="L84" s="1505"/>
      <c r="M84" s="774"/>
    </row>
    <row r="85" spans="1:13" s="775" customFormat="1" x14ac:dyDescent="0.2">
      <c r="A85" s="1644" t="s">
        <v>1996</v>
      </c>
      <c r="B85" s="1644"/>
      <c r="C85" s="1644"/>
      <c r="D85" s="72"/>
      <c r="E85" s="72"/>
      <c r="F85" s="60"/>
      <c r="G85" s="90"/>
      <c r="H85" s="1788"/>
      <c r="I85" s="1328"/>
      <c r="J85" s="1507"/>
      <c r="K85" s="1507"/>
      <c r="L85" s="1505"/>
      <c r="M85" s="774"/>
    </row>
    <row r="86" spans="1:13" s="775" customFormat="1" ht="59.25" customHeight="1" x14ac:dyDescent="0.2">
      <c r="A86" s="1611" t="s">
        <v>8</v>
      </c>
      <c r="B86" s="2397" t="s">
        <v>35</v>
      </c>
      <c r="C86" s="2026"/>
      <c r="D86" s="2027"/>
      <c r="E86" s="1617" t="s">
        <v>1997</v>
      </c>
      <c r="F86" s="1617" t="s">
        <v>53</v>
      </c>
      <c r="G86" s="1617" t="s">
        <v>261</v>
      </c>
      <c r="H86" s="1788"/>
      <c r="I86" s="1328"/>
      <c r="J86" s="1507"/>
      <c r="K86" s="1507"/>
      <c r="L86" s="1505"/>
      <c r="M86" s="774"/>
    </row>
    <row r="87" spans="1:13" s="775" customFormat="1" x14ac:dyDescent="0.2">
      <c r="A87" s="1611">
        <v>1</v>
      </c>
      <c r="B87" s="2073" t="s">
        <v>1606</v>
      </c>
      <c r="C87" s="2047"/>
      <c r="D87" s="2048"/>
      <c r="E87" s="1675" t="s">
        <v>82</v>
      </c>
      <c r="F87" s="1676" t="s">
        <v>82</v>
      </c>
      <c r="G87" s="1532">
        <f>G88</f>
        <v>136194.42000000001</v>
      </c>
      <c r="H87" s="1788"/>
      <c r="I87" s="1328"/>
      <c r="J87" s="1507"/>
      <c r="K87" s="1507"/>
      <c r="L87" s="1505"/>
      <c r="M87" s="774"/>
    </row>
    <row r="88" spans="1:13" s="775" customFormat="1" ht="45" customHeight="1" x14ac:dyDescent="0.2">
      <c r="A88" s="1611" t="s">
        <v>1607</v>
      </c>
      <c r="B88" s="2073" t="s">
        <v>1608</v>
      </c>
      <c r="C88" s="2047"/>
      <c r="D88" s="2048"/>
      <c r="E88" s="1675">
        <f>G59</f>
        <v>453981.4</v>
      </c>
      <c r="F88" s="1676">
        <v>0.3</v>
      </c>
      <c r="G88" s="1617">
        <f>E88*F88</f>
        <v>136194.42000000001</v>
      </c>
      <c r="H88" s="1788"/>
      <c r="I88" s="1328"/>
      <c r="J88" s="1507"/>
      <c r="K88" s="1507"/>
      <c r="L88" s="1505"/>
      <c r="M88" s="774"/>
    </row>
    <row r="89" spans="1:13" s="775" customFormat="1" ht="44.25" customHeight="1" x14ac:dyDescent="0.2">
      <c r="A89" s="1611">
        <v>2</v>
      </c>
      <c r="B89" s="2073" t="s">
        <v>1609</v>
      </c>
      <c r="C89" s="2047"/>
      <c r="D89" s="2048"/>
      <c r="E89" s="1675" t="s">
        <v>82</v>
      </c>
      <c r="F89" s="1676" t="s">
        <v>82</v>
      </c>
      <c r="G89" s="1532">
        <f>G90</f>
        <v>907.96</v>
      </c>
      <c r="H89" s="1788"/>
      <c r="I89" s="1328"/>
      <c r="J89" s="1507"/>
      <c r="K89" s="1507"/>
      <c r="L89" s="1505"/>
      <c r="M89" s="774"/>
    </row>
    <row r="90" spans="1:13" s="775" customFormat="1" ht="45" customHeight="1" x14ac:dyDescent="0.2">
      <c r="A90" s="1611" t="s">
        <v>1607</v>
      </c>
      <c r="B90" s="2073" t="s">
        <v>1610</v>
      </c>
      <c r="C90" s="2047"/>
      <c r="D90" s="2048"/>
      <c r="E90" s="1675">
        <f>E88</f>
        <v>453981.4</v>
      </c>
      <c r="F90" s="1676">
        <v>2E-3</v>
      </c>
      <c r="G90" s="1617">
        <f>E90*F90</f>
        <v>907.96</v>
      </c>
      <c r="H90" s="1788"/>
      <c r="I90" s="1328"/>
      <c r="J90" s="1507"/>
      <c r="K90" s="1507"/>
      <c r="L90" s="1505"/>
      <c r="M90" s="774"/>
    </row>
    <row r="91" spans="1:13" s="775" customFormat="1" x14ac:dyDescent="0.2">
      <c r="A91" s="2403" t="s">
        <v>786</v>
      </c>
      <c r="B91" s="2404"/>
      <c r="C91" s="2404"/>
      <c r="D91" s="2404"/>
      <c r="E91" s="2404"/>
      <c r="F91" s="2405"/>
      <c r="G91" s="1369">
        <f>G87+G89</f>
        <v>137102.38</v>
      </c>
      <c r="H91" s="1788"/>
      <c r="I91" s="1328"/>
      <c r="J91" s="1507"/>
      <c r="K91" s="1507"/>
      <c r="L91" s="1505"/>
      <c r="M91" s="774"/>
    </row>
    <row r="92" spans="1:13" s="775" customFormat="1" x14ac:dyDescent="0.2">
      <c r="A92" s="1615"/>
      <c r="B92" s="1615"/>
      <c r="C92" s="1615"/>
      <c r="D92" s="1615"/>
      <c r="E92" s="1615"/>
      <c r="F92" s="1615"/>
      <c r="G92" s="741"/>
      <c r="H92" s="1788"/>
      <c r="I92" s="1328"/>
      <c r="J92" s="1507"/>
      <c r="K92" s="1507"/>
      <c r="L92" s="1505"/>
      <c r="M92" s="774"/>
    </row>
    <row r="93" spans="1:13" s="775" customFormat="1" x14ac:dyDescent="0.2">
      <c r="A93" s="1645" t="s">
        <v>26</v>
      </c>
      <c r="B93" s="1645"/>
      <c r="C93" s="86" t="s">
        <v>1968</v>
      </c>
      <c r="D93" s="1644"/>
      <c r="E93" s="60"/>
      <c r="F93" s="69"/>
      <c r="G93" s="85">
        <f>G101</f>
        <v>36240</v>
      </c>
      <c r="H93" s="70"/>
      <c r="I93" s="70"/>
      <c r="J93" s="1504"/>
      <c r="K93" s="1504"/>
      <c r="L93" s="1505"/>
      <c r="M93" s="774"/>
    </row>
    <row r="94" spans="1:13" s="775" customFormat="1" x14ac:dyDescent="0.2">
      <c r="A94" s="1645" t="s">
        <v>27</v>
      </c>
      <c r="B94" s="1645"/>
      <c r="C94" s="86" t="s">
        <v>1992</v>
      </c>
      <c r="D94" s="1644"/>
      <c r="E94" s="60"/>
      <c r="F94" s="69"/>
      <c r="G94" s="85"/>
      <c r="H94" s="1784"/>
      <c r="I94" s="70"/>
      <c r="J94" s="1504"/>
      <c r="K94" s="1504"/>
      <c r="L94" s="1505"/>
      <c r="M94" s="774"/>
    </row>
    <row r="95" spans="1:13" s="775" customFormat="1" x14ac:dyDescent="0.2">
      <c r="A95" s="745" t="s">
        <v>317</v>
      </c>
      <c r="B95" s="1644"/>
      <c r="C95" s="1644"/>
      <c r="D95" s="1644"/>
      <c r="E95" s="60"/>
      <c r="F95" s="60"/>
      <c r="G95" s="60"/>
      <c r="H95" s="75"/>
      <c r="I95" s="75"/>
      <c r="J95" s="1507"/>
      <c r="K95" s="1507"/>
      <c r="L95" s="1505"/>
      <c r="M95" s="774"/>
    </row>
    <row r="96" spans="1:13" s="775" customFormat="1" ht="60" x14ac:dyDescent="0.2">
      <c r="A96" s="1598" t="s">
        <v>8</v>
      </c>
      <c r="B96" s="1990" t="s">
        <v>35</v>
      </c>
      <c r="C96" s="2026"/>
      <c r="D96" s="2027"/>
      <c r="E96" s="1617" t="s">
        <v>1997</v>
      </c>
      <c r="F96" s="1617" t="s">
        <v>53</v>
      </c>
      <c r="G96" s="1617" t="s">
        <v>261</v>
      </c>
      <c r="H96" s="1603"/>
      <c r="I96" s="1603"/>
      <c r="J96" s="1507"/>
      <c r="K96" s="1507"/>
      <c r="L96" s="1505"/>
      <c r="M96" s="774"/>
    </row>
    <row r="97" spans="1:13" s="775" customFormat="1" x14ac:dyDescent="0.2">
      <c r="A97" s="1785" t="s">
        <v>244</v>
      </c>
      <c r="B97" s="2408" t="s">
        <v>1606</v>
      </c>
      <c r="C97" s="2047"/>
      <c r="D97" s="2048"/>
      <c r="E97" s="1675" t="s">
        <v>82</v>
      </c>
      <c r="F97" s="1676" t="s">
        <v>82</v>
      </c>
      <c r="G97" s="1532">
        <f>G98</f>
        <v>36000</v>
      </c>
      <c r="H97" s="75"/>
      <c r="I97" s="75"/>
      <c r="J97" s="1507"/>
      <c r="K97" s="1507"/>
      <c r="L97" s="1505"/>
      <c r="M97" s="774"/>
    </row>
    <row r="98" spans="1:13" s="775" customFormat="1" ht="46.5" customHeight="1" x14ac:dyDescent="0.2">
      <c r="A98" s="1785" t="s">
        <v>1607</v>
      </c>
      <c r="B98" s="2408" t="s">
        <v>1608</v>
      </c>
      <c r="C98" s="2047"/>
      <c r="D98" s="2048"/>
      <c r="E98" s="1675">
        <f>G66</f>
        <v>120000</v>
      </c>
      <c r="F98" s="1676">
        <v>0.3</v>
      </c>
      <c r="G98" s="1617">
        <f>E98*F98</f>
        <v>36000</v>
      </c>
      <c r="H98" s="75"/>
      <c r="I98" s="75"/>
      <c r="J98" s="1507"/>
      <c r="K98" s="1507"/>
      <c r="L98" s="1505"/>
      <c r="M98" s="774"/>
    </row>
    <row r="99" spans="1:13" s="775" customFormat="1" x14ac:dyDescent="0.2">
      <c r="A99" s="1785" t="s">
        <v>281</v>
      </c>
      <c r="B99" s="2408" t="s">
        <v>1609</v>
      </c>
      <c r="C99" s="2047"/>
      <c r="D99" s="2048"/>
      <c r="E99" s="1675" t="s">
        <v>82</v>
      </c>
      <c r="F99" s="1676" t="s">
        <v>82</v>
      </c>
      <c r="G99" s="1532">
        <f>G100</f>
        <v>240</v>
      </c>
      <c r="H99" s="75"/>
      <c r="I99" s="75"/>
      <c r="J99" s="1507"/>
      <c r="K99" s="1507"/>
      <c r="L99" s="1505"/>
      <c r="M99" s="774"/>
    </row>
    <row r="100" spans="1:13" s="775" customFormat="1" ht="45.75" customHeight="1" x14ac:dyDescent="0.2">
      <c r="A100" s="1785" t="s">
        <v>1607</v>
      </c>
      <c r="B100" s="2408" t="s">
        <v>1610</v>
      </c>
      <c r="C100" s="2047"/>
      <c r="D100" s="2048"/>
      <c r="E100" s="1675">
        <f>E98</f>
        <v>120000</v>
      </c>
      <c r="F100" s="1676">
        <v>2E-3</v>
      </c>
      <c r="G100" s="1617">
        <f>E100*F100</f>
        <v>240</v>
      </c>
      <c r="H100" s="75"/>
      <c r="I100" s="75"/>
      <c r="J100" s="1507"/>
      <c r="K100" s="1507"/>
      <c r="L100" s="1505"/>
      <c r="M100" s="774"/>
    </row>
    <row r="101" spans="1:13" s="775" customFormat="1" x14ac:dyDescent="0.25">
      <c r="A101" s="1993" t="s">
        <v>39</v>
      </c>
      <c r="B101" s="1993"/>
      <c r="C101" s="1993"/>
      <c r="D101" s="1993"/>
      <c r="E101" s="1993"/>
      <c r="F101" s="1993"/>
      <c r="G101" s="1511">
        <f>G97+G99</f>
        <v>36240</v>
      </c>
      <c r="H101" s="64"/>
      <c r="I101" s="64"/>
      <c r="J101" s="64"/>
      <c r="K101" s="351"/>
      <c r="L101" s="972"/>
      <c r="M101" s="774"/>
    </row>
    <row r="102" spans="1:13" s="775" customFormat="1" x14ac:dyDescent="0.2">
      <c r="A102" s="1615"/>
      <c r="B102" s="1615"/>
      <c r="C102" s="1615"/>
      <c r="D102" s="1615"/>
      <c r="E102" s="1615"/>
      <c r="F102" s="1615"/>
      <c r="G102" s="741"/>
      <c r="H102" s="1788"/>
      <c r="I102" s="1328"/>
      <c r="J102" s="1507"/>
      <c r="K102" s="1507"/>
      <c r="L102" s="1505"/>
      <c r="M102" s="774"/>
    </row>
    <row r="103" spans="1:13" x14ac:dyDescent="0.25">
      <c r="A103" s="1645" t="s">
        <v>1986</v>
      </c>
      <c r="C103" s="1497" t="s">
        <v>68</v>
      </c>
      <c r="D103" s="1645"/>
      <c r="E103" s="1644"/>
      <c r="G103" s="1789">
        <f>G104</f>
        <v>480000</v>
      </c>
      <c r="H103" s="60"/>
      <c r="I103" s="85"/>
      <c r="J103" s="1648"/>
      <c r="K103" s="1648"/>
      <c r="L103" s="1648"/>
    </row>
    <row r="104" spans="1:13" x14ac:dyDescent="0.25">
      <c r="A104" s="1645" t="s">
        <v>1987</v>
      </c>
      <c r="C104" s="1497" t="s">
        <v>73</v>
      </c>
      <c r="D104" s="394"/>
      <c r="E104" s="1644"/>
      <c r="G104" s="1789">
        <f>G105</f>
        <v>480000</v>
      </c>
      <c r="H104" s="60"/>
      <c r="I104" s="85"/>
      <c r="J104" s="1648"/>
      <c r="K104" s="1648"/>
      <c r="L104" s="1648"/>
    </row>
    <row r="105" spans="1:13" s="1650" customFormat="1" x14ac:dyDescent="0.25">
      <c r="A105" s="1647" t="s">
        <v>1503</v>
      </c>
      <c r="B105" s="1647"/>
      <c r="C105" s="2401" t="s">
        <v>1967</v>
      </c>
      <c r="D105" s="2402"/>
      <c r="E105" s="1648"/>
      <c r="F105" s="1648"/>
      <c r="G105" s="1789">
        <f>G111</f>
        <v>480000</v>
      </c>
      <c r="H105" s="774"/>
      <c r="I105" s="970"/>
      <c r="J105" s="970"/>
      <c r="K105" s="970"/>
    </row>
    <row r="106" spans="1:13" s="1650" customFormat="1" x14ac:dyDescent="0.25">
      <c r="A106" s="1647" t="s">
        <v>1504</v>
      </c>
      <c r="B106" s="1647"/>
      <c r="C106" s="2401" t="s">
        <v>1830</v>
      </c>
      <c r="D106" s="2402"/>
      <c r="E106" s="1648"/>
      <c r="F106" s="1648"/>
      <c r="G106" s="1648"/>
      <c r="H106" s="774"/>
      <c r="I106" s="970"/>
      <c r="J106" s="970"/>
      <c r="K106" s="970"/>
    </row>
    <row r="107" spans="1:13" s="775" customFormat="1" x14ac:dyDescent="0.25">
      <c r="A107" s="1610" t="s">
        <v>1998</v>
      </c>
      <c r="B107" s="1610"/>
      <c r="C107" s="1610"/>
      <c r="D107" s="1610"/>
      <c r="E107" s="1610"/>
      <c r="F107" s="1610"/>
      <c r="G107" s="1610"/>
      <c r="H107" s="1786"/>
      <c r="I107" s="1786"/>
      <c r="J107" s="1786"/>
      <c r="K107" s="81"/>
      <c r="L107" s="970"/>
      <c r="M107" s="774"/>
    </row>
    <row r="108" spans="1:13" s="775" customFormat="1" ht="15" customHeight="1" x14ac:dyDescent="0.25">
      <c r="A108" s="2024" t="s">
        <v>8</v>
      </c>
      <c r="B108" s="1956" t="s">
        <v>49</v>
      </c>
      <c r="C108" s="2044"/>
      <c r="D108" s="1990" t="s">
        <v>1827</v>
      </c>
      <c r="E108" s="2026"/>
      <c r="F108" s="2026"/>
      <c r="G108" s="2026"/>
      <c r="H108" s="1328"/>
      <c r="I108" s="1328"/>
      <c r="J108" s="1328"/>
      <c r="K108" s="81"/>
      <c r="L108" s="970"/>
      <c r="M108" s="774"/>
    </row>
    <row r="109" spans="1:13" s="775" customFormat="1" ht="30" x14ac:dyDescent="0.25">
      <c r="A109" s="2053"/>
      <c r="B109" s="2009"/>
      <c r="C109" s="1962"/>
      <c r="D109" s="801" t="s">
        <v>1999</v>
      </c>
      <c r="E109" s="1625" t="s">
        <v>2000</v>
      </c>
      <c r="F109" s="801" t="s">
        <v>2001</v>
      </c>
      <c r="G109" s="1590" t="s">
        <v>261</v>
      </c>
      <c r="H109" s="1328"/>
      <c r="I109" s="1328"/>
      <c r="J109" s="1328"/>
      <c r="K109" s="81"/>
      <c r="L109" s="970"/>
      <c r="M109" s="774"/>
    </row>
    <row r="110" spans="1:13" s="775" customFormat="1" ht="33" customHeight="1" x14ac:dyDescent="0.25">
      <c r="A110" s="1141">
        <v>1</v>
      </c>
      <c r="B110" s="2003" t="s">
        <v>2002</v>
      </c>
      <c r="C110" s="2048"/>
      <c r="D110" s="1230">
        <v>2</v>
      </c>
      <c r="E110" s="1617">
        <v>20000</v>
      </c>
      <c r="F110" s="1230">
        <v>12</v>
      </c>
      <c r="G110" s="1617">
        <f>D110*E110*F110</f>
        <v>480000</v>
      </c>
      <c r="K110" s="81"/>
      <c r="L110" s="970"/>
      <c r="M110" s="774"/>
    </row>
    <row r="111" spans="1:13" s="775" customFormat="1" x14ac:dyDescent="0.25">
      <c r="A111" s="1993" t="s">
        <v>39</v>
      </c>
      <c r="B111" s="1993"/>
      <c r="C111" s="1993"/>
      <c r="D111" s="1993"/>
      <c r="E111" s="1993"/>
      <c r="F111" s="1993"/>
      <c r="G111" s="1511">
        <f>G110</f>
        <v>480000</v>
      </c>
      <c r="H111" s="64"/>
      <c r="I111" s="64"/>
      <c r="J111" s="64"/>
      <c r="K111" s="351"/>
      <c r="L111" s="972"/>
      <c r="M111" s="774"/>
    </row>
    <row r="112" spans="1:13" x14ac:dyDescent="0.25">
      <c r="A112" s="1303"/>
      <c r="B112" s="1303"/>
      <c r="C112" s="1303"/>
      <c r="D112" s="1303"/>
      <c r="E112" s="1303"/>
      <c r="F112" s="1303"/>
      <c r="G112" s="64"/>
      <c r="H112" s="344"/>
      <c r="I112" s="81"/>
      <c r="J112" s="70"/>
    </row>
    <row r="113" spans="1:13" s="70" customFormat="1" x14ac:dyDescent="0.25">
      <c r="A113" s="1943" t="s">
        <v>1227</v>
      </c>
      <c r="B113" s="1943"/>
      <c r="C113" s="1943"/>
      <c r="D113" s="1943"/>
      <c r="E113" s="1943"/>
      <c r="F113" s="1943"/>
      <c r="G113" s="69">
        <f>G115</f>
        <v>197472</v>
      </c>
    </row>
    <row r="114" spans="1:13" s="70" customFormat="1" x14ac:dyDescent="0.25">
      <c r="A114" s="1585"/>
      <c r="B114" s="1585"/>
      <c r="C114" s="1585"/>
      <c r="D114" s="1585"/>
      <c r="E114" s="1585"/>
      <c r="F114" s="1585"/>
      <c r="G114" s="69"/>
    </row>
    <row r="115" spans="1:13" s="775" customFormat="1" x14ac:dyDescent="0.2">
      <c r="A115" s="1645" t="s">
        <v>1986</v>
      </c>
      <c r="B115" s="1644"/>
      <c r="C115" s="1497" t="s">
        <v>1704</v>
      </c>
      <c r="D115" s="1645"/>
      <c r="E115" s="1644"/>
      <c r="F115" s="60"/>
      <c r="G115" s="1789">
        <f>G116</f>
        <v>197472</v>
      </c>
      <c r="H115" s="1788"/>
      <c r="I115" s="1328"/>
      <c r="J115" s="1507"/>
      <c r="K115" s="1507"/>
      <c r="L115" s="1505"/>
      <c r="M115" s="774"/>
    </row>
    <row r="116" spans="1:13" s="775" customFormat="1" x14ac:dyDescent="0.2">
      <c r="A116" s="1645" t="s">
        <v>1987</v>
      </c>
      <c r="B116" s="1644"/>
      <c r="C116" s="1497" t="s">
        <v>90</v>
      </c>
      <c r="D116" s="394"/>
      <c r="E116" s="1644"/>
      <c r="F116" s="60"/>
      <c r="G116" s="1789">
        <f>G117</f>
        <v>197472</v>
      </c>
      <c r="H116" s="1788"/>
      <c r="I116" s="1328"/>
      <c r="J116" s="1507"/>
      <c r="K116" s="1507"/>
      <c r="L116" s="1505"/>
      <c r="M116" s="774"/>
    </row>
    <row r="117" spans="1:13" s="775" customFormat="1" x14ac:dyDescent="0.2">
      <c r="A117" s="1647" t="s">
        <v>1503</v>
      </c>
      <c r="B117" s="1647"/>
      <c r="C117" s="2401" t="s">
        <v>1964</v>
      </c>
      <c r="D117" s="2402"/>
      <c r="E117" s="1648"/>
      <c r="F117" s="1648"/>
      <c r="G117" s="1789">
        <f>G124</f>
        <v>197472</v>
      </c>
      <c r="H117" s="1788"/>
      <c r="I117" s="1328"/>
      <c r="J117" s="1507"/>
      <c r="K117" s="1507"/>
      <c r="L117" s="1505"/>
      <c r="M117" s="774"/>
    </row>
    <row r="118" spans="1:13" s="775" customFormat="1" x14ac:dyDescent="0.2">
      <c r="A118" s="1647" t="s">
        <v>1504</v>
      </c>
      <c r="B118" s="1647"/>
      <c r="C118" s="2401" t="s">
        <v>1830</v>
      </c>
      <c r="D118" s="2402"/>
      <c r="E118" s="1648"/>
      <c r="F118" s="1648"/>
      <c r="G118" s="1648"/>
      <c r="H118" s="1788"/>
      <c r="I118" s="1328"/>
      <c r="J118" s="1507"/>
      <c r="K118" s="1507"/>
      <c r="L118" s="1505"/>
      <c r="M118" s="774"/>
    </row>
    <row r="119" spans="1:13" s="775" customFormat="1" x14ac:dyDescent="0.2">
      <c r="A119" s="1644" t="s">
        <v>1153</v>
      </c>
      <c r="B119" s="1644"/>
      <c r="C119" s="1644"/>
      <c r="D119" s="1644"/>
      <c r="E119" s="1644"/>
      <c r="F119" s="1644"/>
      <c r="G119" s="1644"/>
      <c r="H119" s="60"/>
      <c r="I119" s="69"/>
      <c r="J119" s="69"/>
      <c r="K119" s="1507"/>
      <c r="L119" s="1505"/>
      <c r="M119" s="774"/>
    </row>
    <row r="120" spans="1:13" s="775" customFormat="1" ht="15" customHeight="1" x14ac:dyDescent="0.2">
      <c r="A120" s="2024" t="s">
        <v>8</v>
      </c>
      <c r="B120" s="1926" t="s">
        <v>2003</v>
      </c>
      <c r="C120" s="1927"/>
      <c r="D120" s="1990" t="s">
        <v>1827</v>
      </c>
      <c r="E120" s="2026"/>
      <c r="F120" s="2026"/>
      <c r="G120" s="2026"/>
      <c r="K120" s="1507"/>
      <c r="L120" s="1505"/>
      <c r="M120" s="774"/>
    </row>
    <row r="121" spans="1:13" s="775" customFormat="1" ht="105" x14ac:dyDescent="0.2">
      <c r="A121" s="2053"/>
      <c r="B121" s="1927"/>
      <c r="C121" s="1927"/>
      <c r="D121" s="1547" t="s">
        <v>2004</v>
      </c>
      <c r="E121" s="1598" t="s">
        <v>2005</v>
      </c>
      <c r="F121" s="1598" t="s">
        <v>2006</v>
      </c>
      <c r="G121" s="1617" t="s">
        <v>256</v>
      </c>
      <c r="K121" s="1507"/>
      <c r="L121" s="1505"/>
      <c r="M121" s="774"/>
    </row>
    <row r="122" spans="1:13" s="775" customFormat="1" x14ac:dyDescent="0.2">
      <c r="A122" s="1141"/>
      <c r="B122" s="1530" t="s">
        <v>2007</v>
      </c>
      <c r="C122" s="1793"/>
      <c r="D122" s="1142"/>
      <c r="E122" s="1285"/>
      <c r="F122" s="1285"/>
      <c r="G122" s="1532">
        <f>G123</f>
        <v>197472</v>
      </c>
      <c r="K122" s="1507"/>
      <c r="L122" s="1505"/>
      <c r="M122" s="774"/>
    </row>
    <row r="123" spans="1:13" s="775" customFormat="1" x14ac:dyDescent="0.2">
      <c r="A123" s="1079">
        <v>1</v>
      </c>
      <c r="B123" s="2003" t="s">
        <v>2008</v>
      </c>
      <c r="C123" s="2048"/>
      <c r="D123" s="1533">
        <v>2</v>
      </c>
      <c r="E123" s="1142">
        <v>49368</v>
      </c>
      <c r="F123" s="1285">
        <v>2</v>
      </c>
      <c r="G123" s="1616">
        <f>D123*E123*F123</f>
        <v>197472</v>
      </c>
      <c r="H123" s="1328"/>
      <c r="I123" s="1328"/>
      <c r="J123" s="1328"/>
      <c r="K123" s="1507"/>
      <c r="L123" s="1505"/>
      <c r="M123" s="774"/>
    </row>
    <row r="124" spans="1:13" s="775" customFormat="1" x14ac:dyDescent="0.25">
      <c r="A124" s="1993" t="s">
        <v>39</v>
      </c>
      <c r="B124" s="1993"/>
      <c r="C124" s="1993"/>
      <c r="D124" s="1993"/>
      <c r="E124" s="1993"/>
      <c r="F124" s="1993"/>
      <c r="G124" s="1511">
        <f>G122</f>
        <v>197472</v>
      </c>
      <c r="H124" s="64"/>
      <c r="I124" s="64"/>
      <c r="J124" s="64"/>
      <c r="K124" s="351"/>
      <c r="L124" s="972"/>
      <c r="M124" s="774"/>
    </row>
    <row r="125" spans="1:13" s="70" customFormat="1" x14ac:dyDescent="0.25">
      <c r="A125" s="1644"/>
      <c r="B125" s="1644"/>
      <c r="C125" s="1644"/>
      <c r="D125" s="60"/>
      <c r="E125" s="90"/>
      <c r="F125" s="60"/>
      <c r="G125" s="69"/>
    </row>
    <row r="126" spans="1:13" s="70" customFormat="1" hidden="1" x14ac:dyDescent="0.25">
      <c r="A126" s="1644" t="s">
        <v>63</v>
      </c>
      <c r="B126" s="1644"/>
      <c r="C126" s="1644"/>
      <c r="D126" s="60"/>
      <c r="E126" s="90"/>
      <c r="F126" s="60"/>
      <c r="G126" s="69">
        <f>G127</f>
        <v>0</v>
      </c>
    </row>
    <row r="127" spans="1:13" s="70" customFormat="1" hidden="1" x14ac:dyDescent="0.25">
      <c r="A127" s="1644" t="s">
        <v>26</v>
      </c>
      <c r="B127" s="1644"/>
      <c r="C127" s="1644"/>
      <c r="D127" s="60"/>
      <c r="E127" s="90"/>
      <c r="F127" s="60"/>
      <c r="G127" s="69">
        <f>G128</f>
        <v>0</v>
      </c>
    </row>
    <row r="128" spans="1:13" s="70" customFormat="1" hidden="1" x14ac:dyDescent="0.25">
      <c r="A128" s="1644" t="s">
        <v>27</v>
      </c>
      <c r="B128" s="1644"/>
      <c r="C128" s="1644"/>
      <c r="D128" s="60"/>
      <c r="E128" s="90"/>
      <c r="F128" s="60"/>
      <c r="G128" s="69">
        <f>G135+G142</f>
        <v>0</v>
      </c>
    </row>
    <row r="129" spans="1:7" s="70" customFormat="1" hidden="1" x14ac:dyDescent="0.25">
      <c r="A129" s="1908" t="s">
        <v>763</v>
      </c>
      <c r="B129" s="1908"/>
      <c r="C129" s="1908"/>
      <c r="D129" s="1908"/>
      <c r="E129" s="1908"/>
      <c r="F129" s="1908"/>
      <c r="G129" s="1908"/>
    </row>
    <row r="130" spans="1:7" s="70" customFormat="1" hidden="1" x14ac:dyDescent="0.25">
      <c r="A130" s="1898" t="s">
        <v>8</v>
      </c>
      <c r="B130" s="2393" t="s">
        <v>35</v>
      </c>
      <c r="C130" s="2393"/>
      <c r="D130" s="2394" t="s">
        <v>735</v>
      </c>
      <c r="E130" s="2395"/>
      <c r="F130" s="2395"/>
      <c r="G130" s="2396"/>
    </row>
    <row r="131" spans="1:7" s="70" customFormat="1" ht="30" hidden="1" x14ac:dyDescent="0.25">
      <c r="A131" s="1898"/>
      <c r="B131" s="2393"/>
      <c r="C131" s="2393"/>
      <c r="D131" s="1581" t="s">
        <v>764</v>
      </c>
      <c r="E131" s="1581" t="s">
        <v>765</v>
      </c>
      <c r="F131" s="1581" t="s">
        <v>766</v>
      </c>
      <c r="G131" s="1581" t="s">
        <v>256</v>
      </c>
    </row>
    <row r="132" spans="1:7" s="70" customFormat="1" hidden="1" x14ac:dyDescent="0.25">
      <c r="A132" s="1899" t="s">
        <v>760</v>
      </c>
      <c r="B132" s="1900"/>
      <c r="C132" s="1900"/>
      <c r="D132" s="1900"/>
      <c r="E132" s="1900"/>
      <c r="F132" s="1900"/>
      <c r="G132" s="1901"/>
    </row>
    <row r="133" spans="1:7" s="70" customFormat="1" hidden="1" x14ac:dyDescent="0.25">
      <c r="A133" s="1581">
        <v>1</v>
      </c>
      <c r="B133" s="1892" t="s">
        <v>761</v>
      </c>
      <c r="C133" s="2406"/>
      <c r="D133" s="1588"/>
      <c r="E133" s="1581"/>
      <c r="F133" s="1581"/>
      <c r="G133" s="393">
        <f>D133*E133</f>
        <v>0</v>
      </c>
    </row>
    <row r="134" spans="1:7" s="70" customFormat="1" hidden="1" x14ac:dyDescent="0.25">
      <c r="A134" s="1581">
        <v>2</v>
      </c>
      <c r="B134" s="1892" t="s">
        <v>762</v>
      </c>
      <c r="C134" s="2406"/>
      <c r="D134" s="1588"/>
      <c r="E134" s="1581"/>
      <c r="F134" s="1581"/>
      <c r="G134" s="393">
        <f>D134*E134</f>
        <v>0</v>
      </c>
    </row>
    <row r="135" spans="1:7" s="70" customFormat="1" hidden="1" x14ac:dyDescent="0.25">
      <c r="A135" s="2393" t="s">
        <v>39</v>
      </c>
      <c r="B135" s="2393"/>
      <c r="C135" s="2393"/>
      <c r="D135" s="393" t="s">
        <v>5</v>
      </c>
      <c r="E135" s="93" t="s">
        <v>5</v>
      </c>
      <c r="F135" s="93" t="s">
        <v>5</v>
      </c>
      <c r="G135" s="393">
        <f>SUM(G133:G134)</f>
        <v>0</v>
      </c>
    </row>
    <row r="136" spans="1:7" s="70" customFormat="1" hidden="1" x14ac:dyDescent="0.25">
      <c r="A136" s="1794"/>
      <c r="B136" s="1794"/>
      <c r="C136" s="1794"/>
      <c r="D136" s="1794"/>
      <c r="E136" s="1147"/>
      <c r="F136" s="1147"/>
      <c r="G136" s="98"/>
    </row>
    <row r="137" spans="1:7" s="70" customFormat="1" hidden="1" x14ac:dyDescent="0.25">
      <c r="A137" s="1908" t="s">
        <v>767</v>
      </c>
      <c r="B137" s="1908"/>
      <c r="C137" s="1908"/>
      <c r="D137" s="1908"/>
      <c r="E137" s="1908"/>
      <c r="F137" s="1908"/>
      <c r="G137" s="1908"/>
    </row>
    <row r="138" spans="1:7" s="70" customFormat="1" hidden="1" x14ac:dyDescent="0.25">
      <c r="A138" s="1898" t="s">
        <v>8</v>
      </c>
      <c r="B138" s="2393" t="s">
        <v>35</v>
      </c>
      <c r="C138" s="2393"/>
      <c r="D138" s="2394" t="s">
        <v>735</v>
      </c>
      <c r="E138" s="2395"/>
      <c r="F138" s="2395"/>
      <c r="G138" s="2396"/>
    </row>
    <row r="139" spans="1:7" s="70" customFormat="1" ht="45" hidden="1" x14ac:dyDescent="0.25">
      <c r="A139" s="1898"/>
      <c r="B139" s="2393"/>
      <c r="C139" s="2393"/>
      <c r="D139" s="1581" t="s">
        <v>768</v>
      </c>
      <c r="E139" s="1581" t="s">
        <v>765</v>
      </c>
      <c r="F139" s="1581" t="s">
        <v>36</v>
      </c>
      <c r="G139" s="1581" t="s">
        <v>256</v>
      </c>
    </row>
    <row r="140" spans="1:7" s="70" customFormat="1" hidden="1" x14ac:dyDescent="0.25">
      <c r="A140" s="1899" t="s">
        <v>760</v>
      </c>
      <c r="B140" s="1900"/>
      <c r="C140" s="1900"/>
      <c r="D140" s="1900"/>
      <c r="E140" s="1900"/>
      <c r="F140" s="1900"/>
      <c r="G140" s="1901"/>
    </row>
    <row r="141" spans="1:7" s="70" customFormat="1" hidden="1" x14ac:dyDescent="0.25">
      <c r="A141" s="1581">
        <v>1</v>
      </c>
      <c r="B141" s="1892" t="s">
        <v>120</v>
      </c>
      <c r="C141" s="2406"/>
      <c r="D141" s="777"/>
      <c r="E141" s="1581"/>
      <c r="F141" s="1581"/>
      <c r="G141" s="393">
        <f>D141*E141*F141</f>
        <v>0</v>
      </c>
    </row>
    <row r="142" spans="1:7" s="70" customFormat="1" hidden="1" x14ac:dyDescent="0.25">
      <c r="A142" s="2393" t="s">
        <v>39</v>
      </c>
      <c r="B142" s="2393"/>
      <c r="C142" s="2393"/>
      <c r="D142" s="393" t="s">
        <v>5</v>
      </c>
      <c r="E142" s="93" t="s">
        <v>5</v>
      </c>
      <c r="F142" s="93" t="s">
        <v>5</v>
      </c>
      <c r="G142" s="393">
        <f>SUM(G141:G141)</f>
        <v>0</v>
      </c>
    </row>
    <row r="143" spans="1:7" s="70" customFormat="1" hidden="1" x14ac:dyDescent="0.25">
      <c r="A143" s="1585"/>
      <c r="B143" s="1585"/>
      <c r="C143" s="1585"/>
      <c r="D143" s="1585"/>
      <c r="E143" s="1585"/>
      <c r="F143" s="1585"/>
      <c r="G143" s="69"/>
    </row>
    <row r="144" spans="1:7" s="70" customFormat="1" x14ac:dyDescent="0.25">
      <c r="A144" s="1644" t="s">
        <v>1228</v>
      </c>
      <c r="B144" s="1644"/>
      <c r="C144" s="1644"/>
      <c r="D144" s="1644"/>
      <c r="E144" s="60"/>
      <c r="F144" s="69"/>
      <c r="G144" s="69">
        <v>0</v>
      </c>
    </row>
    <row r="145" spans="1:17" s="70" customFormat="1" x14ac:dyDescent="0.25">
      <c r="A145" s="1644" t="s">
        <v>1229</v>
      </c>
      <c r="B145" s="1644"/>
      <c r="C145" s="1644"/>
      <c r="D145" s="1644"/>
      <c r="E145" s="60"/>
      <c r="F145" s="69"/>
      <c r="G145" s="69">
        <v>0</v>
      </c>
    </row>
    <row r="146" spans="1:17" x14ac:dyDescent="0.25">
      <c r="A146" s="1644" t="s">
        <v>1230</v>
      </c>
      <c r="D146" s="1644"/>
      <c r="E146" s="60"/>
      <c r="G146" s="69">
        <v>0</v>
      </c>
      <c r="H146" s="75"/>
      <c r="I146" s="75"/>
      <c r="J146" s="75"/>
      <c r="K146" s="75"/>
    </row>
    <row r="147" spans="1:17" x14ac:dyDescent="0.25">
      <c r="A147" s="1644" t="s">
        <v>1231</v>
      </c>
      <c r="D147" s="1644"/>
      <c r="E147" s="60"/>
      <c r="G147" s="69">
        <f>G150</f>
        <v>3395161</v>
      </c>
      <c r="H147" s="75"/>
      <c r="I147" s="75"/>
      <c r="J147" s="75"/>
      <c r="K147" s="75"/>
    </row>
    <row r="148" spans="1:17" hidden="1" x14ac:dyDescent="0.25">
      <c r="A148" s="1644" t="s">
        <v>823</v>
      </c>
      <c r="B148" s="74"/>
      <c r="C148" s="74"/>
      <c r="D148" s="74"/>
      <c r="E148" s="98"/>
      <c r="F148" s="98"/>
      <c r="G148" s="98"/>
      <c r="H148" s="79"/>
      <c r="I148" s="79"/>
      <c r="J148" s="79"/>
      <c r="K148" s="79"/>
      <c r="L148" s="70"/>
      <c r="M148" s="70"/>
      <c r="N148" s="70"/>
      <c r="O148" s="70"/>
      <c r="P148" s="70"/>
      <c r="Q148" s="70"/>
    </row>
    <row r="149" spans="1:17" x14ac:dyDescent="0.25">
      <c r="B149" s="74"/>
      <c r="C149" s="74"/>
      <c r="D149" s="74"/>
      <c r="E149" s="98"/>
      <c r="F149" s="98"/>
      <c r="G149" s="98"/>
      <c r="H149" s="79"/>
      <c r="I149" s="79"/>
      <c r="J149" s="79"/>
      <c r="K149" s="79"/>
      <c r="L149" s="70"/>
      <c r="M149" s="70"/>
      <c r="N149" s="70"/>
      <c r="O149" s="70"/>
      <c r="P149" s="70"/>
      <c r="Q149" s="70"/>
    </row>
    <row r="150" spans="1:17" x14ac:dyDescent="0.25">
      <c r="A150" s="1645" t="s">
        <v>305</v>
      </c>
      <c r="B150" s="1645"/>
      <c r="C150" s="86" t="s">
        <v>71</v>
      </c>
      <c r="D150" s="74"/>
      <c r="E150" s="98"/>
      <c r="F150" s="98"/>
      <c r="G150" s="64">
        <f>G152+G179+G218+G228+G238</f>
        <v>3395161</v>
      </c>
      <c r="H150" s="79"/>
      <c r="I150" s="79"/>
      <c r="J150" s="79"/>
      <c r="K150" s="79"/>
      <c r="L150" s="70"/>
      <c r="M150" s="70"/>
      <c r="N150" s="70"/>
      <c r="O150" s="70"/>
      <c r="P150" s="70"/>
      <c r="Q150" s="70"/>
    </row>
    <row r="151" spans="1:17" x14ac:dyDescent="0.25">
      <c r="A151" s="1645"/>
      <c r="B151" s="1645"/>
      <c r="C151" s="86"/>
      <c r="D151" s="74"/>
      <c r="E151" s="98"/>
      <c r="F151" s="98"/>
      <c r="G151" s="64"/>
      <c r="H151" s="79"/>
      <c r="I151" s="79"/>
      <c r="J151" s="79"/>
      <c r="K151" s="79"/>
      <c r="L151" s="70"/>
      <c r="M151" s="70"/>
      <c r="N151" s="70"/>
      <c r="O151" s="70"/>
      <c r="P151" s="70"/>
      <c r="Q151" s="70"/>
    </row>
    <row r="152" spans="1:17" x14ac:dyDescent="0.25">
      <c r="A152" s="1645" t="s">
        <v>63</v>
      </c>
      <c r="C152" s="94" t="s">
        <v>70</v>
      </c>
      <c r="D152" s="74"/>
      <c r="E152" s="98"/>
      <c r="F152" s="98"/>
      <c r="G152" s="64">
        <f>G153</f>
        <v>160000</v>
      </c>
    </row>
    <row r="153" spans="1:17" s="775" customFormat="1" x14ac:dyDescent="0.2">
      <c r="A153" s="1645" t="s">
        <v>26</v>
      </c>
      <c r="B153" s="1645"/>
      <c r="C153" s="86" t="s">
        <v>1969</v>
      </c>
      <c r="D153" s="1644"/>
      <c r="E153" s="60"/>
      <c r="F153" s="69"/>
      <c r="G153" s="85">
        <f>G160</f>
        <v>160000</v>
      </c>
      <c r="H153" s="70"/>
      <c r="I153" s="70"/>
      <c r="J153" s="1504"/>
      <c r="K153" s="1504"/>
      <c r="L153" s="1505"/>
      <c r="M153" s="774"/>
    </row>
    <row r="154" spans="1:17" s="775" customFormat="1" x14ac:dyDescent="0.2">
      <c r="A154" s="1645" t="s">
        <v>27</v>
      </c>
      <c r="B154" s="1645"/>
      <c r="C154" s="86" t="s">
        <v>1830</v>
      </c>
      <c r="D154" s="1644"/>
      <c r="E154" s="60"/>
      <c r="F154" s="69"/>
      <c r="G154" s="85"/>
      <c r="H154" s="1784"/>
      <c r="I154" s="70"/>
      <c r="J154" s="1504"/>
      <c r="K154" s="1504"/>
      <c r="L154" s="1505"/>
      <c r="M154" s="774"/>
    </row>
    <row r="155" spans="1:17" s="1650" customFormat="1" ht="15.75" customHeight="1" x14ac:dyDescent="0.25">
      <c r="A155" s="2382" t="s">
        <v>2009</v>
      </c>
      <c r="B155" s="2382"/>
      <c r="C155" s="2382"/>
      <c r="D155" s="2382"/>
      <c r="E155" s="2382"/>
      <c r="F155" s="2382"/>
      <c r="G155" s="2382"/>
      <c r="H155" s="774"/>
      <c r="I155" s="970"/>
      <c r="J155" s="970"/>
      <c r="K155" s="970"/>
    </row>
    <row r="156" spans="1:17" s="1650" customFormat="1" ht="15.75" customHeight="1" x14ac:dyDescent="0.25">
      <c r="A156" s="2092" t="s">
        <v>8</v>
      </c>
      <c r="B156" s="1914" t="s">
        <v>35</v>
      </c>
      <c r="C156" s="1915"/>
      <c r="D156" s="2092" t="s">
        <v>61</v>
      </c>
      <c r="E156" s="1898" t="s">
        <v>1827</v>
      </c>
      <c r="F156" s="1898"/>
      <c r="G156" s="1898"/>
      <c r="H156" s="774"/>
      <c r="I156" s="970"/>
      <c r="J156" s="970"/>
      <c r="K156" s="970"/>
    </row>
    <row r="157" spans="1:17" s="1650" customFormat="1" ht="30" x14ac:dyDescent="0.25">
      <c r="A157" s="2053"/>
      <c r="B157" s="1918"/>
      <c r="C157" s="1919"/>
      <c r="D157" s="2053"/>
      <c r="E157" s="1581" t="s">
        <v>248</v>
      </c>
      <c r="F157" s="1581" t="s">
        <v>264</v>
      </c>
      <c r="G157" s="1581" t="s">
        <v>256</v>
      </c>
      <c r="H157" s="1602"/>
      <c r="I157" s="1602"/>
      <c r="J157" s="1602"/>
      <c r="K157" s="1602"/>
      <c r="L157" s="1602"/>
    </row>
    <row r="158" spans="1:17" s="1650" customFormat="1" ht="33" customHeight="1" x14ac:dyDescent="0.25">
      <c r="A158" s="1175">
        <v>1</v>
      </c>
      <c r="B158" s="2379" t="s">
        <v>2010</v>
      </c>
      <c r="C158" s="2380"/>
      <c r="D158" s="1551" t="s">
        <v>245</v>
      </c>
      <c r="E158" s="1534">
        <v>1</v>
      </c>
      <c r="F158" s="1363">
        <v>80000</v>
      </c>
      <c r="G158" s="1535">
        <f>E158*F158</f>
        <v>80000</v>
      </c>
      <c r="H158" s="774"/>
      <c r="I158" s="970"/>
      <c r="J158" s="970"/>
      <c r="K158" s="970"/>
      <c r="L158" s="970"/>
    </row>
    <row r="159" spans="1:17" s="1650" customFormat="1" ht="33" customHeight="1" x14ac:dyDescent="0.25">
      <c r="A159" s="1175">
        <v>1</v>
      </c>
      <c r="B159" s="2379" t="s">
        <v>2011</v>
      </c>
      <c r="C159" s="2380"/>
      <c r="D159" s="1551" t="s">
        <v>245</v>
      </c>
      <c r="E159" s="1534">
        <v>1</v>
      </c>
      <c r="F159" s="1363">
        <v>80000</v>
      </c>
      <c r="G159" s="1535">
        <f>E159*F159</f>
        <v>80000</v>
      </c>
      <c r="H159" s="774"/>
      <c r="I159" s="970"/>
      <c r="J159" s="970"/>
      <c r="K159" s="970"/>
      <c r="L159" s="970"/>
    </row>
    <row r="160" spans="1:17" s="1650" customFormat="1" x14ac:dyDescent="0.25">
      <c r="A160" s="2407" t="s">
        <v>39</v>
      </c>
      <c r="B160" s="2384"/>
      <c r="C160" s="2384"/>
      <c r="D160" s="2384"/>
      <c r="E160" s="2384"/>
      <c r="F160" s="2385"/>
      <c r="G160" s="1537">
        <f>SUM(G158:G159)</f>
        <v>160000</v>
      </c>
      <c r="H160" s="1593"/>
      <c r="I160" s="970"/>
      <c r="J160" s="970"/>
      <c r="K160" s="970"/>
      <c r="L160" s="970"/>
    </row>
    <row r="161" spans="1:17" ht="10.5" customHeight="1" x14ac:dyDescent="0.25">
      <c r="A161" s="1645"/>
      <c r="C161" s="94"/>
      <c r="D161" s="74"/>
      <c r="E161" s="98"/>
      <c r="F161" s="98"/>
      <c r="G161" s="64"/>
    </row>
    <row r="162" spans="1:17" hidden="1" x14ac:dyDescent="0.25">
      <c r="A162" s="1645" t="s">
        <v>26</v>
      </c>
      <c r="B162" s="1645"/>
      <c r="C162" s="86" t="s">
        <v>770</v>
      </c>
      <c r="D162" s="1644"/>
      <c r="E162" s="60"/>
      <c r="F162" s="69"/>
      <c r="G162" s="85">
        <f>G176</f>
        <v>0</v>
      </c>
    </row>
    <row r="163" spans="1:17" hidden="1" x14ac:dyDescent="0.25">
      <c r="A163" s="1645" t="s">
        <v>27</v>
      </c>
      <c r="B163" s="1645"/>
      <c r="C163" s="86" t="s">
        <v>1499</v>
      </c>
      <c r="D163" s="1644"/>
      <c r="E163" s="60"/>
      <c r="F163" s="69"/>
      <c r="G163" s="85"/>
    </row>
    <row r="164" spans="1:17" hidden="1" x14ac:dyDescent="0.25">
      <c r="A164" s="1644" t="s">
        <v>310</v>
      </c>
      <c r="B164" s="72"/>
      <c r="C164" s="72"/>
      <c r="D164" s="72"/>
      <c r="E164" s="74"/>
      <c r="F164" s="74"/>
      <c r="G164" s="74"/>
      <c r="H164" s="79"/>
      <c r="I164" s="79"/>
      <c r="J164" s="79"/>
      <c r="K164" s="79"/>
      <c r="L164" s="70"/>
      <c r="M164" s="70"/>
      <c r="N164" s="70"/>
      <c r="O164" s="70"/>
      <c r="P164" s="70"/>
      <c r="Q164" s="70"/>
    </row>
    <row r="165" spans="1:17" hidden="1" x14ac:dyDescent="0.25">
      <c r="A165" s="1898" t="s">
        <v>8</v>
      </c>
      <c r="B165" s="1898" t="s">
        <v>35</v>
      </c>
      <c r="C165" s="1898"/>
      <c r="D165" s="1898" t="s">
        <v>61</v>
      </c>
      <c r="E165" s="1898" t="s">
        <v>1476</v>
      </c>
      <c r="F165" s="1898"/>
      <c r="G165" s="1898"/>
      <c r="H165" s="79"/>
      <c r="I165" s="79"/>
      <c r="J165" s="79"/>
      <c r="K165" s="79"/>
      <c r="L165" s="70"/>
      <c r="M165" s="70"/>
      <c r="N165" s="70"/>
      <c r="O165" s="70"/>
      <c r="P165" s="70"/>
      <c r="Q165" s="70"/>
    </row>
    <row r="166" spans="1:17" ht="32.25" hidden="1" customHeight="1" x14ac:dyDescent="0.25">
      <c r="A166" s="1898"/>
      <c r="B166" s="1898"/>
      <c r="C166" s="1898"/>
      <c r="D166" s="1898"/>
      <c r="E166" s="1581" t="s">
        <v>248</v>
      </c>
      <c r="F166" s="1581" t="s">
        <v>264</v>
      </c>
      <c r="G166" s="1581" t="s">
        <v>256</v>
      </c>
      <c r="H166" s="79"/>
      <c r="I166" s="79"/>
      <c r="J166" s="79"/>
      <c r="K166" s="79"/>
      <c r="L166" s="70"/>
      <c r="M166" s="70"/>
      <c r="N166" s="70"/>
      <c r="O166" s="70"/>
      <c r="P166" s="70"/>
      <c r="Q166" s="70"/>
    </row>
    <row r="167" spans="1:17" ht="34.5" hidden="1" customHeight="1" x14ac:dyDescent="0.25">
      <c r="A167" s="933">
        <v>1</v>
      </c>
      <c r="B167" s="1921" t="s">
        <v>649</v>
      </c>
      <c r="C167" s="1922"/>
      <c r="D167" s="783"/>
      <c r="E167" s="93"/>
      <c r="F167" s="393"/>
      <c r="G167" s="393"/>
      <c r="H167" s="79"/>
      <c r="I167" s="79"/>
      <c r="J167" s="79"/>
      <c r="K167" s="79"/>
      <c r="L167" s="70"/>
      <c r="M167" s="70"/>
      <c r="N167" s="70"/>
      <c r="O167" s="70"/>
      <c r="P167" s="70"/>
      <c r="Q167" s="70"/>
    </row>
    <row r="168" spans="1:17" ht="61.9" hidden="1" customHeight="1" x14ac:dyDescent="0.25">
      <c r="A168" s="933">
        <v>2</v>
      </c>
      <c r="B168" s="1921" t="s">
        <v>757</v>
      </c>
      <c r="C168" s="1922"/>
      <c r="D168" s="783"/>
      <c r="E168" s="93"/>
      <c r="F168" s="393"/>
      <c r="G168" s="393"/>
      <c r="H168" s="79"/>
      <c r="I168" s="79"/>
      <c r="J168" s="79"/>
      <c r="K168" s="79"/>
      <c r="L168" s="70"/>
      <c r="M168" s="70"/>
      <c r="N168" s="70"/>
      <c r="O168" s="70"/>
      <c r="P168" s="70"/>
      <c r="Q168" s="70"/>
    </row>
    <row r="169" spans="1:17" hidden="1" x14ac:dyDescent="0.25">
      <c r="A169" s="1895" t="s">
        <v>39</v>
      </c>
      <c r="B169" s="1895"/>
      <c r="C169" s="1895"/>
      <c r="D169" s="1895"/>
      <c r="E169" s="101" t="s">
        <v>82</v>
      </c>
      <c r="F169" s="101" t="s">
        <v>5</v>
      </c>
      <c r="G169" s="101">
        <f>SUM(G167:G168)</f>
        <v>0</v>
      </c>
      <c r="H169" s="79"/>
      <c r="I169" s="79"/>
      <c r="J169" s="79"/>
      <c r="K169" s="79"/>
      <c r="L169" s="70"/>
      <c r="M169" s="70"/>
      <c r="N169" s="70"/>
      <c r="O169" s="70"/>
      <c r="P169" s="70"/>
      <c r="Q169" s="70"/>
    </row>
    <row r="170" spans="1:17" hidden="1" x14ac:dyDescent="0.25">
      <c r="B170" s="74"/>
      <c r="C170" s="74"/>
      <c r="D170" s="74"/>
      <c r="E170" s="98"/>
      <c r="F170" s="98"/>
      <c r="G170" s="98"/>
      <c r="H170" s="79"/>
      <c r="I170" s="79"/>
      <c r="J170" s="79"/>
      <c r="K170" s="79"/>
      <c r="L170" s="70"/>
      <c r="M170" s="70"/>
      <c r="N170" s="70"/>
      <c r="O170" s="70"/>
      <c r="P170" s="70"/>
      <c r="Q170" s="70"/>
    </row>
    <row r="171" spans="1:17" hidden="1" x14ac:dyDescent="0.25">
      <c r="A171" s="1644" t="s">
        <v>1501</v>
      </c>
      <c r="D171" s="1644"/>
      <c r="E171" s="60"/>
    </row>
    <row r="172" spans="1:17" hidden="1" x14ac:dyDescent="0.25">
      <c r="A172" s="2092" t="s">
        <v>8</v>
      </c>
      <c r="B172" s="1914" t="s">
        <v>35</v>
      </c>
      <c r="C172" s="1915"/>
      <c r="D172" s="2092" t="s">
        <v>61</v>
      </c>
      <c r="E172" s="1898" t="s">
        <v>1476</v>
      </c>
      <c r="F172" s="1898"/>
      <c r="G172" s="1898"/>
    </row>
    <row r="173" spans="1:17" ht="30" hidden="1" x14ac:dyDescent="0.25">
      <c r="A173" s="2053"/>
      <c r="B173" s="1918"/>
      <c r="C173" s="1919"/>
      <c r="D173" s="2053"/>
      <c r="E173" s="1581" t="s">
        <v>248</v>
      </c>
      <c r="F173" s="1581" t="s">
        <v>264</v>
      </c>
      <c r="G173" s="1581" t="s">
        <v>256</v>
      </c>
    </row>
    <row r="174" spans="1:17" hidden="1" x14ac:dyDescent="0.25">
      <c r="A174" s="2373" t="s">
        <v>1498</v>
      </c>
      <c r="B174" s="2374"/>
      <c r="C174" s="2374"/>
      <c r="D174" s="2374"/>
      <c r="E174" s="2374"/>
      <c r="F174" s="2374"/>
      <c r="G174" s="2375"/>
    </row>
    <row r="175" spans="1:17" hidden="1" x14ac:dyDescent="0.25">
      <c r="A175" s="1625">
        <v>1</v>
      </c>
      <c r="B175" s="1892" t="s">
        <v>1502</v>
      </c>
      <c r="C175" s="1893"/>
      <c r="D175" s="1625" t="s">
        <v>399</v>
      </c>
      <c r="E175" s="1581"/>
      <c r="F175" s="393"/>
      <c r="G175" s="393">
        <f>E175*F175</f>
        <v>0</v>
      </c>
    </row>
    <row r="176" spans="1:17" hidden="1" x14ac:dyDescent="0.25">
      <c r="A176" s="1946" t="s">
        <v>39</v>
      </c>
      <c r="B176" s="1947"/>
      <c r="C176" s="1947"/>
      <c r="D176" s="1948"/>
      <c r="E176" s="101" t="s">
        <v>5</v>
      </c>
      <c r="F176" s="101" t="s">
        <v>5</v>
      </c>
      <c r="G176" s="101">
        <f>SUM(G175:G175)</f>
        <v>0</v>
      </c>
    </row>
    <row r="177" spans="1:17" hidden="1" x14ac:dyDescent="0.25">
      <c r="B177" s="74"/>
      <c r="C177" s="74"/>
      <c r="D177" s="74"/>
      <c r="E177" s="98"/>
      <c r="F177" s="98"/>
      <c r="G177" s="98"/>
      <c r="H177" s="79"/>
      <c r="I177" s="79"/>
      <c r="J177" s="79"/>
      <c r="K177" s="79"/>
      <c r="L177" s="70"/>
      <c r="M177" s="70"/>
      <c r="N177" s="70"/>
      <c r="O177" s="70"/>
      <c r="P177" s="70"/>
      <c r="Q177" s="70"/>
    </row>
    <row r="178" spans="1:17" s="87" customFormat="1" ht="14.25" hidden="1" x14ac:dyDescent="0.25">
      <c r="A178" s="1645" t="s">
        <v>769</v>
      </c>
      <c r="B178" s="1586"/>
      <c r="C178" s="1586"/>
      <c r="D178" s="1586"/>
      <c r="E178" s="1586"/>
      <c r="F178" s="1586"/>
      <c r="G178" s="109"/>
      <c r="H178" s="363"/>
      <c r="I178" s="363"/>
      <c r="J178" s="363"/>
      <c r="K178" s="363"/>
      <c r="L178" s="354"/>
      <c r="M178" s="354"/>
      <c r="N178" s="354"/>
      <c r="O178" s="354"/>
      <c r="P178" s="354"/>
    </row>
    <row r="179" spans="1:17" x14ac:dyDescent="0.25">
      <c r="A179" s="1645" t="s">
        <v>63</v>
      </c>
      <c r="C179" s="94" t="s">
        <v>80</v>
      </c>
      <c r="D179" s="74"/>
      <c r="E179" s="98"/>
      <c r="F179" s="98"/>
      <c r="G179" s="64">
        <f>G199+G190+G181</f>
        <v>3195181</v>
      </c>
    </row>
    <row r="180" spans="1:17" ht="11.25" customHeight="1" x14ac:dyDescent="0.25">
      <c r="A180" s="1645"/>
      <c r="C180" s="94"/>
      <c r="D180" s="74"/>
      <c r="E180" s="98"/>
      <c r="F180" s="98"/>
      <c r="G180" s="64"/>
    </row>
    <row r="181" spans="1:17" s="775" customFormat="1" x14ac:dyDescent="0.2">
      <c r="A181" s="1645" t="s">
        <v>26</v>
      </c>
      <c r="B181" s="1645"/>
      <c r="C181" s="86" t="s">
        <v>1969</v>
      </c>
      <c r="D181" s="1644"/>
      <c r="E181" s="60"/>
      <c r="F181" s="69"/>
      <c r="G181" s="85">
        <f>G188</f>
        <v>3164000</v>
      </c>
      <c r="H181" s="70"/>
      <c r="I181" s="70"/>
      <c r="J181" s="1504"/>
      <c r="K181" s="1504"/>
      <c r="L181" s="1505"/>
      <c r="M181" s="774"/>
    </row>
    <row r="182" spans="1:17" s="775" customFormat="1" x14ac:dyDescent="0.2">
      <c r="A182" s="1645" t="s">
        <v>27</v>
      </c>
      <c r="B182" s="1645"/>
      <c r="C182" s="86" t="s">
        <v>1830</v>
      </c>
      <c r="D182" s="1644"/>
      <c r="E182" s="60"/>
      <c r="F182" s="69"/>
      <c r="G182" s="85"/>
      <c r="H182" s="1784"/>
      <c r="I182" s="70"/>
      <c r="J182" s="1504"/>
      <c r="K182" s="1504"/>
      <c r="L182" s="1505"/>
      <c r="M182" s="774"/>
    </row>
    <row r="183" spans="1:17" s="1650" customFormat="1" x14ac:dyDescent="0.25">
      <c r="A183" s="2382" t="s">
        <v>2012</v>
      </c>
      <c r="B183" s="2382"/>
      <c r="C183" s="2382"/>
      <c r="D183" s="2382"/>
      <c r="E183" s="2382"/>
      <c r="F183" s="2382"/>
      <c r="G183" s="2382"/>
      <c r="H183" s="774"/>
      <c r="I183" s="970"/>
      <c r="J183" s="970"/>
      <c r="K183" s="970"/>
    </row>
    <row r="184" spans="1:17" s="1650" customFormat="1" x14ac:dyDescent="0.25">
      <c r="A184" s="2092" t="s">
        <v>8</v>
      </c>
      <c r="B184" s="1914" t="s">
        <v>35</v>
      </c>
      <c r="C184" s="1915"/>
      <c r="D184" s="2092" t="s">
        <v>61</v>
      </c>
      <c r="E184" s="1898" t="s">
        <v>1827</v>
      </c>
      <c r="F184" s="1898"/>
      <c r="G184" s="1898"/>
      <c r="H184" s="774"/>
      <c r="I184" s="970"/>
      <c r="J184" s="970"/>
      <c r="K184" s="970"/>
    </row>
    <row r="185" spans="1:17" s="1650" customFormat="1" ht="33.75" customHeight="1" x14ac:dyDescent="0.25">
      <c r="A185" s="2053"/>
      <c r="B185" s="1918"/>
      <c r="C185" s="1919"/>
      <c r="D185" s="2053"/>
      <c r="E185" s="1581" t="s">
        <v>248</v>
      </c>
      <c r="F185" s="1581" t="s">
        <v>264</v>
      </c>
      <c r="G185" s="1581" t="s">
        <v>256</v>
      </c>
      <c r="H185" s="1602"/>
      <c r="I185" s="1602"/>
      <c r="J185" s="1602"/>
      <c r="K185" s="1602"/>
      <c r="L185" s="1602"/>
    </row>
    <row r="186" spans="1:17" s="1650" customFormat="1" ht="48.75" customHeight="1" x14ac:dyDescent="0.25">
      <c r="A186" s="1175">
        <v>1</v>
      </c>
      <c r="B186" s="2379" t="s">
        <v>2013</v>
      </c>
      <c r="C186" s="2380"/>
      <c r="D186" s="1551" t="s">
        <v>245</v>
      </c>
      <c r="E186" s="1534">
        <v>1</v>
      </c>
      <c r="F186" s="1363">
        <v>1471000</v>
      </c>
      <c r="G186" s="1535">
        <f>E186*F186</f>
        <v>1471000</v>
      </c>
      <c r="H186" s="774"/>
      <c r="I186" s="970"/>
      <c r="J186" s="970"/>
      <c r="K186" s="970"/>
      <c r="L186" s="970"/>
    </row>
    <row r="187" spans="1:17" s="1650" customFormat="1" ht="50.25" customHeight="1" x14ac:dyDescent="0.25">
      <c r="A187" s="1175">
        <v>2</v>
      </c>
      <c r="B187" s="2379" t="s">
        <v>2014</v>
      </c>
      <c r="C187" s="2380"/>
      <c r="D187" s="1551" t="s">
        <v>245</v>
      </c>
      <c r="E187" s="1534">
        <v>1</v>
      </c>
      <c r="F187" s="1363">
        <v>1693000</v>
      </c>
      <c r="G187" s="1535">
        <f>E187*F187</f>
        <v>1693000</v>
      </c>
      <c r="H187" s="774"/>
      <c r="I187" s="970"/>
      <c r="J187" s="970"/>
      <c r="K187" s="970"/>
      <c r="L187" s="970"/>
    </row>
    <row r="188" spans="1:17" s="1650" customFormat="1" ht="15.75" customHeight="1" x14ac:dyDescent="0.25">
      <c r="A188" s="2407" t="s">
        <v>39</v>
      </c>
      <c r="B188" s="2384"/>
      <c r="C188" s="2384"/>
      <c r="D188" s="2384"/>
      <c r="E188" s="2384"/>
      <c r="F188" s="2385"/>
      <c r="G188" s="1537">
        <f>SUM(G186:G187)</f>
        <v>3164000</v>
      </c>
      <c r="H188" s="1593"/>
      <c r="I188" s="970"/>
      <c r="J188" s="970"/>
      <c r="K188" s="970"/>
      <c r="L188" s="970"/>
    </row>
    <row r="189" spans="1:17" x14ac:dyDescent="0.25">
      <c r="A189" s="1645"/>
      <c r="C189" s="94"/>
      <c r="D189" s="74"/>
      <c r="E189" s="98"/>
      <c r="F189" s="98"/>
      <c r="G189" s="64"/>
    </row>
    <row r="190" spans="1:17" s="775" customFormat="1" ht="15.75" customHeight="1" x14ac:dyDescent="0.2">
      <c r="A190" s="1647" t="s">
        <v>1503</v>
      </c>
      <c r="B190" s="1647"/>
      <c r="C190" s="86" t="s">
        <v>770</v>
      </c>
      <c r="D190" s="1647"/>
      <c r="E190" s="1647"/>
      <c r="F190" s="1647"/>
      <c r="G190" s="1789">
        <f>G197</f>
        <v>13900</v>
      </c>
      <c r="H190" s="1788"/>
      <c r="I190" s="1328"/>
      <c r="J190" s="1328"/>
      <c r="K190" s="1328"/>
      <c r="L190" s="1328"/>
    </row>
    <row r="191" spans="1:17" s="775" customFormat="1" ht="15.75" customHeight="1" x14ac:dyDescent="0.2">
      <c r="A191" s="1647" t="s">
        <v>1504</v>
      </c>
      <c r="B191" s="1647"/>
      <c r="C191" s="86" t="s">
        <v>2018</v>
      </c>
      <c r="D191" s="1647"/>
      <c r="E191" s="1647"/>
      <c r="F191" s="1647"/>
      <c r="G191" s="1647"/>
      <c r="H191" s="1788"/>
      <c r="I191" s="1328"/>
      <c r="J191" s="1328"/>
      <c r="K191" s="1328"/>
    </row>
    <row r="192" spans="1:17" s="1650" customFormat="1" x14ac:dyDescent="0.25">
      <c r="A192" s="2382" t="s">
        <v>1719</v>
      </c>
      <c r="B192" s="2382"/>
      <c r="C192" s="2382"/>
      <c r="D192" s="2382"/>
      <c r="E192" s="2382"/>
      <c r="F192" s="2382"/>
      <c r="G192" s="2382"/>
      <c r="H192" s="774"/>
      <c r="I192" s="970"/>
      <c r="J192" s="970"/>
      <c r="K192" s="970"/>
    </row>
    <row r="193" spans="1:12" s="1650" customFormat="1" x14ac:dyDescent="0.25">
      <c r="A193" s="2092" t="s">
        <v>8</v>
      </c>
      <c r="B193" s="1914" t="s">
        <v>35</v>
      </c>
      <c r="C193" s="1915"/>
      <c r="D193" s="2092" t="s">
        <v>61</v>
      </c>
      <c r="E193" s="1898" t="s">
        <v>1827</v>
      </c>
      <c r="F193" s="1898"/>
      <c r="G193" s="1898"/>
      <c r="H193" s="774"/>
      <c r="I193" s="970"/>
      <c r="J193" s="970"/>
      <c r="K193" s="970"/>
    </row>
    <row r="194" spans="1:12" s="1650" customFormat="1" ht="30" x14ac:dyDescent="0.25">
      <c r="A194" s="2053"/>
      <c r="B194" s="1918"/>
      <c r="C194" s="1919"/>
      <c r="D194" s="2053"/>
      <c r="E194" s="1581" t="s">
        <v>248</v>
      </c>
      <c r="F194" s="1581" t="s">
        <v>264</v>
      </c>
      <c r="G194" s="1581" t="s">
        <v>256</v>
      </c>
      <c r="H194" s="1602"/>
      <c r="I194" s="1602"/>
      <c r="J194" s="1602"/>
      <c r="K194" s="1602"/>
      <c r="L194" s="1602"/>
    </row>
    <row r="195" spans="1:12" x14ac:dyDescent="0.25">
      <c r="A195" s="2373" t="s">
        <v>1498</v>
      </c>
      <c r="B195" s="2374"/>
      <c r="C195" s="2374"/>
      <c r="D195" s="2374"/>
      <c r="E195" s="2374"/>
      <c r="F195" s="2374"/>
      <c r="G195" s="2375"/>
    </row>
    <row r="196" spans="1:12" s="1650" customFormat="1" x14ac:dyDescent="0.25">
      <c r="A196" s="541">
        <v>1</v>
      </c>
      <c r="B196" s="2379" t="s">
        <v>2020</v>
      </c>
      <c r="C196" s="2380"/>
      <c r="D196" s="1625" t="s">
        <v>245</v>
      </c>
      <c r="E196" s="1006">
        <v>1</v>
      </c>
      <c r="F196" s="386">
        <v>13900</v>
      </c>
      <c r="G196" s="711">
        <f>E196*F196</f>
        <v>13900</v>
      </c>
      <c r="H196" s="1788"/>
      <c r="I196" s="970"/>
      <c r="J196" s="970"/>
      <c r="K196" s="970"/>
      <c r="L196" s="970"/>
    </row>
    <row r="197" spans="1:12" s="1650" customFormat="1" ht="15.75" customHeight="1" x14ac:dyDescent="0.25">
      <c r="A197" s="2383" t="s">
        <v>39</v>
      </c>
      <c r="B197" s="2384"/>
      <c r="C197" s="2384"/>
      <c r="D197" s="2384"/>
      <c r="E197" s="2384"/>
      <c r="F197" s="2385"/>
      <c r="G197" s="1252">
        <f>SUM(G196:G196)</f>
        <v>13900</v>
      </c>
      <c r="H197" s="1593"/>
      <c r="I197" s="972"/>
      <c r="J197" s="970"/>
      <c r="K197" s="970"/>
      <c r="L197" s="970"/>
    </row>
    <row r="198" spans="1:12" ht="11.25" customHeight="1" x14ac:dyDescent="0.25">
      <c r="A198" s="1645"/>
      <c r="C198" s="94"/>
      <c r="D198" s="74"/>
      <c r="E198" s="98"/>
      <c r="F198" s="98"/>
      <c r="G198" s="64"/>
    </row>
    <row r="199" spans="1:12" s="775" customFormat="1" ht="15.75" customHeight="1" x14ac:dyDescent="0.2">
      <c r="A199" s="1647" t="s">
        <v>1503</v>
      </c>
      <c r="B199" s="1647"/>
      <c r="C199" s="1647" t="s">
        <v>1497</v>
      </c>
      <c r="D199" s="1647"/>
      <c r="E199" s="1647"/>
      <c r="F199" s="1647"/>
      <c r="G199" s="1789">
        <f>G208</f>
        <v>17281</v>
      </c>
      <c r="H199" s="1788"/>
      <c r="I199" s="1328"/>
      <c r="J199" s="1328"/>
      <c r="K199" s="1328"/>
      <c r="L199" s="1328"/>
    </row>
    <row r="200" spans="1:12" s="775" customFormat="1" ht="15.75" customHeight="1" x14ac:dyDescent="0.2">
      <c r="A200" s="1647" t="s">
        <v>1504</v>
      </c>
      <c r="B200" s="1647"/>
      <c r="C200" s="86" t="s">
        <v>1830</v>
      </c>
      <c r="D200" s="1647"/>
      <c r="E200" s="1647"/>
      <c r="F200" s="1647"/>
      <c r="G200" s="1647"/>
      <c r="H200" s="1788"/>
      <c r="I200" s="1328"/>
      <c r="J200" s="1328"/>
      <c r="K200" s="1328"/>
    </row>
    <row r="201" spans="1:12" s="1650" customFormat="1" x14ac:dyDescent="0.25">
      <c r="A201" s="2382" t="s">
        <v>1535</v>
      </c>
      <c r="B201" s="2382"/>
      <c r="C201" s="2382"/>
      <c r="D201" s="2382"/>
      <c r="E201" s="2382"/>
      <c r="F201" s="2382"/>
      <c r="G201" s="2382"/>
      <c r="H201" s="774"/>
      <c r="I201" s="970"/>
      <c r="J201" s="970"/>
      <c r="K201" s="970"/>
    </row>
    <row r="202" spans="1:12" s="1650" customFormat="1" x14ac:dyDescent="0.25">
      <c r="A202" s="2092" t="s">
        <v>8</v>
      </c>
      <c r="B202" s="1914" t="s">
        <v>35</v>
      </c>
      <c r="C202" s="1915"/>
      <c r="D202" s="2092" t="s">
        <v>61</v>
      </c>
      <c r="E202" s="1898" t="s">
        <v>1827</v>
      </c>
      <c r="F202" s="1898"/>
      <c r="G202" s="1898"/>
      <c r="H202" s="774"/>
      <c r="I202" s="970"/>
      <c r="J202" s="970"/>
      <c r="K202" s="970"/>
    </row>
    <row r="203" spans="1:12" s="1650" customFormat="1" ht="30" x14ac:dyDescent="0.25">
      <c r="A203" s="2053"/>
      <c r="B203" s="1918"/>
      <c r="C203" s="1919"/>
      <c r="D203" s="2053"/>
      <c r="E203" s="1581" t="s">
        <v>248</v>
      </c>
      <c r="F203" s="1581" t="s">
        <v>264</v>
      </c>
      <c r="G203" s="1581" t="s">
        <v>256</v>
      </c>
      <c r="H203" s="1602"/>
      <c r="I203" s="1602"/>
      <c r="J203" s="1602"/>
      <c r="K203" s="1602"/>
      <c r="L203" s="1602"/>
    </row>
    <row r="204" spans="1:12" s="1650" customFormat="1" x14ac:dyDescent="0.25">
      <c r="A204" s="541">
        <v>1</v>
      </c>
      <c r="B204" s="2381" t="s">
        <v>2015</v>
      </c>
      <c r="C204" s="2380"/>
      <c r="D204" s="1625" t="s">
        <v>245</v>
      </c>
      <c r="E204" s="1006">
        <v>1</v>
      </c>
      <c r="F204" s="386">
        <v>8498</v>
      </c>
      <c r="G204" s="711">
        <f>E204*F204</f>
        <v>8498</v>
      </c>
      <c r="H204" s="1788"/>
      <c r="I204" s="970"/>
      <c r="J204" s="970"/>
      <c r="K204" s="970"/>
      <c r="L204" s="970"/>
    </row>
    <row r="205" spans="1:12" s="1650" customFormat="1" x14ac:dyDescent="0.25">
      <c r="A205" s="541">
        <v>2</v>
      </c>
      <c r="B205" s="2381" t="s">
        <v>2016</v>
      </c>
      <c r="C205" s="2380"/>
      <c r="D205" s="1625" t="s">
        <v>245</v>
      </c>
      <c r="E205" s="1006">
        <v>1</v>
      </c>
      <c r="F205" s="386">
        <v>4594</v>
      </c>
      <c r="G205" s="711">
        <f>E205*F205</f>
        <v>4594</v>
      </c>
      <c r="H205" s="1788"/>
      <c r="I205" s="970"/>
      <c r="J205" s="970"/>
      <c r="K205" s="970"/>
      <c r="L205" s="970"/>
    </row>
    <row r="206" spans="1:12" s="1650" customFormat="1" x14ac:dyDescent="0.25">
      <c r="A206" s="541">
        <v>2</v>
      </c>
      <c r="B206" s="2381" t="s">
        <v>2017</v>
      </c>
      <c r="C206" s="2380"/>
      <c r="D206" s="1625" t="s">
        <v>245</v>
      </c>
      <c r="E206" s="1006">
        <v>1</v>
      </c>
      <c r="F206" s="386">
        <v>4189</v>
      </c>
      <c r="G206" s="711">
        <f>E206*F206</f>
        <v>4189</v>
      </c>
      <c r="H206" s="1788"/>
      <c r="I206" s="970"/>
      <c r="J206" s="970"/>
      <c r="K206" s="970"/>
      <c r="L206" s="970"/>
    </row>
    <row r="207" spans="1:12" s="1650" customFormat="1" ht="15.75" hidden="1" x14ac:dyDescent="0.25">
      <c r="A207" s="2376" t="s">
        <v>1506</v>
      </c>
      <c r="B207" s="2377"/>
      <c r="C207" s="2377"/>
      <c r="D207" s="2377"/>
      <c r="E207" s="2377"/>
      <c r="F207" s="2378"/>
      <c r="G207" s="711">
        <f>1278-1278</f>
        <v>0</v>
      </c>
      <c r="H207" s="1788"/>
      <c r="I207" s="970"/>
      <c r="J207" s="970"/>
      <c r="K207" s="970"/>
      <c r="L207" s="970"/>
    </row>
    <row r="208" spans="1:12" s="1650" customFormat="1" ht="15.75" customHeight="1" x14ac:dyDescent="0.25">
      <c r="A208" s="2383" t="s">
        <v>39</v>
      </c>
      <c r="B208" s="2384"/>
      <c r="C208" s="2384"/>
      <c r="D208" s="2384"/>
      <c r="E208" s="2384"/>
      <c r="F208" s="2385"/>
      <c r="G208" s="1252">
        <f>SUM(G204:G207)</f>
        <v>17281</v>
      </c>
      <c r="H208" s="1593"/>
      <c r="I208" s="972"/>
      <c r="J208" s="970"/>
      <c r="K208" s="970"/>
      <c r="L208" s="970"/>
    </row>
    <row r="209" spans="1:12" ht="11.25" customHeight="1" x14ac:dyDescent="0.25">
      <c r="A209" s="1645"/>
      <c r="C209" s="94"/>
      <c r="D209" s="74"/>
      <c r="E209" s="98"/>
      <c r="F209" s="98"/>
      <c r="G209" s="64"/>
    </row>
    <row r="210" spans="1:12" hidden="1" x14ac:dyDescent="0.25">
      <c r="A210" s="1645" t="s">
        <v>26</v>
      </c>
      <c r="B210" s="1645"/>
      <c r="C210" s="86" t="s">
        <v>1369</v>
      </c>
      <c r="D210" s="1644"/>
      <c r="E210" s="60"/>
      <c r="F210" s="69"/>
      <c r="G210" s="85">
        <f>G217</f>
        <v>0</v>
      </c>
    </row>
    <row r="211" spans="1:12" hidden="1" x14ac:dyDescent="0.25">
      <c r="A211" s="1645" t="s">
        <v>27</v>
      </c>
      <c r="B211" s="1645"/>
      <c r="C211" s="86" t="s">
        <v>1370</v>
      </c>
      <c r="D211" s="1644"/>
      <c r="E211" s="60"/>
      <c r="F211" s="69"/>
      <c r="G211" s="85"/>
    </row>
    <row r="212" spans="1:12" hidden="1" x14ac:dyDescent="0.25">
      <c r="A212" s="1644" t="s">
        <v>771</v>
      </c>
      <c r="D212" s="1644"/>
      <c r="E212" s="60"/>
    </row>
    <row r="213" spans="1:12" hidden="1" x14ac:dyDescent="0.25">
      <c r="A213" s="2092" t="s">
        <v>8</v>
      </c>
      <c r="B213" s="1914" t="s">
        <v>35</v>
      </c>
      <c r="C213" s="1915"/>
      <c r="D213" s="2092" t="s">
        <v>61</v>
      </c>
      <c r="E213" s="1898" t="s">
        <v>735</v>
      </c>
      <c r="F213" s="1898"/>
      <c r="G213" s="1898"/>
    </row>
    <row r="214" spans="1:12" ht="30" hidden="1" x14ac:dyDescent="0.25">
      <c r="A214" s="2053"/>
      <c r="B214" s="1918"/>
      <c r="C214" s="1919"/>
      <c r="D214" s="2053"/>
      <c r="E214" s="1581" t="s">
        <v>248</v>
      </c>
      <c r="F214" s="1581" t="s">
        <v>264</v>
      </c>
      <c r="G214" s="1581" t="s">
        <v>256</v>
      </c>
    </row>
    <row r="215" spans="1:12" hidden="1" x14ac:dyDescent="0.25">
      <c r="A215" s="2373" t="s">
        <v>1371</v>
      </c>
      <c r="B215" s="2374"/>
      <c r="C215" s="2374"/>
      <c r="D215" s="2374"/>
      <c r="E215" s="2374"/>
      <c r="F215" s="2374"/>
      <c r="G215" s="2375"/>
    </row>
    <row r="216" spans="1:12" hidden="1" x14ac:dyDescent="0.25">
      <c r="A216" s="1625">
        <v>1</v>
      </c>
      <c r="B216" s="1892" t="s">
        <v>772</v>
      </c>
      <c r="C216" s="1893"/>
      <c r="D216" s="1625" t="s">
        <v>245</v>
      </c>
      <c r="E216" s="1581"/>
      <c r="F216" s="393"/>
      <c r="G216" s="393">
        <f>E216*F216</f>
        <v>0</v>
      </c>
    </row>
    <row r="217" spans="1:12" hidden="1" x14ac:dyDescent="0.25">
      <c r="A217" s="1946" t="s">
        <v>39</v>
      </c>
      <c r="B217" s="1947"/>
      <c r="C217" s="1947"/>
      <c r="D217" s="1948"/>
      <c r="E217" s="101" t="s">
        <v>5</v>
      </c>
      <c r="F217" s="101" t="s">
        <v>5</v>
      </c>
      <c r="G217" s="101">
        <f>SUM(G216:G216)</f>
        <v>0</v>
      </c>
    </row>
    <row r="218" spans="1:12" x14ac:dyDescent="0.25">
      <c r="A218" s="1645" t="s">
        <v>63</v>
      </c>
      <c r="C218" s="94" t="s">
        <v>1505</v>
      </c>
      <c r="D218" s="74"/>
      <c r="E218" s="98"/>
      <c r="F218" s="98"/>
      <c r="G218" s="64">
        <f>G219</f>
        <v>16380</v>
      </c>
    </row>
    <row r="219" spans="1:12" s="775" customFormat="1" ht="15.75" customHeight="1" x14ac:dyDescent="0.2">
      <c r="A219" s="1647" t="s">
        <v>1503</v>
      </c>
      <c r="B219" s="1647"/>
      <c r="C219" s="1647" t="s">
        <v>1497</v>
      </c>
      <c r="D219" s="1647"/>
      <c r="E219" s="1647"/>
      <c r="F219" s="1647"/>
      <c r="G219" s="1789">
        <f>G226</f>
        <v>16380</v>
      </c>
      <c r="H219" s="1788"/>
      <c r="I219" s="1328"/>
      <c r="J219" s="1328"/>
      <c r="K219" s="1328"/>
      <c r="L219" s="1328"/>
    </row>
    <row r="220" spans="1:12" s="775" customFormat="1" ht="15.75" customHeight="1" x14ac:dyDescent="0.2">
      <c r="A220" s="1647" t="s">
        <v>1504</v>
      </c>
      <c r="B220" s="1647"/>
      <c r="C220" s="86" t="s">
        <v>1830</v>
      </c>
      <c r="D220" s="1647"/>
      <c r="E220" s="1647"/>
      <c r="F220" s="1647"/>
      <c r="G220" s="1647"/>
      <c r="H220" s="1788"/>
      <c r="I220" s="1328"/>
      <c r="J220" s="1328"/>
      <c r="K220" s="1328"/>
    </row>
    <row r="221" spans="1:12" s="1650" customFormat="1" x14ac:dyDescent="0.25">
      <c r="A221" s="2382" t="s">
        <v>1535</v>
      </c>
      <c r="B221" s="2382"/>
      <c r="C221" s="2382"/>
      <c r="D221" s="2382"/>
      <c r="E221" s="2382"/>
      <c r="F221" s="2382"/>
      <c r="G221" s="2382"/>
      <c r="H221" s="774"/>
      <c r="I221" s="970"/>
      <c r="J221" s="970"/>
      <c r="K221" s="970"/>
    </row>
    <row r="222" spans="1:12" s="1650" customFormat="1" x14ac:dyDescent="0.25">
      <c r="A222" s="2092" t="s">
        <v>8</v>
      </c>
      <c r="B222" s="1914" t="s">
        <v>35</v>
      </c>
      <c r="C222" s="1915"/>
      <c r="D222" s="2092" t="s">
        <v>61</v>
      </c>
      <c r="E222" s="1898" t="s">
        <v>1827</v>
      </c>
      <c r="F222" s="1898"/>
      <c r="G222" s="1898"/>
      <c r="H222" s="774"/>
      <c r="I222" s="970"/>
      <c r="J222" s="970"/>
      <c r="K222" s="970"/>
    </row>
    <row r="223" spans="1:12" s="1650" customFormat="1" ht="30" x14ac:dyDescent="0.25">
      <c r="A223" s="2053"/>
      <c r="B223" s="1918"/>
      <c r="C223" s="1919"/>
      <c r="D223" s="2053"/>
      <c r="E223" s="1581" t="s">
        <v>248</v>
      </c>
      <c r="F223" s="1581" t="s">
        <v>264</v>
      </c>
      <c r="G223" s="1581" t="s">
        <v>256</v>
      </c>
      <c r="H223" s="1602"/>
      <c r="I223" s="1602"/>
      <c r="J223" s="1602"/>
      <c r="K223" s="1602"/>
      <c r="L223" s="1602"/>
    </row>
    <row r="224" spans="1:12" s="1650" customFormat="1" ht="15" customHeight="1" x14ac:dyDescent="0.25">
      <c r="A224" s="541">
        <v>1</v>
      </c>
      <c r="B224" s="2381" t="s">
        <v>2019</v>
      </c>
      <c r="C224" s="2380"/>
      <c r="D224" s="1625" t="s">
        <v>724</v>
      </c>
      <c r="E224" s="1006">
        <v>10</v>
      </c>
      <c r="F224" s="386">
        <v>1638</v>
      </c>
      <c r="G224" s="711">
        <f>E224*F224</f>
        <v>16380</v>
      </c>
      <c r="H224" s="1788"/>
      <c r="I224" s="970"/>
      <c r="J224" s="970"/>
      <c r="K224" s="970"/>
      <c r="L224" s="970"/>
    </row>
    <row r="225" spans="1:12" s="1650" customFormat="1" ht="15.75" hidden="1" x14ac:dyDescent="0.25">
      <c r="A225" s="2376" t="s">
        <v>1506</v>
      </c>
      <c r="B225" s="2377"/>
      <c r="C225" s="2377"/>
      <c r="D225" s="2377"/>
      <c r="E225" s="2377"/>
      <c r="F225" s="2378"/>
      <c r="G225" s="711">
        <f>1000-1000</f>
        <v>0</v>
      </c>
      <c r="H225" s="1788"/>
      <c r="I225" s="970"/>
      <c r="J225" s="970"/>
      <c r="K225" s="970"/>
      <c r="L225" s="970"/>
    </row>
    <row r="226" spans="1:12" s="1650" customFormat="1" ht="15.75" customHeight="1" x14ac:dyDescent="0.25">
      <c r="A226" s="2383" t="s">
        <v>39</v>
      </c>
      <c r="B226" s="2384"/>
      <c r="C226" s="2384"/>
      <c r="D226" s="2384"/>
      <c r="E226" s="2384"/>
      <c r="F226" s="2385"/>
      <c r="G226" s="1252">
        <f>SUM(G224:G225)</f>
        <v>16380</v>
      </c>
      <c r="H226" s="1593"/>
      <c r="I226" s="972"/>
      <c r="J226" s="970"/>
      <c r="K226" s="970"/>
      <c r="L226" s="970"/>
    </row>
    <row r="227" spans="1:12" x14ac:dyDescent="0.25">
      <c r="A227" s="63"/>
      <c r="B227" s="63"/>
      <c r="C227" s="63"/>
      <c r="D227" s="63"/>
      <c r="E227" s="92"/>
      <c r="F227" s="92"/>
      <c r="G227" s="92"/>
    </row>
    <row r="228" spans="1:12" hidden="1" x14ac:dyDescent="0.25">
      <c r="A228" s="1645" t="s">
        <v>63</v>
      </c>
      <c r="C228" s="94" t="s">
        <v>81</v>
      </c>
      <c r="D228" s="74"/>
      <c r="E228" s="98"/>
      <c r="F228" s="98"/>
      <c r="G228" s="64">
        <f>G229</f>
        <v>0</v>
      </c>
    </row>
    <row r="229" spans="1:12" hidden="1" x14ac:dyDescent="0.25">
      <c r="A229" s="1645" t="s">
        <v>26</v>
      </c>
      <c r="B229" s="1645"/>
      <c r="C229" s="86" t="s">
        <v>770</v>
      </c>
      <c r="D229" s="1644"/>
      <c r="E229" s="60"/>
      <c r="F229" s="69"/>
      <c r="G229" s="85">
        <f>G236</f>
        <v>0</v>
      </c>
    </row>
    <row r="230" spans="1:12" hidden="1" x14ac:dyDescent="0.25">
      <c r="A230" s="1645" t="s">
        <v>27</v>
      </c>
      <c r="B230" s="1645"/>
      <c r="C230" s="86" t="s">
        <v>1499</v>
      </c>
      <c r="D230" s="1644"/>
      <c r="E230" s="60"/>
      <c r="F230" s="69"/>
      <c r="G230" s="85"/>
    </row>
    <row r="231" spans="1:12" hidden="1" x14ac:dyDescent="0.25">
      <c r="A231" s="1644" t="s">
        <v>1804</v>
      </c>
      <c r="D231" s="1644"/>
      <c r="E231" s="60"/>
    </row>
    <row r="232" spans="1:12" hidden="1" x14ac:dyDescent="0.25">
      <c r="A232" s="2092" t="s">
        <v>8</v>
      </c>
      <c r="B232" s="1914" t="s">
        <v>35</v>
      </c>
      <c r="C232" s="1915"/>
      <c r="D232" s="2092" t="s">
        <v>61</v>
      </c>
      <c r="E232" s="1898" t="s">
        <v>1476</v>
      </c>
      <c r="F232" s="1898"/>
      <c r="G232" s="1898"/>
    </row>
    <row r="233" spans="1:12" ht="31.5" hidden="1" customHeight="1" x14ac:dyDescent="0.25">
      <c r="A233" s="2053"/>
      <c r="B233" s="1918"/>
      <c r="C233" s="1919"/>
      <c r="D233" s="2053"/>
      <c r="E233" s="1581" t="s">
        <v>248</v>
      </c>
      <c r="F233" s="1581" t="s">
        <v>264</v>
      </c>
      <c r="G233" s="1581" t="s">
        <v>256</v>
      </c>
    </row>
    <row r="234" spans="1:12" hidden="1" x14ac:dyDescent="0.25">
      <c r="A234" s="2373" t="s">
        <v>1498</v>
      </c>
      <c r="B234" s="2374"/>
      <c r="C234" s="2374"/>
      <c r="D234" s="2374"/>
      <c r="E234" s="2374"/>
      <c r="F234" s="2374"/>
      <c r="G234" s="2375"/>
    </row>
    <row r="235" spans="1:12" ht="15" hidden="1" customHeight="1" x14ac:dyDescent="0.25">
      <c r="A235" s="1625">
        <v>1</v>
      </c>
      <c r="B235" s="1892" t="s">
        <v>1806</v>
      </c>
      <c r="C235" s="1893"/>
      <c r="D235" s="1625" t="s">
        <v>399</v>
      </c>
      <c r="E235" s="1581"/>
      <c r="F235" s="393"/>
      <c r="G235" s="393">
        <f>E235*F235</f>
        <v>0</v>
      </c>
    </row>
    <row r="236" spans="1:12" hidden="1" x14ac:dyDescent="0.25">
      <c r="A236" s="1946" t="s">
        <v>39</v>
      </c>
      <c r="B236" s="1947"/>
      <c r="C236" s="1947"/>
      <c r="D236" s="1948"/>
      <c r="E236" s="101" t="s">
        <v>5</v>
      </c>
      <c r="F236" s="101" t="s">
        <v>5</v>
      </c>
      <c r="G236" s="101">
        <f>SUM(G235:G235)</f>
        <v>0</v>
      </c>
    </row>
    <row r="237" spans="1:12" hidden="1" x14ac:dyDescent="0.25">
      <c r="A237" s="1303"/>
      <c r="B237" s="1303"/>
      <c r="C237" s="1303"/>
      <c r="D237" s="1303"/>
      <c r="E237" s="1147"/>
      <c r="F237" s="1147"/>
      <c r="G237" s="64"/>
    </row>
    <row r="238" spans="1:12" x14ac:dyDescent="0.25">
      <c r="A238" s="1645" t="s">
        <v>63</v>
      </c>
      <c r="C238" s="94" t="s">
        <v>98</v>
      </c>
      <c r="D238" s="74"/>
      <c r="E238" s="98"/>
      <c r="F238" s="98"/>
      <c r="G238" s="64">
        <f>G257+G240</f>
        <v>23600</v>
      </c>
    </row>
    <row r="239" spans="1:12" hidden="1" x14ac:dyDescent="0.25">
      <c r="A239" s="1645"/>
      <c r="C239" s="94"/>
      <c r="D239" s="74"/>
      <c r="E239" s="98"/>
      <c r="F239" s="98"/>
      <c r="G239" s="64"/>
    </row>
    <row r="240" spans="1:12" hidden="1" x14ac:dyDescent="0.25">
      <c r="A240" s="1645" t="s">
        <v>26</v>
      </c>
      <c r="B240" s="1645"/>
      <c r="C240" s="1647" t="s">
        <v>1369</v>
      </c>
      <c r="D240" s="1644"/>
      <c r="E240" s="60"/>
      <c r="F240" s="69"/>
      <c r="G240" s="85">
        <f>G247+G255</f>
        <v>0</v>
      </c>
    </row>
    <row r="241" spans="1:7" hidden="1" x14ac:dyDescent="0.25">
      <c r="A241" s="1645" t="s">
        <v>27</v>
      </c>
      <c r="B241" s="1645"/>
      <c r="C241" s="1647" t="s">
        <v>115</v>
      </c>
      <c r="D241" s="1644"/>
      <c r="E241" s="60"/>
      <c r="F241" s="69"/>
      <c r="G241" s="85"/>
    </row>
    <row r="242" spans="1:7" hidden="1" x14ac:dyDescent="0.25">
      <c r="A242" s="1644" t="s">
        <v>773</v>
      </c>
      <c r="D242" s="1644"/>
      <c r="E242" s="60"/>
    </row>
    <row r="243" spans="1:7" hidden="1" x14ac:dyDescent="0.25">
      <c r="A243" s="2092" t="s">
        <v>8</v>
      </c>
      <c r="B243" s="1914" t="s">
        <v>35</v>
      </c>
      <c r="C243" s="1915"/>
      <c r="D243" s="2092" t="s">
        <v>61</v>
      </c>
      <c r="E243" s="1898" t="s">
        <v>1476</v>
      </c>
      <c r="F243" s="1898"/>
      <c r="G243" s="1898"/>
    </row>
    <row r="244" spans="1:7" ht="30" hidden="1" x14ac:dyDescent="0.25">
      <c r="A244" s="2053"/>
      <c r="B244" s="1918"/>
      <c r="C244" s="1919"/>
      <c r="D244" s="2053"/>
      <c r="E244" s="1581" t="s">
        <v>248</v>
      </c>
      <c r="F244" s="1581" t="s">
        <v>264</v>
      </c>
      <c r="G244" s="1581" t="s">
        <v>256</v>
      </c>
    </row>
    <row r="245" spans="1:7" hidden="1" x14ac:dyDescent="0.25">
      <c r="A245" s="2373" t="s">
        <v>1734</v>
      </c>
      <c r="B245" s="2374"/>
      <c r="C245" s="2374"/>
      <c r="D245" s="2374"/>
      <c r="E245" s="2374"/>
      <c r="F245" s="2374"/>
      <c r="G245" s="2375"/>
    </row>
    <row r="246" spans="1:7" hidden="1" x14ac:dyDescent="0.25">
      <c r="A246" s="1590">
        <v>1</v>
      </c>
      <c r="B246" s="2371" t="s">
        <v>1500</v>
      </c>
      <c r="C246" s="2372"/>
      <c r="D246" s="1773" t="s">
        <v>245</v>
      </c>
      <c r="E246" s="759"/>
      <c r="F246" s="884"/>
      <c r="G246" s="393">
        <f>E246*F246</f>
        <v>0</v>
      </c>
    </row>
    <row r="247" spans="1:7" hidden="1" x14ac:dyDescent="0.25">
      <c r="A247" s="1946" t="s">
        <v>39</v>
      </c>
      <c r="B247" s="1947"/>
      <c r="C247" s="1947"/>
      <c r="D247" s="1948"/>
      <c r="E247" s="101" t="s">
        <v>5</v>
      </c>
      <c r="F247" s="101" t="s">
        <v>5</v>
      </c>
      <c r="G247" s="101">
        <f>SUM(G246:G246)</f>
        <v>0</v>
      </c>
    </row>
    <row r="248" spans="1:7" hidden="1" x14ac:dyDescent="0.25">
      <c r="A248" s="63"/>
      <c r="B248" s="63"/>
      <c r="C248" s="63"/>
      <c r="D248" s="63"/>
      <c r="E248" s="92"/>
      <c r="F248" s="92"/>
      <c r="G248" s="92"/>
    </row>
    <row r="249" spans="1:7" hidden="1" x14ac:dyDescent="0.25">
      <c r="A249" s="1644" t="s">
        <v>773</v>
      </c>
      <c r="D249" s="1644"/>
      <c r="E249" s="60"/>
    </row>
    <row r="250" spans="1:7" hidden="1" x14ac:dyDescent="0.25">
      <c r="A250" s="2092" t="s">
        <v>8</v>
      </c>
      <c r="B250" s="1914" t="s">
        <v>35</v>
      </c>
      <c r="C250" s="1915"/>
      <c r="D250" s="2092" t="s">
        <v>61</v>
      </c>
      <c r="E250" s="1898" t="s">
        <v>1476</v>
      </c>
      <c r="F250" s="1898"/>
      <c r="G250" s="1898"/>
    </row>
    <row r="251" spans="1:7" ht="30" hidden="1" x14ac:dyDescent="0.25">
      <c r="A251" s="2053"/>
      <c r="B251" s="1918"/>
      <c r="C251" s="1919"/>
      <c r="D251" s="2053"/>
      <c r="E251" s="1581" t="s">
        <v>248</v>
      </c>
      <c r="F251" s="1581" t="s">
        <v>264</v>
      </c>
      <c r="G251" s="1581" t="s">
        <v>256</v>
      </c>
    </row>
    <row r="252" spans="1:7" hidden="1" x14ac:dyDescent="0.25">
      <c r="A252" s="2373" t="s">
        <v>1799</v>
      </c>
      <c r="B252" s="2374"/>
      <c r="C252" s="2374"/>
      <c r="D252" s="2374"/>
      <c r="E252" s="2374"/>
      <c r="F252" s="2374"/>
      <c r="G252" s="2375"/>
    </row>
    <row r="253" spans="1:7" hidden="1" x14ac:dyDescent="0.25">
      <c r="A253" s="1590">
        <v>1</v>
      </c>
      <c r="B253" s="2371" t="s">
        <v>1720</v>
      </c>
      <c r="C253" s="2372"/>
      <c r="D253" s="1773" t="s">
        <v>245</v>
      </c>
      <c r="E253" s="759"/>
      <c r="F253" s="884"/>
      <c r="G253" s="393">
        <f>E253*F253</f>
        <v>0</v>
      </c>
    </row>
    <row r="254" spans="1:7" hidden="1" x14ac:dyDescent="0.25">
      <c r="A254" s="1590">
        <v>2</v>
      </c>
      <c r="B254" s="2371" t="s">
        <v>1721</v>
      </c>
      <c r="C254" s="2372"/>
      <c r="D254" s="1773" t="s">
        <v>245</v>
      </c>
      <c r="E254" s="759"/>
      <c r="F254" s="884"/>
      <c r="G254" s="393">
        <f>E254*F254</f>
        <v>0</v>
      </c>
    </row>
    <row r="255" spans="1:7" hidden="1" x14ac:dyDescent="0.25">
      <c r="A255" s="1946" t="s">
        <v>39</v>
      </c>
      <c r="B255" s="1947"/>
      <c r="C255" s="1947"/>
      <c r="D255" s="1948"/>
      <c r="E255" s="101" t="s">
        <v>5</v>
      </c>
      <c r="F255" s="101" t="s">
        <v>5</v>
      </c>
      <c r="G255" s="101">
        <f>SUM(G253:G254)</f>
        <v>0</v>
      </c>
    </row>
    <row r="256" spans="1:7" hidden="1" x14ac:dyDescent="0.25">
      <c r="A256" s="63"/>
      <c r="B256" s="63"/>
      <c r="C256" s="63"/>
      <c r="D256" s="63"/>
      <c r="E256" s="92"/>
      <c r="F256" s="92"/>
      <c r="G256" s="92"/>
    </row>
    <row r="257" spans="1:7" x14ac:dyDescent="0.25">
      <c r="A257" s="1645" t="s">
        <v>26</v>
      </c>
      <c r="B257" s="1645"/>
      <c r="C257" s="86" t="s">
        <v>770</v>
      </c>
      <c r="D257" s="1644"/>
      <c r="E257" s="60"/>
      <c r="F257" s="69"/>
      <c r="G257" s="85">
        <f>G265</f>
        <v>23600</v>
      </c>
    </row>
    <row r="258" spans="1:7" x14ac:dyDescent="0.25">
      <c r="A258" s="1645" t="s">
        <v>27</v>
      </c>
      <c r="B258" s="1645"/>
      <c r="C258" s="86" t="s">
        <v>2018</v>
      </c>
      <c r="D258" s="1644"/>
      <c r="E258" s="60"/>
      <c r="F258" s="69"/>
      <c r="G258" s="85"/>
    </row>
    <row r="259" spans="1:7" x14ac:dyDescent="0.25">
      <c r="A259" s="1644" t="s">
        <v>773</v>
      </c>
      <c r="D259" s="1644"/>
      <c r="E259" s="60"/>
    </row>
    <row r="260" spans="1:7" x14ac:dyDescent="0.25">
      <c r="A260" s="2092" t="s">
        <v>8</v>
      </c>
      <c r="B260" s="1914" t="s">
        <v>35</v>
      </c>
      <c r="C260" s="1915"/>
      <c r="D260" s="2092" t="s">
        <v>61</v>
      </c>
      <c r="E260" s="1898" t="s">
        <v>1827</v>
      </c>
      <c r="F260" s="1898"/>
      <c r="G260" s="1898"/>
    </row>
    <row r="261" spans="1:7" ht="30" x14ac:dyDescent="0.25">
      <c r="A261" s="2053"/>
      <c r="B261" s="1918"/>
      <c r="C261" s="1919"/>
      <c r="D261" s="2053"/>
      <c r="E261" s="1581" t="s">
        <v>248</v>
      </c>
      <c r="F261" s="1581" t="s">
        <v>264</v>
      </c>
      <c r="G261" s="1581" t="s">
        <v>256</v>
      </c>
    </row>
    <row r="262" spans="1:7" x14ac:dyDescent="0.25">
      <c r="A262" s="2373" t="s">
        <v>1498</v>
      </c>
      <c r="B262" s="2374"/>
      <c r="C262" s="2374"/>
      <c r="D262" s="2374"/>
      <c r="E262" s="2374"/>
      <c r="F262" s="2374"/>
      <c r="G262" s="2375"/>
    </row>
    <row r="263" spans="1:7" x14ac:dyDescent="0.25">
      <c r="A263" s="1590">
        <v>1</v>
      </c>
      <c r="B263" s="2371" t="s">
        <v>1500</v>
      </c>
      <c r="C263" s="2372"/>
      <c r="D263" s="1773" t="s">
        <v>245</v>
      </c>
      <c r="E263" s="759">
        <v>20</v>
      </c>
      <c r="F263" s="884">
        <v>80</v>
      </c>
      <c r="G263" s="393">
        <f>E263*F263</f>
        <v>1600</v>
      </c>
    </row>
    <row r="264" spans="1:7" x14ac:dyDescent="0.25">
      <c r="A264" s="1625">
        <v>2</v>
      </c>
      <c r="B264" s="1892" t="s">
        <v>1807</v>
      </c>
      <c r="C264" s="1893"/>
      <c r="D264" s="1625" t="s">
        <v>245</v>
      </c>
      <c r="E264" s="1581">
        <v>20</v>
      </c>
      <c r="F264" s="393">
        <v>1100</v>
      </c>
      <c r="G264" s="393">
        <f>E264*F264</f>
        <v>22000</v>
      </c>
    </row>
    <row r="265" spans="1:7" x14ac:dyDescent="0.25">
      <c r="A265" s="1946" t="s">
        <v>39</v>
      </c>
      <c r="B265" s="1947"/>
      <c r="C265" s="1947"/>
      <c r="D265" s="1948"/>
      <c r="E265" s="101" t="s">
        <v>5</v>
      </c>
      <c r="F265" s="101" t="s">
        <v>5</v>
      </c>
      <c r="G265" s="101">
        <f>SUM(G263:G264)</f>
        <v>23600</v>
      </c>
    </row>
    <row r="266" spans="1:7" x14ac:dyDescent="0.25">
      <c r="A266" s="1303"/>
      <c r="B266" s="1303"/>
      <c r="C266" s="1303"/>
      <c r="D266" s="1303"/>
      <c r="E266" s="1147"/>
      <c r="F266" s="1147"/>
      <c r="G266" s="64"/>
    </row>
    <row r="267" spans="1:7" hidden="1" x14ac:dyDescent="0.25">
      <c r="A267" s="1645" t="s">
        <v>27</v>
      </c>
      <c r="B267" s="1645"/>
      <c r="C267" s="86" t="s">
        <v>1366</v>
      </c>
      <c r="D267" s="1644"/>
      <c r="E267" s="60"/>
      <c r="F267" s="69"/>
      <c r="G267" s="85">
        <f>G274</f>
        <v>0</v>
      </c>
    </row>
    <row r="268" spans="1:7" hidden="1" x14ac:dyDescent="0.25">
      <c r="A268" s="1644" t="s">
        <v>773</v>
      </c>
      <c r="D268" s="1644"/>
      <c r="E268" s="60"/>
    </row>
    <row r="269" spans="1:7" hidden="1" x14ac:dyDescent="0.25">
      <c r="A269" s="2092" t="s">
        <v>8</v>
      </c>
      <c r="B269" s="1914" t="s">
        <v>35</v>
      </c>
      <c r="C269" s="1915"/>
      <c r="D269" s="2092" t="s">
        <v>61</v>
      </c>
      <c r="E269" s="1898" t="s">
        <v>735</v>
      </c>
      <c r="F269" s="1898"/>
      <c r="G269" s="1898"/>
    </row>
    <row r="270" spans="1:7" ht="30" hidden="1" x14ac:dyDescent="0.25">
      <c r="A270" s="2053"/>
      <c r="B270" s="1918"/>
      <c r="C270" s="1919"/>
      <c r="D270" s="2053"/>
      <c r="E270" s="1581" t="s">
        <v>248</v>
      </c>
      <c r="F270" s="1581" t="s">
        <v>264</v>
      </c>
      <c r="G270" s="1581" t="s">
        <v>256</v>
      </c>
    </row>
    <row r="271" spans="1:7" ht="15" hidden="1" customHeight="1" x14ac:dyDescent="0.25">
      <c r="A271" s="2373" t="s">
        <v>1420</v>
      </c>
      <c r="B271" s="2374"/>
      <c r="C271" s="2374"/>
      <c r="D271" s="2374"/>
      <c r="E271" s="2374"/>
      <c r="F271" s="2374"/>
      <c r="G271" s="2375"/>
    </row>
    <row r="272" spans="1:7" hidden="1" x14ac:dyDescent="0.25">
      <c r="A272" s="1625">
        <v>1</v>
      </c>
      <c r="B272" s="2371" t="s">
        <v>1367</v>
      </c>
      <c r="C272" s="2372"/>
      <c r="D272" s="1773" t="s">
        <v>245</v>
      </c>
      <c r="E272" s="759"/>
      <c r="F272" s="885">
        <v>1170</v>
      </c>
      <c r="G272" s="393">
        <f>E272*F272</f>
        <v>0</v>
      </c>
    </row>
    <row r="273" spans="1:8" hidden="1" x14ac:dyDescent="0.25">
      <c r="A273" s="1590">
        <v>2</v>
      </c>
      <c r="B273" s="2371" t="s">
        <v>1368</v>
      </c>
      <c r="C273" s="2372"/>
      <c r="D273" s="1773" t="s">
        <v>245</v>
      </c>
      <c r="E273" s="759"/>
      <c r="F273" s="884">
        <v>80</v>
      </c>
      <c r="G273" s="393">
        <f>E273*F273</f>
        <v>0</v>
      </c>
    </row>
    <row r="274" spans="1:8" hidden="1" x14ac:dyDescent="0.25">
      <c r="A274" s="1946" t="s">
        <v>39</v>
      </c>
      <c r="B274" s="1947"/>
      <c r="C274" s="1947"/>
      <c r="D274" s="1948"/>
      <c r="E274" s="101" t="s">
        <v>5</v>
      </c>
      <c r="F274" s="101" t="s">
        <v>5</v>
      </c>
      <c r="G274" s="101">
        <f>SUM(G272:G273)</f>
        <v>0</v>
      </c>
    </row>
    <row r="275" spans="1:8" hidden="1" x14ac:dyDescent="0.25">
      <c r="A275" s="1303"/>
      <c r="B275" s="1303"/>
      <c r="C275" s="1303"/>
      <c r="D275" s="1303"/>
      <c r="E275" s="1147"/>
      <c r="F275" s="1147"/>
      <c r="G275" s="64"/>
    </row>
    <row r="276" spans="1:8" ht="18.75" x14ac:dyDescent="0.25">
      <c r="A276" s="1935" t="s">
        <v>118</v>
      </c>
      <c r="B276" s="1935"/>
      <c r="C276" s="1935"/>
      <c r="D276" s="1935"/>
      <c r="E276" s="1935"/>
      <c r="F276" s="1935"/>
      <c r="G276" s="716">
        <f>G265+G226+G208+G197+G188+G160+G124+G111+G101+G91+G81+G66+G59+G51</f>
        <v>17058755.780000001</v>
      </c>
      <c r="H276" s="61" t="b">
        <f>G276=G6</f>
        <v>1</v>
      </c>
    </row>
    <row r="277" spans="1:8" x14ac:dyDescent="0.25">
      <c r="F277" s="1787"/>
      <c r="G277" s="1787"/>
      <c r="H277" s="70"/>
    </row>
    <row r="278" spans="1:8" hidden="1" x14ac:dyDescent="0.25">
      <c r="A278" s="715" t="s">
        <v>610</v>
      </c>
      <c r="D278" s="1644"/>
      <c r="E278" s="60"/>
      <c r="F278" s="1931" t="s">
        <v>357</v>
      </c>
      <c r="G278" s="1931"/>
    </row>
    <row r="279" spans="1:8" x14ac:dyDescent="0.25">
      <c r="A279" s="715"/>
      <c r="D279" s="1644"/>
      <c r="E279" s="60"/>
      <c r="F279" s="69"/>
      <c r="G279" s="1584"/>
    </row>
    <row r="280" spans="1:8" x14ac:dyDescent="0.25">
      <c r="A280" s="715" t="s">
        <v>156</v>
      </c>
      <c r="D280" s="1644"/>
      <c r="E280" s="60"/>
      <c r="F280" s="1936" t="s">
        <v>729</v>
      </c>
      <c r="G280" s="1936"/>
    </row>
    <row r="281" spans="1:8" x14ac:dyDescent="0.25">
      <c r="A281" s="715"/>
      <c r="D281" s="1644"/>
      <c r="E281" s="60"/>
      <c r="F281" s="69"/>
      <c r="G281" s="1583"/>
    </row>
    <row r="282" spans="1:8" x14ac:dyDescent="0.25">
      <c r="A282" s="715" t="s">
        <v>117</v>
      </c>
      <c r="D282" s="1644"/>
      <c r="E282" s="60"/>
      <c r="F282" s="69"/>
      <c r="G282" s="1583"/>
    </row>
    <row r="283" spans="1:8" x14ac:dyDescent="0.25">
      <c r="A283" s="715" t="s">
        <v>1681</v>
      </c>
      <c r="D283" s="1644"/>
      <c r="E283" s="1644"/>
      <c r="F283" s="1644"/>
      <c r="G283" s="1583" t="s">
        <v>243</v>
      </c>
      <c r="H283" s="1583"/>
    </row>
  </sheetData>
  <sheetProtection insertRows="0" deleteRows="0" autoFilter="0"/>
  <dataConsolidate/>
  <mergeCells count="197">
    <mergeCell ref="A29:F29"/>
    <mergeCell ref="A30:F30"/>
    <mergeCell ref="A108:A109"/>
    <mergeCell ref="B108:C109"/>
    <mergeCell ref="D108:G108"/>
    <mergeCell ref="B110:C110"/>
    <mergeCell ref="A111:F111"/>
    <mergeCell ref="C117:D117"/>
    <mergeCell ref="C118:D118"/>
    <mergeCell ref="C74:D74"/>
    <mergeCell ref="B76:D76"/>
    <mergeCell ref="B77:D77"/>
    <mergeCell ref="A55:G55"/>
    <mergeCell ref="B56:F56"/>
    <mergeCell ref="B57:F57"/>
    <mergeCell ref="B64:F64"/>
    <mergeCell ref="B65:F65"/>
    <mergeCell ref="B58:F58"/>
    <mergeCell ref="A59:F59"/>
    <mergeCell ref="A63:G63"/>
    <mergeCell ref="B90:D90"/>
    <mergeCell ref="A120:A121"/>
    <mergeCell ref="B120:C121"/>
    <mergeCell ref="D120:G120"/>
    <mergeCell ref="A91:F91"/>
    <mergeCell ref="B96:D96"/>
    <mergeCell ref="B97:D97"/>
    <mergeCell ref="B98:D98"/>
    <mergeCell ref="B99:D99"/>
    <mergeCell ref="B100:D100"/>
    <mergeCell ref="A101:F101"/>
    <mergeCell ref="C105:D105"/>
    <mergeCell ref="C106:D106"/>
    <mergeCell ref="A183:G183"/>
    <mergeCell ref="A202:A203"/>
    <mergeCell ref="A188:F188"/>
    <mergeCell ref="A193:A194"/>
    <mergeCell ref="B193:C194"/>
    <mergeCell ref="D193:D194"/>
    <mergeCell ref="E193:G193"/>
    <mergeCell ref="A184:A185"/>
    <mergeCell ref="B184:C185"/>
    <mergeCell ref="D184:D185"/>
    <mergeCell ref="E184:G184"/>
    <mergeCell ref="B186:C186"/>
    <mergeCell ref="B187:C187"/>
    <mergeCell ref="A192:G192"/>
    <mergeCell ref="B202:C203"/>
    <mergeCell ref="D202:D203"/>
    <mergeCell ref="E202:G202"/>
    <mergeCell ref="A132:G132"/>
    <mergeCell ref="B133:C133"/>
    <mergeCell ref="B134:C134"/>
    <mergeCell ref="A129:G129"/>
    <mergeCell ref="A130:A131"/>
    <mergeCell ref="A155:G155"/>
    <mergeCell ref="A160:F160"/>
    <mergeCell ref="A156:A157"/>
    <mergeCell ref="B156:C157"/>
    <mergeCell ref="D156:D157"/>
    <mergeCell ref="E156:G156"/>
    <mergeCell ref="B158:C158"/>
    <mergeCell ref="B159:C159"/>
    <mergeCell ref="A137:G137"/>
    <mergeCell ref="A138:A139"/>
    <mergeCell ref="B138:C139"/>
    <mergeCell ref="D138:G138"/>
    <mergeCell ref="A140:G140"/>
    <mergeCell ref="B141:C141"/>
    <mergeCell ref="A142:C142"/>
    <mergeCell ref="A20:F20"/>
    <mergeCell ref="A21:F21"/>
    <mergeCell ref="A24:F24"/>
    <mergeCell ref="A25:F25"/>
    <mergeCell ref="A26:F26"/>
    <mergeCell ref="A27:F27"/>
    <mergeCell ref="C46:D46"/>
    <mergeCell ref="C47:D47"/>
    <mergeCell ref="B89:D89"/>
    <mergeCell ref="B78:D78"/>
    <mergeCell ref="B79:D79"/>
    <mergeCell ref="B80:D80"/>
    <mergeCell ref="A81:F81"/>
    <mergeCell ref="C83:D83"/>
    <mergeCell ref="C84:D84"/>
    <mergeCell ref="B86:D86"/>
    <mergeCell ref="B87:D87"/>
    <mergeCell ref="B88:D88"/>
    <mergeCell ref="A51:F51"/>
    <mergeCell ref="C53:D53"/>
    <mergeCell ref="C54:D54"/>
    <mergeCell ref="A66:F66"/>
    <mergeCell ref="A68:G68"/>
    <mergeCell ref="C73:D73"/>
    <mergeCell ref="A1:G1"/>
    <mergeCell ref="A2:G2"/>
    <mergeCell ref="A8:F8"/>
    <mergeCell ref="A10:F10"/>
    <mergeCell ref="A11:F11"/>
    <mergeCell ref="B50:F50"/>
    <mergeCell ref="A113:F113"/>
    <mergeCell ref="A19:F19"/>
    <mergeCell ref="A135:C135"/>
    <mergeCell ref="B130:C131"/>
    <mergeCell ref="D130:G130"/>
    <mergeCell ref="B123:C123"/>
    <mergeCell ref="A124:F124"/>
    <mergeCell ref="A17:F17"/>
    <mergeCell ref="A18:F18"/>
    <mergeCell ref="A22:F22"/>
    <mergeCell ref="A23:F23"/>
    <mergeCell ref="A48:G48"/>
    <mergeCell ref="B49:F49"/>
    <mergeCell ref="A12:F12"/>
    <mergeCell ref="A13:F13"/>
    <mergeCell ref="A14:F14"/>
    <mergeCell ref="A15:F15"/>
    <mergeCell ref="A16:F16"/>
    <mergeCell ref="A252:G252"/>
    <mergeCell ref="B250:C251"/>
    <mergeCell ref="D250:D251"/>
    <mergeCell ref="E250:G250"/>
    <mergeCell ref="A232:A233"/>
    <mergeCell ref="B232:C233"/>
    <mergeCell ref="D232:D233"/>
    <mergeCell ref="A213:A214"/>
    <mergeCell ref="B213:C214"/>
    <mergeCell ref="D213:D214"/>
    <mergeCell ref="D222:D223"/>
    <mergeCell ref="E222:G222"/>
    <mergeCell ref="B205:C205"/>
    <mergeCell ref="B224:C224"/>
    <mergeCell ref="A208:F208"/>
    <mergeCell ref="A221:G221"/>
    <mergeCell ref="B206:C206"/>
    <mergeCell ref="B253:C253"/>
    <mergeCell ref="A255:D255"/>
    <mergeCell ref="B254:C254"/>
    <mergeCell ref="B172:C173"/>
    <mergeCell ref="D172:D173"/>
    <mergeCell ref="E172:G172"/>
    <mergeCell ref="B175:C175"/>
    <mergeCell ref="A176:D176"/>
    <mergeCell ref="A197:F197"/>
    <mergeCell ref="A243:A244"/>
    <mergeCell ref="B243:C244"/>
    <mergeCell ref="D243:D244"/>
    <mergeCell ref="E243:G243"/>
    <mergeCell ref="B235:C235"/>
    <mergeCell ref="A236:D236"/>
    <mergeCell ref="A226:F226"/>
    <mergeCell ref="A217:D217"/>
    <mergeCell ref="A222:A223"/>
    <mergeCell ref="B222:C223"/>
    <mergeCell ref="A165:A166"/>
    <mergeCell ref="B165:C166"/>
    <mergeCell ref="D165:D166"/>
    <mergeCell ref="E165:G165"/>
    <mergeCell ref="A250:A251"/>
    <mergeCell ref="B167:C167"/>
    <mergeCell ref="B168:C168"/>
    <mergeCell ref="A169:D169"/>
    <mergeCell ref="A207:F207"/>
    <mergeCell ref="A225:F225"/>
    <mergeCell ref="E232:G232"/>
    <mergeCell ref="E213:G213"/>
    <mergeCell ref="A215:G215"/>
    <mergeCell ref="B216:C216"/>
    <mergeCell ref="A172:A173"/>
    <mergeCell ref="B196:C196"/>
    <mergeCell ref="A174:G174"/>
    <mergeCell ref="B204:C204"/>
    <mergeCell ref="A201:G201"/>
    <mergeCell ref="A195:G195"/>
    <mergeCell ref="A234:G234"/>
    <mergeCell ref="A245:G245"/>
    <mergeCell ref="B246:C246"/>
    <mergeCell ref="A247:D247"/>
    <mergeCell ref="A276:F276"/>
    <mergeCell ref="F278:G278"/>
    <mergeCell ref="F280:G280"/>
    <mergeCell ref="A260:A261"/>
    <mergeCell ref="B260:C261"/>
    <mergeCell ref="D260:D261"/>
    <mergeCell ref="E260:G260"/>
    <mergeCell ref="A265:D265"/>
    <mergeCell ref="B263:C263"/>
    <mergeCell ref="A262:G262"/>
    <mergeCell ref="A269:A270"/>
    <mergeCell ref="B269:C270"/>
    <mergeCell ref="D269:D270"/>
    <mergeCell ref="E269:G269"/>
    <mergeCell ref="A271:G271"/>
    <mergeCell ref="B272:C272"/>
    <mergeCell ref="B273:C273"/>
    <mergeCell ref="A274:D274"/>
    <mergeCell ref="B264:C264"/>
  </mergeCells>
  <printOptions horizontalCentered="1"/>
  <pageMargins left="0.78740157480314965" right="0.19685039370078741" top="0.19685039370078741" bottom="0.19685039370078741" header="0" footer="0"/>
  <pageSetup paperSize="9" scale="65" fitToHeight="0" orientation="portrait" r:id="rId1"/>
  <rowBreaks count="3" manualBreakCount="3">
    <brk id="60" max="6" man="1"/>
    <brk id="112" max="6" man="1"/>
    <brk id="226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82"/>
  <sheetViews>
    <sheetView view="pageBreakPreview" zoomScale="80" zoomScaleNormal="70" zoomScaleSheetLayoutView="80" workbookViewId="0">
      <selection activeCell="A24" sqref="A24:F24"/>
    </sheetView>
  </sheetViews>
  <sheetFormatPr defaultColWidth="8.7109375" defaultRowHeight="15" x14ac:dyDescent="0.25"/>
  <cols>
    <col min="1" max="1" width="4.85546875" style="1449" customWidth="1"/>
    <col min="2" max="2" width="33.140625" style="1449" customWidth="1"/>
    <col min="3" max="3" width="28.42578125" style="1449" customWidth="1"/>
    <col min="4" max="4" width="16.85546875" style="505" customWidth="1"/>
    <col min="5" max="5" width="19" style="576" customWidth="1"/>
    <col min="6" max="6" width="18.28515625" style="505" customWidth="1"/>
    <col min="7" max="7" width="18.140625" style="505" customWidth="1"/>
    <col min="8" max="8" width="22.7109375" style="551" customWidth="1"/>
    <col min="9" max="9" width="17.85546875" style="551" customWidth="1"/>
    <col min="10" max="10" width="12.42578125" style="551" bestFit="1" customWidth="1"/>
    <col min="11" max="11" width="18.28515625" style="551" customWidth="1"/>
    <col min="12" max="12" width="20.42578125" style="551" customWidth="1"/>
    <col min="13" max="13" width="18" style="551" customWidth="1"/>
    <col min="14" max="14" width="16.42578125" style="551" customWidth="1"/>
    <col min="15" max="16384" width="8.7109375" style="551"/>
  </cols>
  <sheetData>
    <row r="1" spans="1:14" ht="24.75" customHeight="1" x14ac:dyDescent="0.25">
      <c r="A1" s="2150" t="s">
        <v>2040</v>
      </c>
      <c r="B1" s="2150"/>
      <c r="C1" s="2150"/>
      <c r="D1" s="2150"/>
      <c r="E1" s="2150"/>
      <c r="F1" s="2150"/>
      <c r="G1" s="2150"/>
      <c r="K1" s="1456"/>
      <c r="L1" s="1456" t="s">
        <v>1496</v>
      </c>
      <c r="M1" s="1456" t="s">
        <v>2045</v>
      </c>
      <c r="N1" s="1456"/>
    </row>
    <row r="2" spans="1:14" ht="21.75" customHeight="1" x14ac:dyDescent="0.25">
      <c r="A2" s="2411" t="s">
        <v>609</v>
      </c>
      <c r="B2" s="2411"/>
      <c r="C2" s="2411"/>
      <c r="D2" s="2411"/>
      <c r="E2" s="2411"/>
      <c r="F2" s="2411"/>
      <c r="G2" s="2411"/>
      <c r="K2" s="1416" t="s">
        <v>1964</v>
      </c>
      <c r="L2" s="1363">
        <f>G116</f>
        <v>0</v>
      </c>
      <c r="M2" s="1363"/>
      <c r="N2" s="1491" t="b">
        <f t="shared" ref="N2:N8" si="0">L2=M2</f>
        <v>1</v>
      </c>
    </row>
    <row r="3" spans="1:14" ht="17.25" customHeight="1" x14ac:dyDescent="0.25">
      <c r="A3" s="589"/>
      <c r="B3" s="589"/>
      <c r="C3" s="589"/>
      <c r="D3" s="589"/>
      <c r="E3" s="751"/>
      <c r="F3" s="589"/>
      <c r="G3" s="589"/>
      <c r="K3" s="1416" t="s">
        <v>1965</v>
      </c>
      <c r="L3" s="1363">
        <f>G44+G71</f>
        <v>13488719</v>
      </c>
      <c r="M3" s="1363">
        <v>13488719</v>
      </c>
      <c r="N3" s="1416" t="b">
        <f t="shared" si="0"/>
        <v>1</v>
      </c>
    </row>
    <row r="4" spans="1:14" ht="15.75" x14ac:dyDescent="0.25">
      <c r="A4" s="637" t="s">
        <v>21</v>
      </c>
      <c r="B4" s="583"/>
      <c r="C4" s="583"/>
      <c r="D4" s="584"/>
      <c r="E4" s="761"/>
      <c r="F4" s="584"/>
      <c r="G4" s="584"/>
      <c r="K4" s="1416" t="s">
        <v>770</v>
      </c>
      <c r="L4" s="1363">
        <f>G189+G256</f>
        <v>37500</v>
      </c>
      <c r="M4" s="1363">
        <v>37500</v>
      </c>
      <c r="N4" s="1416" t="b">
        <f t="shared" si="0"/>
        <v>1</v>
      </c>
    </row>
    <row r="5" spans="1:14" ht="15.75" x14ac:dyDescent="0.25">
      <c r="A5" s="583"/>
      <c r="B5" s="583"/>
      <c r="C5" s="583"/>
      <c r="D5" s="584"/>
      <c r="E5" s="761"/>
      <c r="F5" s="584"/>
      <c r="G5" s="584"/>
      <c r="K5" s="1001" t="s">
        <v>1966</v>
      </c>
      <c r="L5" s="1363">
        <f>G51+G81</f>
        <v>600051.86</v>
      </c>
      <c r="M5" s="1363">
        <f>231678.38+362372.97+6000.51</f>
        <v>600051.86</v>
      </c>
      <c r="N5" s="1416" t="b">
        <f t="shared" si="0"/>
        <v>1</v>
      </c>
    </row>
    <row r="6" spans="1:14" ht="15.75" x14ac:dyDescent="0.25">
      <c r="A6" s="637" t="s">
        <v>24</v>
      </c>
      <c r="B6" s="637"/>
      <c r="C6" s="637"/>
      <c r="D6" s="651"/>
      <c r="E6" s="762"/>
      <c r="F6" s="651"/>
      <c r="G6" s="591">
        <f>G8+G25</f>
        <v>14602510.859999999</v>
      </c>
      <c r="H6" s="551" t="b">
        <f>G6=M13</f>
        <v>1</v>
      </c>
      <c r="K6" s="1416" t="s">
        <v>1967</v>
      </c>
      <c r="L6" s="1363">
        <f>G103</f>
        <v>320000</v>
      </c>
      <c r="M6" s="1363">
        <v>320000</v>
      </c>
      <c r="N6" s="1416" t="b">
        <f t="shared" si="0"/>
        <v>1</v>
      </c>
    </row>
    <row r="7" spans="1:14" ht="15.75" x14ac:dyDescent="0.25">
      <c r="A7" s="637"/>
      <c r="B7" s="637"/>
      <c r="C7" s="637"/>
      <c r="D7" s="651"/>
      <c r="E7" s="762"/>
      <c r="F7" s="651"/>
      <c r="G7" s="591"/>
      <c r="K7" s="1416"/>
      <c r="L7" s="1363"/>
      <c r="M7" s="1363"/>
      <c r="N7" s="1416"/>
    </row>
    <row r="8" spans="1:14" ht="15.75" customHeight="1" x14ac:dyDescent="0.25">
      <c r="A8" s="2387" t="s">
        <v>1970</v>
      </c>
      <c r="B8" s="2387"/>
      <c r="C8" s="2387"/>
      <c r="D8" s="2387"/>
      <c r="E8" s="2387"/>
      <c r="F8" s="2387"/>
      <c r="G8" s="646">
        <f>G10+G16</f>
        <v>14565010.859999999</v>
      </c>
      <c r="H8" s="1459"/>
      <c r="I8" s="565"/>
      <c r="K8" s="1416" t="s">
        <v>1968</v>
      </c>
      <c r="L8" s="1363">
        <f>G59+G91</f>
        <v>156240</v>
      </c>
      <c r="M8" s="1363">
        <v>156240</v>
      </c>
      <c r="N8" s="1416" t="b">
        <f t="shared" si="0"/>
        <v>1</v>
      </c>
    </row>
    <row r="9" spans="1:14" ht="15.75" x14ac:dyDescent="0.25">
      <c r="A9" s="1492"/>
      <c r="B9" s="1492"/>
      <c r="C9" s="1492"/>
      <c r="D9" s="1492"/>
      <c r="E9" s="1492"/>
      <c r="F9" s="1492"/>
      <c r="G9" s="646"/>
      <c r="H9" s="341"/>
      <c r="K9" s="1416" t="s">
        <v>1969</v>
      </c>
      <c r="L9" s="1363">
        <f>G152+G180</f>
        <v>0</v>
      </c>
      <c r="M9" s="1363"/>
      <c r="N9" s="1416" t="b">
        <f>L9=M9</f>
        <v>1</v>
      </c>
    </row>
    <row r="10" spans="1:14" ht="21.75" customHeight="1" x14ac:dyDescent="0.25">
      <c r="A10" s="2388" t="s">
        <v>1971</v>
      </c>
      <c r="B10" s="2412"/>
      <c r="C10" s="2412"/>
      <c r="D10" s="2412"/>
      <c r="E10" s="2412"/>
      <c r="F10" s="2412"/>
      <c r="G10" s="1493">
        <f>G12+G13+G15</f>
        <v>14245010.859999999</v>
      </c>
      <c r="H10" s="1459"/>
      <c r="K10" s="1416"/>
      <c r="L10" s="1363"/>
      <c r="M10" s="1363"/>
      <c r="N10" s="1416" t="b">
        <f>L10=M10</f>
        <v>1</v>
      </c>
    </row>
    <row r="11" spans="1:14" ht="15.75" hidden="1" x14ac:dyDescent="0.25">
      <c r="A11" s="2390" t="s">
        <v>758</v>
      </c>
      <c r="B11" s="2390"/>
      <c r="C11" s="2390"/>
      <c r="D11" s="2390"/>
      <c r="E11" s="2390"/>
      <c r="F11" s="2390"/>
      <c r="G11" s="1494">
        <v>0</v>
      </c>
      <c r="H11" s="1459"/>
      <c r="K11" s="1416" t="s">
        <v>1497</v>
      </c>
      <c r="L11" s="1363">
        <f>G198+G218</f>
        <v>0</v>
      </c>
      <c r="M11" s="1363"/>
      <c r="N11" s="1416" t="b">
        <f>L11=M11</f>
        <v>1</v>
      </c>
    </row>
    <row r="12" spans="1:14" ht="36.75" customHeight="1" x14ac:dyDescent="0.25">
      <c r="A12" s="2390" t="s">
        <v>1972</v>
      </c>
      <c r="B12" s="2390"/>
      <c r="C12" s="2390"/>
      <c r="D12" s="2390"/>
      <c r="E12" s="2390"/>
      <c r="F12" s="2390"/>
      <c r="G12" s="1494">
        <f>G44+G71</f>
        <v>13488719</v>
      </c>
      <c r="H12" s="81" t="b">
        <f>G12=M3</f>
        <v>1</v>
      </c>
      <c r="M12" s="510">
        <f>SUM(M2:M11)</f>
        <v>14602510.859999999</v>
      </c>
    </row>
    <row r="13" spans="1:14" ht="38.25" customHeight="1" x14ac:dyDescent="0.25">
      <c r="A13" s="2390" t="s">
        <v>1973</v>
      </c>
      <c r="B13" s="2390"/>
      <c r="C13" s="2390"/>
      <c r="D13" s="2390"/>
      <c r="E13" s="2390"/>
      <c r="F13" s="2390"/>
      <c r="G13" s="1494">
        <f>G51+G81</f>
        <v>600051.86</v>
      </c>
      <c r="H13" s="81" t="b">
        <f>G13=M5</f>
        <v>1</v>
      </c>
      <c r="M13" s="1496">
        <v>14602510.859999999</v>
      </c>
      <c r="N13" s="551" t="b">
        <f>M12=M13</f>
        <v>1</v>
      </c>
    </row>
    <row r="14" spans="1:14" ht="54.75" hidden="1" customHeight="1" x14ac:dyDescent="0.25">
      <c r="A14" s="2390" t="s">
        <v>1974</v>
      </c>
      <c r="B14" s="2390"/>
      <c r="C14" s="2390"/>
      <c r="D14" s="2390"/>
      <c r="E14" s="2390"/>
      <c r="F14" s="2390"/>
      <c r="G14" s="1494">
        <f>G251</f>
        <v>0</v>
      </c>
      <c r="H14" s="81"/>
      <c r="M14" s="551" t="b">
        <f>M12=M13</f>
        <v>1</v>
      </c>
    </row>
    <row r="15" spans="1:14" ht="48" customHeight="1" x14ac:dyDescent="0.25">
      <c r="A15" s="2413" t="s">
        <v>1975</v>
      </c>
      <c r="B15" s="2413"/>
      <c r="C15" s="2413"/>
      <c r="D15" s="2413"/>
      <c r="E15" s="2413"/>
      <c r="F15" s="2413"/>
      <c r="G15" s="585">
        <f>G59+G91</f>
        <v>156240</v>
      </c>
      <c r="H15" s="81" t="b">
        <f>G15=M8</f>
        <v>1</v>
      </c>
    </row>
    <row r="16" spans="1:14" ht="50.25" customHeight="1" x14ac:dyDescent="0.25">
      <c r="A16" s="2388" t="s">
        <v>1976</v>
      </c>
      <c r="B16" s="2412"/>
      <c r="C16" s="2412"/>
      <c r="D16" s="2412"/>
      <c r="E16" s="2412"/>
      <c r="F16" s="2412"/>
      <c r="G16" s="1495">
        <f>G17+G23+G24+G21</f>
        <v>320000</v>
      </c>
      <c r="H16" s="1459"/>
    </row>
    <row r="17" spans="1:13" ht="53.25" hidden="1" customHeight="1" x14ac:dyDescent="0.25">
      <c r="A17" s="2390" t="s">
        <v>1977</v>
      </c>
      <c r="B17" s="2390"/>
      <c r="C17" s="2390"/>
      <c r="D17" s="2390"/>
      <c r="E17" s="2390"/>
      <c r="F17" s="2390"/>
      <c r="G17" s="1494">
        <f>G152+G180</f>
        <v>0</v>
      </c>
      <c r="H17" s="1452" t="b">
        <f>G17=M9</f>
        <v>1</v>
      </c>
      <c r="M17" s="579"/>
    </row>
    <row r="18" spans="1:13" ht="18" hidden="1" customHeight="1" x14ac:dyDescent="0.25">
      <c r="A18" s="2390" t="s">
        <v>1978</v>
      </c>
      <c r="B18" s="2390"/>
      <c r="C18" s="2390"/>
      <c r="D18" s="2390"/>
      <c r="E18" s="2390"/>
      <c r="F18" s="2390"/>
      <c r="G18" s="1494"/>
      <c r="H18" s="1459"/>
      <c r="I18" s="565"/>
      <c r="M18" s="579"/>
    </row>
    <row r="19" spans="1:13" ht="21.75" hidden="1" customHeight="1" x14ac:dyDescent="0.25">
      <c r="A19" s="2392" t="s">
        <v>1979</v>
      </c>
      <c r="B19" s="2392"/>
      <c r="C19" s="2392"/>
      <c r="D19" s="2392"/>
      <c r="E19" s="2392"/>
      <c r="F19" s="2392"/>
      <c r="G19" s="1494"/>
      <c r="H19" s="1459"/>
      <c r="I19" s="565"/>
      <c r="M19" s="579"/>
    </row>
    <row r="20" spans="1:13" ht="15.75" hidden="1" customHeight="1" x14ac:dyDescent="0.25">
      <c r="A20" s="2392" t="s">
        <v>756</v>
      </c>
      <c r="B20" s="2392"/>
      <c r="C20" s="2392"/>
      <c r="D20" s="2392"/>
      <c r="E20" s="2392"/>
      <c r="F20" s="2392"/>
      <c r="G20" s="1494"/>
      <c r="H20" s="1459"/>
      <c r="I20" s="565"/>
    </row>
    <row r="21" spans="1:13" ht="15.75" hidden="1" customHeight="1" x14ac:dyDescent="0.25">
      <c r="A21" s="2392" t="s">
        <v>1506</v>
      </c>
      <c r="B21" s="2392"/>
      <c r="C21" s="2392"/>
      <c r="D21" s="2392"/>
      <c r="E21" s="2392"/>
      <c r="F21" s="2392"/>
      <c r="G21" s="1494">
        <f>G198+G218</f>
        <v>0</v>
      </c>
      <c r="H21" s="341" t="b">
        <f>G21=M11</f>
        <v>1</v>
      </c>
      <c r="I21" s="565"/>
    </row>
    <row r="22" spans="1:13" ht="39.75" hidden="1" customHeight="1" x14ac:dyDescent="0.25">
      <c r="A22" s="2390" t="s">
        <v>1980</v>
      </c>
      <c r="B22" s="2390"/>
      <c r="C22" s="2390"/>
      <c r="D22" s="2390"/>
      <c r="E22" s="2390"/>
      <c r="F22" s="2390"/>
      <c r="G22" s="1494"/>
      <c r="H22" s="1459"/>
    </row>
    <row r="23" spans="1:13" ht="21" hidden="1" customHeight="1" x14ac:dyDescent="0.25">
      <c r="A23" s="2390" t="s">
        <v>1981</v>
      </c>
      <c r="B23" s="2390"/>
      <c r="C23" s="2390"/>
      <c r="D23" s="2390"/>
      <c r="E23" s="2390"/>
      <c r="F23" s="2390"/>
      <c r="G23" s="1494">
        <f>G114</f>
        <v>0</v>
      </c>
      <c r="H23" s="1459" t="b">
        <f>G23=M2</f>
        <v>1</v>
      </c>
    </row>
    <row r="24" spans="1:13" ht="33" customHeight="1" x14ac:dyDescent="0.25">
      <c r="A24" s="2390" t="s">
        <v>1982</v>
      </c>
      <c r="B24" s="2390"/>
      <c r="C24" s="2390"/>
      <c r="D24" s="2390"/>
      <c r="E24" s="2390"/>
      <c r="F24" s="2390"/>
      <c r="G24" s="1494">
        <f>G101</f>
        <v>320000</v>
      </c>
      <c r="H24" s="1452" t="b">
        <f>G24=M6</f>
        <v>1</v>
      </c>
      <c r="K24" s="108"/>
      <c r="L24" s="108"/>
    </row>
    <row r="25" spans="1:13" ht="36" customHeight="1" x14ac:dyDescent="0.25">
      <c r="A25" s="2387" t="s">
        <v>1983</v>
      </c>
      <c r="B25" s="2387"/>
      <c r="C25" s="2387"/>
      <c r="D25" s="2387"/>
      <c r="E25" s="2387"/>
      <c r="F25" s="2387"/>
      <c r="G25" s="646">
        <f>G27</f>
        <v>37500</v>
      </c>
      <c r="H25" s="694"/>
      <c r="K25" s="108"/>
      <c r="L25" s="108"/>
    </row>
    <row r="26" spans="1:13" ht="49.5" customHeight="1" x14ac:dyDescent="0.25">
      <c r="A26" s="2388" t="s">
        <v>1984</v>
      </c>
      <c r="B26" s="2388"/>
      <c r="C26" s="2388"/>
      <c r="D26" s="2388"/>
      <c r="E26" s="2388"/>
      <c r="F26" s="2388"/>
      <c r="G26" s="1493">
        <f>G27</f>
        <v>37500</v>
      </c>
      <c r="H26" s="694"/>
      <c r="K26" s="108"/>
      <c r="L26" s="108"/>
    </row>
    <row r="27" spans="1:13" ht="34.5" customHeight="1" x14ac:dyDescent="0.25">
      <c r="A27" s="2390" t="s">
        <v>1985</v>
      </c>
      <c r="B27" s="2390"/>
      <c r="C27" s="2390"/>
      <c r="D27" s="2390"/>
      <c r="E27" s="2390"/>
      <c r="F27" s="2390"/>
      <c r="G27" s="1494">
        <f>G189+G237</f>
        <v>37500</v>
      </c>
      <c r="H27" s="1452" t="b">
        <f>G27=M4</f>
        <v>1</v>
      </c>
      <c r="K27" s="108"/>
      <c r="L27" s="108"/>
    </row>
    <row r="28" spans="1:13" ht="15.75" x14ac:dyDescent="0.25">
      <c r="A28" s="1448"/>
      <c r="B28" s="1448"/>
      <c r="C28" s="1448"/>
      <c r="D28" s="1448"/>
      <c r="E28" s="1448"/>
      <c r="F28" s="1448"/>
      <c r="G28" s="585"/>
      <c r="H28" s="561"/>
      <c r="K28" s="108"/>
      <c r="L28" s="108"/>
    </row>
    <row r="29" spans="1:13" ht="15.75" x14ac:dyDescent="0.25">
      <c r="A29" s="1448"/>
      <c r="B29" s="1448"/>
      <c r="C29" s="1448"/>
      <c r="D29" s="1448"/>
      <c r="E29" s="1448"/>
      <c r="F29" s="1448"/>
      <c r="G29" s="585"/>
      <c r="H29" s="561"/>
      <c r="K29" s="108" t="s">
        <v>305</v>
      </c>
      <c r="L29" s="108" t="s">
        <v>236</v>
      </c>
    </row>
    <row r="30" spans="1:13" x14ac:dyDescent="0.25">
      <c r="A30" s="1446"/>
      <c r="B30" s="1445"/>
      <c r="C30" s="1445"/>
      <c r="D30" s="1445"/>
      <c r="E30" s="1445"/>
      <c r="F30" s="1445"/>
      <c r="G30" s="511"/>
      <c r="K30" s="108">
        <f>G40+G67+G101+G114+G149</f>
        <v>14602510.859999999</v>
      </c>
      <c r="L30" s="108">
        <f>G42+G69+G102+G115+G151+G178+G217+G237</f>
        <v>14602510.859999999</v>
      </c>
    </row>
    <row r="31" spans="1:13" x14ac:dyDescent="0.25">
      <c r="A31" s="507" t="s">
        <v>25</v>
      </c>
      <c r="G31" s="511">
        <f>G32</f>
        <v>14602510.859999999</v>
      </c>
      <c r="K31" s="108" t="b">
        <f>M13=K30</f>
        <v>1</v>
      </c>
      <c r="L31" s="108" t="b">
        <f>L30=M13</f>
        <v>1</v>
      </c>
    </row>
    <row r="32" spans="1:13" x14ac:dyDescent="0.25">
      <c r="A32" s="507" t="s">
        <v>31</v>
      </c>
      <c r="G32" s="511">
        <f>G33</f>
        <v>14602510.859999999</v>
      </c>
      <c r="K32" s="565"/>
      <c r="L32" s="565"/>
    </row>
    <row r="33" spans="1:12" x14ac:dyDescent="0.25">
      <c r="A33" s="507" t="s">
        <v>1373</v>
      </c>
      <c r="G33" s="511">
        <f>G36+G112+G143+G144+G145+G146</f>
        <v>14602510.859999999</v>
      </c>
    </row>
    <row r="34" spans="1:12" x14ac:dyDescent="0.25">
      <c r="A34" s="507"/>
      <c r="G34" s="511"/>
    </row>
    <row r="35" spans="1:12" hidden="1" x14ac:dyDescent="0.25">
      <c r="A35" s="507" t="s">
        <v>1232</v>
      </c>
      <c r="G35" s="506"/>
    </row>
    <row r="36" spans="1:12" s="595" customFormat="1" x14ac:dyDescent="0.25">
      <c r="A36" s="652" t="s">
        <v>1233</v>
      </c>
      <c r="B36" s="652"/>
      <c r="C36" s="652"/>
      <c r="D36" s="653"/>
      <c r="E36" s="1516"/>
      <c r="F36" s="653"/>
      <c r="G36" s="654">
        <f>G40+G101+G67</f>
        <v>14565010.859999999</v>
      </c>
    </row>
    <row r="37" spans="1:12" hidden="1" x14ac:dyDescent="0.25">
      <c r="A37" s="1449" t="s">
        <v>312</v>
      </c>
      <c r="G37" s="506"/>
    </row>
    <row r="38" spans="1:12" hidden="1" x14ac:dyDescent="0.25">
      <c r="A38" s="1449" t="s">
        <v>313</v>
      </c>
      <c r="D38" s="1449"/>
      <c r="E38" s="505"/>
      <c r="F38" s="506"/>
      <c r="G38" s="506"/>
      <c r="H38" s="565"/>
      <c r="I38" s="565"/>
      <c r="J38" s="565"/>
    </row>
    <row r="39" spans="1:12" x14ac:dyDescent="0.25">
      <c r="A39" s="507"/>
      <c r="D39" s="1449"/>
      <c r="E39" s="505"/>
      <c r="F39" s="506"/>
      <c r="G39" s="506"/>
      <c r="H39" s="565"/>
      <c r="I39" s="565"/>
      <c r="J39" s="565"/>
    </row>
    <row r="40" spans="1:12" s="61" customFormat="1" x14ac:dyDescent="0.25">
      <c r="A40" s="1458" t="s">
        <v>1986</v>
      </c>
      <c r="B40" s="1457"/>
      <c r="C40" s="1497" t="s">
        <v>65</v>
      </c>
      <c r="D40" s="1458"/>
      <c r="E40" s="1457"/>
      <c r="F40" s="60"/>
      <c r="G40" s="1002">
        <f>G42</f>
        <v>10940868.550000001</v>
      </c>
      <c r="H40" s="60"/>
      <c r="I40" s="85"/>
      <c r="J40" s="1452"/>
      <c r="K40" s="1452"/>
      <c r="L40" s="1452"/>
    </row>
    <row r="41" spans="1:12" s="61" customFormat="1" x14ac:dyDescent="0.25">
      <c r="A41" s="1458"/>
      <c r="B41" s="1457"/>
      <c r="C41" s="1497"/>
      <c r="D41" s="1458"/>
      <c r="E41" s="1457"/>
      <c r="F41" s="60"/>
      <c r="G41" s="1002"/>
      <c r="H41" s="60"/>
      <c r="I41" s="85"/>
      <c r="J41" s="1452"/>
      <c r="K41" s="1452"/>
      <c r="L41" s="1452"/>
    </row>
    <row r="42" spans="1:12" s="61" customFormat="1" x14ac:dyDescent="0.25">
      <c r="A42" s="1458" t="s">
        <v>1987</v>
      </c>
      <c r="B42" s="1457"/>
      <c r="C42" s="1497" t="s">
        <v>64</v>
      </c>
      <c r="D42" s="394"/>
      <c r="E42" s="1457"/>
      <c r="F42" s="60"/>
      <c r="G42" s="1002">
        <f>G44+G51+G59</f>
        <v>10940868.550000001</v>
      </c>
      <c r="H42" s="60"/>
      <c r="I42" s="85"/>
      <c r="J42" s="1452"/>
      <c r="K42" s="1452"/>
      <c r="L42" s="1452"/>
    </row>
    <row r="43" spans="1:12" s="61" customFormat="1" x14ac:dyDescent="0.25">
      <c r="A43" s="1458"/>
      <c r="B43" s="1457"/>
      <c r="C43" s="1497"/>
      <c r="D43" s="394"/>
      <c r="E43" s="1457"/>
      <c r="F43" s="60"/>
      <c r="G43" s="1002"/>
      <c r="H43" s="60"/>
      <c r="I43" s="85"/>
      <c r="J43" s="1452"/>
      <c r="K43" s="1452"/>
      <c r="L43" s="1452"/>
    </row>
    <row r="44" spans="1:12" s="1004" customFormat="1" x14ac:dyDescent="0.25">
      <c r="A44" s="1011" t="s">
        <v>1503</v>
      </c>
      <c r="B44" s="1011"/>
      <c r="C44" s="2401" t="s">
        <v>1965</v>
      </c>
      <c r="D44" s="2420"/>
      <c r="E44" s="1498"/>
      <c r="F44" s="1498"/>
      <c r="G44" s="1002">
        <f>G49</f>
        <v>10359999.23</v>
      </c>
      <c r="H44" s="883">
        <f>M3</f>
        <v>13488719</v>
      </c>
      <c r="I44" s="1362">
        <f>G49+G79</f>
        <v>13488719</v>
      </c>
      <c r="J44" s="1071">
        <f>H44-I44</f>
        <v>0</v>
      </c>
      <c r="K44" s="1003"/>
    </row>
    <row r="45" spans="1:12" s="1004" customFormat="1" x14ac:dyDescent="0.25">
      <c r="A45" s="1011" t="s">
        <v>1504</v>
      </c>
      <c r="B45" s="1011"/>
      <c r="C45" s="2401" t="s">
        <v>1988</v>
      </c>
      <c r="D45" s="2420"/>
      <c r="E45" s="1498"/>
      <c r="F45" s="1498"/>
      <c r="G45" s="1498"/>
      <c r="H45" s="893"/>
      <c r="I45" s="1003"/>
      <c r="J45" s="1003"/>
      <c r="K45" s="1003"/>
    </row>
    <row r="46" spans="1:12" s="61" customFormat="1" ht="32.25" customHeight="1" x14ac:dyDescent="0.25">
      <c r="A46" s="1896" t="s">
        <v>1989</v>
      </c>
      <c r="B46" s="2421"/>
      <c r="C46" s="2421"/>
      <c r="D46" s="2421"/>
      <c r="E46" s="2421"/>
      <c r="F46" s="2421"/>
      <c r="G46" s="2421"/>
      <c r="H46" s="60"/>
      <c r="I46" s="69"/>
      <c r="J46" s="1452"/>
      <c r="K46" s="1452"/>
      <c r="L46" s="1452"/>
    </row>
    <row r="47" spans="1:12" s="1004" customFormat="1" ht="33.75" customHeight="1" x14ac:dyDescent="0.25">
      <c r="A47" s="1460" t="s">
        <v>8</v>
      </c>
      <c r="B47" s="2414" t="s">
        <v>35</v>
      </c>
      <c r="C47" s="2415"/>
      <c r="D47" s="2415"/>
      <c r="E47" s="2415"/>
      <c r="F47" s="2416"/>
      <c r="G47" s="1460" t="s">
        <v>297</v>
      </c>
      <c r="H47" s="1003"/>
      <c r="I47" s="1003"/>
    </row>
    <row r="48" spans="1:12" s="1004" customFormat="1" x14ac:dyDescent="0.25">
      <c r="A48" s="1461">
        <v>1</v>
      </c>
      <c r="B48" s="2391" t="s">
        <v>289</v>
      </c>
      <c r="C48" s="2073"/>
      <c r="D48" s="2073"/>
      <c r="E48" s="2073"/>
      <c r="F48" s="2074"/>
      <c r="G48" s="1426">
        <v>10359999.23</v>
      </c>
      <c r="H48" s="1003"/>
      <c r="I48" s="1003"/>
      <c r="J48" s="1499"/>
      <c r="K48" s="1499"/>
      <c r="L48" s="1499"/>
    </row>
    <row r="49" spans="1:13" s="1004" customFormat="1" ht="15" customHeight="1" x14ac:dyDescent="0.25">
      <c r="A49" s="2417" t="s">
        <v>786</v>
      </c>
      <c r="B49" s="2418"/>
      <c r="C49" s="2418"/>
      <c r="D49" s="2418"/>
      <c r="E49" s="2418"/>
      <c r="F49" s="2419"/>
      <c r="G49" s="1500">
        <f>G48</f>
        <v>10359999.23</v>
      </c>
      <c r="H49" s="1501"/>
      <c r="I49" s="1003"/>
      <c r="J49" s="1499"/>
      <c r="K49" s="1499"/>
      <c r="L49" s="1499"/>
    </row>
    <row r="50" spans="1:13" s="1010" customFormat="1" x14ac:dyDescent="0.2">
      <c r="A50" s="1502"/>
      <c r="B50" s="1502"/>
      <c r="C50" s="1502"/>
      <c r="D50" s="1502"/>
      <c r="E50" s="1502"/>
      <c r="F50" s="1502"/>
      <c r="G50" s="1503"/>
      <c r="H50" s="694"/>
      <c r="I50" s="1009"/>
      <c r="J50" s="1504"/>
      <c r="K50" s="1504"/>
      <c r="L50" s="1505"/>
      <c r="M50" s="774"/>
    </row>
    <row r="51" spans="1:13" s="1010" customFormat="1" ht="15" customHeight="1" x14ac:dyDescent="0.25">
      <c r="A51" s="1011" t="s">
        <v>1503</v>
      </c>
      <c r="B51" s="1011"/>
      <c r="C51" s="2401" t="s">
        <v>1966</v>
      </c>
      <c r="D51" s="2420"/>
      <c r="E51" s="1498"/>
      <c r="F51" s="1498"/>
      <c r="G51" s="1002">
        <f>G56</f>
        <v>460869.32</v>
      </c>
      <c r="H51" s="883">
        <f>M5</f>
        <v>600051.86</v>
      </c>
      <c r="I51" s="1362">
        <f>G57+G89</f>
        <v>600051.86</v>
      </c>
      <c r="J51" s="1071">
        <f>H51-I51</f>
        <v>0</v>
      </c>
      <c r="K51" s="1504"/>
      <c r="L51" s="1505"/>
      <c r="M51" s="774"/>
    </row>
    <row r="52" spans="1:13" s="1010" customFormat="1" ht="15" customHeight="1" x14ac:dyDescent="0.2">
      <c r="A52" s="1011" t="s">
        <v>1504</v>
      </c>
      <c r="B52" s="1011"/>
      <c r="C52" s="2401" t="s">
        <v>1990</v>
      </c>
      <c r="D52" s="2420"/>
      <c r="E52" s="1498"/>
      <c r="F52" s="1498"/>
      <c r="G52" s="1498"/>
      <c r="H52" s="694"/>
      <c r="I52" s="1009"/>
      <c r="J52" s="1504"/>
      <c r="K52" s="1504"/>
      <c r="L52" s="1505"/>
      <c r="M52" s="774"/>
    </row>
    <row r="53" spans="1:13" s="1010" customFormat="1" ht="33.75" customHeight="1" x14ac:dyDescent="0.2">
      <c r="A53" s="1896" t="s">
        <v>1991</v>
      </c>
      <c r="B53" s="2421"/>
      <c r="C53" s="2421"/>
      <c r="D53" s="2421"/>
      <c r="E53" s="2421"/>
      <c r="F53" s="2421"/>
      <c r="G53" s="2421"/>
      <c r="H53" s="694"/>
      <c r="I53" s="1009"/>
      <c r="J53" s="1504"/>
      <c r="K53" s="1504"/>
      <c r="L53" s="1505"/>
      <c r="M53" s="774"/>
    </row>
    <row r="54" spans="1:13" s="1010" customFormat="1" ht="28.5" customHeight="1" x14ac:dyDescent="0.2">
      <c r="A54" s="1460" t="s">
        <v>8</v>
      </c>
      <c r="B54" s="2414" t="s">
        <v>35</v>
      </c>
      <c r="C54" s="2415"/>
      <c r="D54" s="2415"/>
      <c r="E54" s="2415"/>
      <c r="F54" s="2416"/>
      <c r="G54" s="1460" t="s">
        <v>297</v>
      </c>
      <c r="H54" s="694"/>
      <c r="I54" s="1009"/>
      <c r="J54" s="1504"/>
      <c r="K54" s="1504"/>
      <c r="L54" s="1505"/>
      <c r="M54" s="774"/>
    </row>
    <row r="55" spans="1:13" s="1010" customFormat="1" hidden="1" x14ac:dyDescent="0.2">
      <c r="A55" s="1461">
        <v>1</v>
      </c>
      <c r="B55" s="2391" t="s">
        <v>288</v>
      </c>
      <c r="C55" s="2073"/>
      <c r="D55" s="2073"/>
      <c r="E55" s="2073"/>
      <c r="F55" s="2074"/>
      <c r="G55" s="1426">
        <f>G56/12</f>
        <v>38405.78</v>
      </c>
      <c r="H55" s="694"/>
      <c r="I55" s="1009"/>
      <c r="J55" s="1504"/>
      <c r="K55" s="1504"/>
      <c r="L55" s="1505"/>
      <c r="M55" s="774"/>
    </row>
    <row r="56" spans="1:13" s="1010" customFormat="1" x14ac:dyDescent="0.2">
      <c r="A56" s="1461">
        <v>1</v>
      </c>
      <c r="B56" s="2391" t="s">
        <v>289</v>
      </c>
      <c r="C56" s="2073"/>
      <c r="D56" s="2073"/>
      <c r="E56" s="2073"/>
      <c r="F56" s="2074"/>
      <c r="G56" s="1426">
        <v>460869.32</v>
      </c>
      <c r="H56" s="694"/>
      <c r="I56" s="1009"/>
      <c r="J56" s="1504"/>
      <c r="K56" s="1504"/>
      <c r="L56" s="1505"/>
      <c r="M56" s="774"/>
    </row>
    <row r="57" spans="1:13" s="1010" customFormat="1" x14ac:dyDescent="0.2">
      <c r="A57" s="2417" t="s">
        <v>786</v>
      </c>
      <c r="B57" s="2418"/>
      <c r="C57" s="2418"/>
      <c r="D57" s="2418"/>
      <c r="E57" s="2418"/>
      <c r="F57" s="2419"/>
      <c r="G57" s="1500">
        <f>G56</f>
        <v>460869.32</v>
      </c>
      <c r="H57" s="694"/>
      <c r="I57" s="1009"/>
      <c r="J57" s="1504"/>
      <c r="K57" s="1504"/>
      <c r="L57" s="1505"/>
      <c r="M57" s="774"/>
    </row>
    <row r="58" spans="1:13" s="1010" customFormat="1" x14ac:dyDescent="0.2">
      <c r="A58" s="1502"/>
      <c r="B58" s="1502"/>
      <c r="C58" s="1502"/>
      <c r="D58" s="1502"/>
      <c r="E58" s="1502"/>
      <c r="F58" s="1502"/>
      <c r="G58" s="1503"/>
      <c r="H58" s="694"/>
      <c r="I58" s="1009"/>
      <c r="J58" s="1504"/>
      <c r="K58" s="1504"/>
      <c r="L58" s="1505"/>
      <c r="M58" s="774"/>
    </row>
    <row r="59" spans="1:13" s="1010" customFormat="1" x14ac:dyDescent="0.2">
      <c r="A59" s="507" t="s">
        <v>26</v>
      </c>
      <c r="B59" s="507"/>
      <c r="C59" s="587" t="s">
        <v>1968</v>
      </c>
      <c r="D59" s="1449"/>
      <c r="E59" s="505"/>
      <c r="F59" s="506"/>
      <c r="G59" s="511">
        <f>G64</f>
        <v>120000</v>
      </c>
      <c r="H59" s="565"/>
      <c r="I59" s="565"/>
      <c r="J59" s="1504"/>
      <c r="K59" s="1504"/>
      <c r="L59" s="1505"/>
      <c r="M59" s="774"/>
    </row>
    <row r="60" spans="1:13" s="1010" customFormat="1" x14ac:dyDescent="0.2">
      <c r="A60" s="507" t="s">
        <v>27</v>
      </c>
      <c r="B60" s="507"/>
      <c r="C60" s="86" t="s">
        <v>1992</v>
      </c>
      <c r="D60" s="1449"/>
      <c r="E60" s="505"/>
      <c r="F60" s="506"/>
      <c r="G60" s="511"/>
      <c r="H60" s="1506"/>
      <c r="I60" s="565"/>
      <c r="J60" s="1504"/>
      <c r="K60" s="1504"/>
      <c r="L60" s="1505"/>
      <c r="M60" s="774"/>
    </row>
    <row r="61" spans="1:13" s="1010" customFormat="1" ht="33" customHeight="1" x14ac:dyDescent="0.2">
      <c r="A61" s="2182" t="s">
        <v>1993</v>
      </c>
      <c r="B61" s="2182"/>
      <c r="C61" s="2182"/>
      <c r="D61" s="2182"/>
      <c r="E61" s="2182"/>
      <c r="F61" s="2182"/>
      <c r="G61" s="2182"/>
      <c r="H61" s="565"/>
      <c r="I61" s="565"/>
      <c r="J61" s="1504"/>
      <c r="K61" s="1504"/>
      <c r="L61" s="1505"/>
      <c r="M61" s="774"/>
    </row>
    <row r="62" spans="1:13" s="1010" customFormat="1" ht="30" x14ac:dyDescent="0.2">
      <c r="A62" s="1410" t="s">
        <v>8</v>
      </c>
      <c r="B62" s="2426" t="s">
        <v>35</v>
      </c>
      <c r="C62" s="2427"/>
      <c r="D62" s="2427"/>
      <c r="E62" s="2427"/>
      <c r="F62" s="2428"/>
      <c r="G62" s="1420" t="s">
        <v>256</v>
      </c>
      <c r="H62" s="565"/>
      <c r="I62" s="565"/>
      <c r="J62" s="1504"/>
      <c r="K62" s="1504"/>
      <c r="L62" s="1505"/>
      <c r="M62" s="774"/>
    </row>
    <row r="63" spans="1:13" s="1010" customFormat="1" x14ac:dyDescent="0.2">
      <c r="A63" s="1127">
        <v>1</v>
      </c>
      <c r="B63" s="2422" t="s">
        <v>1994</v>
      </c>
      <c r="C63" s="2348"/>
      <c r="D63" s="2348"/>
      <c r="E63" s="2348"/>
      <c r="F63" s="2349"/>
      <c r="G63" s="1420">
        <v>120000</v>
      </c>
      <c r="H63" s="553"/>
      <c r="I63" s="553"/>
      <c r="J63" s="1504"/>
      <c r="K63" s="1504"/>
      <c r="L63" s="1505"/>
      <c r="M63" s="774"/>
    </row>
    <row r="64" spans="1:13" s="1010" customFormat="1" x14ac:dyDescent="0.2">
      <c r="A64" s="2423" t="s">
        <v>39</v>
      </c>
      <c r="B64" s="2424"/>
      <c r="C64" s="2424"/>
      <c r="D64" s="2424"/>
      <c r="E64" s="2424"/>
      <c r="F64" s="2425"/>
      <c r="G64" s="1192">
        <f>G63</f>
        <v>120000</v>
      </c>
      <c r="H64" s="564"/>
      <c r="I64" s="739">
        <f>G64-H64</f>
        <v>120000</v>
      </c>
      <c r="J64" s="1504"/>
      <c r="K64" s="1504"/>
      <c r="L64" s="1505"/>
      <c r="M64" s="774"/>
    </row>
    <row r="65" spans="1:13" s="1010" customFormat="1" x14ac:dyDescent="0.2">
      <c r="A65" s="1502"/>
      <c r="B65" s="1502"/>
      <c r="C65" s="1502"/>
      <c r="D65" s="1502"/>
      <c r="E65" s="1502"/>
      <c r="F65" s="1502"/>
      <c r="G65" s="1503"/>
      <c r="H65" s="694"/>
      <c r="I65" s="1009"/>
      <c r="J65" s="1504"/>
      <c r="K65" s="1504"/>
      <c r="L65" s="1505"/>
      <c r="M65" s="774"/>
    </row>
    <row r="66" spans="1:13" s="1010" customFormat="1" ht="28.5" hidden="1" customHeight="1" x14ac:dyDescent="0.2">
      <c r="A66" s="2121" t="s">
        <v>1995</v>
      </c>
      <c r="B66" s="1832"/>
      <c r="C66" s="1832"/>
      <c r="D66" s="1832"/>
      <c r="E66" s="1832"/>
      <c r="F66" s="1832"/>
      <c r="G66" s="1832"/>
      <c r="H66" s="82"/>
      <c r="I66" s="82"/>
      <c r="J66" s="82"/>
      <c r="K66" s="1504"/>
      <c r="L66" s="1505"/>
      <c r="M66" s="774"/>
    </row>
    <row r="67" spans="1:13" s="1010" customFormat="1" x14ac:dyDescent="0.2">
      <c r="A67" s="1458" t="s">
        <v>1986</v>
      </c>
      <c r="B67" s="1457"/>
      <c r="C67" s="1497" t="s">
        <v>72</v>
      </c>
      <c r="D67" s="1458"/>
      <c r="E67" s="1457"/>
      <c r="F67" s="60"/>
      <c r="G67" s="1002">
        <f>G69</f>
        <v>3304142.31</v>
      </c>
      <c r="H67" s="694"/>
      <c r="I67" s="1009"/>
      <c r="J67" s="1507"/>
      <c r="K67" s="1507"/>
      <c r="L67" s="1505"/>
      <c r="M67" s="774"/>
    </row>
    <row r="68" spans="1:13" s="1010" customFormat="1" x14ac:dyDescent="0.2">
      <c r="A68" s="1458"/>
      <c r="B68" s="1457"/>
      <c r="C68" s="1497"/>
      <c r="D68" s="1458"/>
      <c r="E68" s="1457"/>
      <c r="F68" s="60"/>
      <c r="G68" s="1002"/>
      <c r="H68" s="694"/>
      <c r="I68" s="1009"/>
      <c r="J68" s="1507"/>
      <c r="K68" s="1507"/>
      <c r="L68" s="1505"/>
      <c r="M68" s="774"/>
    </row>
    <row r="69" spans="1:13" s="1010" customFormat="1" x14ac:dyDescent="0.2">
      <c r="A69" s="1458" t="s">
        <v>1987</v>
      </c>
      <c r="B69" s="1457"/>
      <c r="C69" s="1497" t="s">
        <v>74</v>
      </c>
      <c r="D69" s="394"/>
      <c r="E69" s="1457"/>
      <c r="F69" s="60"/>
      <c r="G69" s="1002">
        <f>G71+G81+G91</f>
        <v>3304142.31</v>
      </c>
      <c r="H69" s="694"/>
      <c r="I69" s="1009"/>
      <c r="J69" s="1507"/>
      <c r="K69" s="1507"/>
      <c r="L69" s="1505"/>
      <c r="M69" s="774"/>
    </row>
    <row r="70" spans="1:13" s="1010" customFormat="1" x14ac:dyDescent="0.2">
      <c r="A70" s="1458"/>
      <c r="B70" s="1457"/>
      <c r="C70" s="1497"/>
      <c r="D70" s="394"/>
      <c r="E70" s="1457"/>
      <c r="F70" s="60"/>
      <c r="G70" s="1002"/>
      <c r="H70" s="694"/>
      <c r="I70" s="1009"/>
      <c r="J70" s="1507"/>
      <c r="K70" s="1507"/>
      <c r="L70" s="1505"/>
      <c r="M70" s="774"/>
    </row>
    <row r="71" spans="1:13" s="1010" customFormat="1" ht="15" customHeight="1" x14ac:dyDescent="0.2">
      <c r="A71" s="1011" t="s">
        <v>1503</v>
      </c>
      <c r="B71" s="1011"/>
      <c r="C71" s="2401" t="s">
        <v>1965</v>
      </c>
      <c r="D71" s="2420"/>
      <c r="E71" s="1498"/>
      <c r="F71" s="1498"/>
      <c r="G71" s="1002">
        <f>G79</f>
        <v>3128719.77</v>
      </c>
      <c r="H71" s="694"/>
      <c r="I71" s="1009"/>
      <c r="J71" s="1507"/>
      <c r="K71" s="1507"/>
      <c r="L71" s="1505"/>
      <c r="M71" s="774"/>
    </row>
    <row r="72" spans="1:13" s="1010" customFormat="1" ht="15" customHeight="1" x14ac:dyDescent="0.2">
      <c r="A72" s="1011" t="s">
        <v>1504</v>
      </c>
      <c r="B72" s="1011"/>
      <c r="C72" s="2401" t="s">
        <v>1988</v>
      </c>
      <c r="D72" s="2420"/>
      <c r="E72" s="1498"/>
      <c r="F72" s="1498"/>
      <c r="G72" s="1498"/>
      <c r="H72" s="694"/>
      <c r="I72" s="1009"/>
      <c r="J72" s="1507"/>
      <c r="K72" s="1507"/>
      <c r="L72" s="1505"/>
      <c r="M72" s="774"/>
    </row>
    <row r="73" spans="1:13" s="1010" customFormat="1" x14ac:dyDescent="0.2">
      <c r="A73" s="1457" t="s">
        <v>1996</v>
      </c>
      <c r="B73" s="1457"/>
      <c r="C73" s="1457"/>
      <c r="D73" s="72"/>
      <c r="E73" s="72"/>
      <c r="F73" s="60"/>
      <c r="G73" s="90"/>
      <c r="H73" s="694"/>
      <c r="I73" s="1009"/>
      <c r="J73" s="1507"/>
      <c r="K73" s="1507"/>
      <c r="L73" s="1505"/>
      <c r="M73" s="774"/>
    </row>
    <row r="74" spans="1:13" s="1010" customFormat="1" ht="45" x14ac:dyDescent="0.2">
      <c r="A74" s="1460" t="s">
        <v>8</v>
      </c>
      <c r="B74" s="2414" t="s">
        <v>35</v>
      </c>
      <c r="C74" s="2168"/>
      <c r="D74" s="2169"/>
      <c r="E74" s="1420" t="s">
        <v>1997</v>
      </c>
      <c r="F74" s="1420" t="s">
        <v>53</v>
      </c>
      <c r="G74" s="1420" t="s">
        <v>261</v>
      </c>
      <c r="H74" s="694"/>
      <c r="I74" s="1009"/>
      <c r="J74" s="1507"/>
      <c r="K74" s="1507"/>
      <c r="L74" s="1505"/>
      <c r="M74" s="774"/>
    </row>
    <row r="75" spans="1:13" s="1010" customFormat="1" x14ac:dyDescent="0.2">
      <c r="A75" s="1460">
        <v>1</v>
      </c>
      <c r="B75" s="2429" t="s">
        <v>1606</v>
      </c>
      <c r="C75" s="2163"/>
      <c r="D75" s="2244"/>
      <c r="E75" s="1121" t="s">
        <v>82</v>
      </c>
      <c r="F75" s="1122" t="s">
        <v>82</v>
      </c>
      <c r="G75" s="1124">
        <f>G76</f>
        <v>3107999.77</v>
      </c>
      <c r="H75" s="694"/>
      <c r="I75" s="1009"/>
      <c r="J75" s="1507"/>
      <c r="K75" s="1507"/>
      <c r="L75" s="1505"/>
      <c r="M75" s="774"/>
    </row>
    <row r="76" spans="1:13" s="1010" customFormat="1" ht="45.75" customHeight="1" x14ac:dyDescent="0.2">
      <c r="A76" s="1460" t="s">
        <v>1607</v>
      </c>
      <c r="B76" s="2429" t="s">
        <v>1608</v>
      </c>
      <c r="C76" s="2163"/>
      <c r="D76" s="2244"/>
      <c r="E76" s="1121">
        <f>G49</f>
        <v>10359999.23</v>
      </c>
      <c r="F76" s="1122">
        <v>0.3</v>
      </c>
      <c r="G76" s="1420">
        <f>E76*F76</f>
        <v>3107999.77</v>
      </c>
      <c r="H76" s="78"/>
      <c r="I76" s="1508"/>
      <c r="J76" s="1507"/>
      <c r="K76" s="1507"/>
      <c r="L76" s="1505"/>
      <c r="M76" s="774"/>
    </row>
    <row r="77" spans="1:13" s="1010" customFormat="1" ht="44.25" customHeight="1" x14ac:dyDescent="0.2">
      <c r="A77" s="1460">
        <v>2</v>
      </c>
      <c r="B77" s="2429" t="s">
        <v>1609</v>
      </c>
      <c r="C77" s="2163"/>
      <c r="D77" s="2244"/>
      <c r="E77" s="1121" t="s">
        <v>82</v>
      </c>
      <c r="F77" s="1122" t="s">
        <v>82</v>
      </c>
      <c r="G77" s="1124">
        <f>G78</f>
        <v>20720</v>
      </c>
      <c r="H77" s="694"/>
      <c r="I77" s="1009"/>
      <c r="J77" s="1507"/>
      <c r="K77" s="1507"/>
      <c r="L77" s="1505"/>
      <c r="M77" s="774"/>
    </row>
    <row r="78" spans="1:13" s="1010" customFormat="1" ht="48" customHeight="1" x14ac:dyDescent="0.2">
      <c r="A78" s="1460" t="s">
        <v>1607</v>
      </c>
      <c r="B78" s="2429" t="s">
        <v>1610</v>
      </c>
      <c r="C78" s="2163"/>
      <c r="D78" s="2244"/>
      <c r="E78" s="1121">
        <f>G49</f>
        <v>10359999.23</v>
      </c>
      <c r="F78" s="1122">
        <v>2E-3</v>
      </c>
      <c r="G78" s="1420">
        <f>E78*F78</f>
        <v>20720</v>
      </c>
      <c r="H78" s="78"/>
      <c r="I78" s="1508"/>
      <c r="J78" s="1504"/>
      <c r="K78" s="1507"/>
      <c r="L78" s="1505"/>
      <c r="M78" s="774"/>
    </row>
    <row r="79" spans="1:13" s="1010" customFormat="1" x14ac:dyDescent="0.25">
      <c r="A79" s="2417" t="s">
        <v>786</v>
      </c>
      <c r="B79" s="2418"/>
      <c r="C79" s="2418"/>
      <c r="D79" s="2418"/>
      <c r="E79" s="2418"/>
      <c r="F79" s="2419"/>
      <c r="G79" s="1500">
        <f>G75+G77</f>
        <v>3128719.77</v>
      </c>
      <c r="H79" s="1501"/>
      <c r="I79" s="1009"/>
      <c r="J79" s="1507"/>
      <c r="K79" s="1507"/>
      <c r="L79" s="1505"/>
      <c r="M79" s="774"/>
    </row>
    <row r="80" spans="1:13" s="1010" customFormat="1" x14ac:dyDescent="0.2">
      <c r="A80" s="1502"/>
      <c r="B80" s="1502"/>
      <c r="C80" s="1502"/>
      <c r="D80" s="1502"/>
      <c r="E80" s="1502"/>
      <c r="F80" s="1502"/>
      <c r="G80" s="1503"/>
      <c r="H80" s="694"/>
      <c r="I80" s="1009"/>
      <c r="J80" s="1507"/>
      <c r="K80" s="1507"/>
      <c r="L80" s="1505"/>
      <c r="M80" s="774"/>
    </row>
    <row r="81" spans="1:13" s="1010" customFormat="1" ht="15" customHeight="1" x14ac:dyDescent="0.2">
      <c r="A81" s="1011" t="s">
        <v>1503</v>
      </c>
      <c r="B81" s="1011"/>
      <c r="C81" s="2401" t="s">
        <v>1966</v>
      </c>
      <c r="D81" s="2420"/>
      <c r="E81" s="1498"/>
      <c r="F81" s="1498"/>
      <c r="G81" s="1002">
        <f>G89</f>
        <v>139182.54</v>
      </c>
      <c r="H81" s="694"/>
      <c r="I81" s="1009"/>
      <c r="J81" s="1504"/>
      <c r="K81" s="1504"/>
      <c r="L81" s="1505"/>
      <c r="M81" s="774"/>
    </row>
    <row r="82" spans="1:13" s="1010" customFormat="1" ht="15" customHeight="1" x14ac:dyDescent="0.2">
      <c r="A82" s="1011" t="s">
        <v>1504</v>
      </c>
      <c r="B82" s="1011"/>
      <c r="C82" s="2401" t="s">
        <v>1990</v>
      </c>
      <c r="D82" s="2420"/>
      <c r="E82" s="1498"/>
      <c r="F82" s="1498"/>
      <c r="G82" s="1498"/>
      <c r="H82" s="694"/>
      <c r="I82" s="1009"/>
      <c r="J82" s="1504"/>
      <c r="K82" s="1504"/>
      <c r="L82" s="1505"/>
      <c r="M82" s="774"/>
    </row>
    <row r="83" spans="1:13" s="1010" customFormat="1" x14ac:dyDescent="0.2">
      <c r="A83" s="1457" t="s">
        <v>1996</v>
      </c>
      <c r="B83" s="1457"/>
      <c r="C83" s="1457"/>
      <c r="D83" s="72"/>
      <c r="E83" s="72"/>
      <c r="F83" s="60"/>
      <c r="G83" s="90"/>
      <c r="H83" s="694"/>
      <c r="I83" s="1009"/>
      <c r="J83" s="1507"/>
      <c r="K83" s="1507"/>
      <c r="L83" s="1505"/>
      <c r="M83" s="774"/>
    </row>
    <row r="84" spans="1:13" s="1010" customFormat="1" ht="59.25" customHeight="1" x14ac:dyDescent="0.2">
      <c r="A84" s="1460" t="s">
        <v>8</v>
      </c>
      <c r="B84" s="2414" t="s">
        <v>35</v>
      </c>
      <c r="C84" s="2168"/>
      <c r="D84" s="2169"/>
      <c r="E84" s="1420" t="s">
        <v>1997</v>
      </c>
      <c r="F84" s="1420" t="s">
        <v>53</v>
      </c>
      <c r="G84" s="1420" t="s">
        <v>261</v>
      </c>
      <c r="H84" s="694"/>
      <c r="I84" s="1009"/>
      <c r="J84" s="1507"/>
      <c r="K84" s="1507"/>
      <c r="L84" s="1505"/>
      <c r="M84" s="774"/>
    </row>
    <row r="85" spans="1:13" s="1010" customFormat="1" x14ac:dyDescent="0.2">
      <c r="A85" s="1460">
        <v>1</v>
      </c>
      <c r="B85" s="2429" t="s">
        <v>1606</v>
      </c>
      <c r="C85" s="2163"/>
      <c r="D85" s="2244"/>
      <c r="E85" s="1121" t="s">
        <v>82</v>
      </c>
      <c r="F85" s="1122" t="s">
        <v>82</v>
      </c>
      <c r="G85" s="1124">
        <f>G86</f>
        <v>138260.79999999999</v>
      </c>
      <c r="H85" s="694"/>
      <c r="I85" s="1009"/>
      <c r="J85" s="1507"/>
      <c r="K85" s="1507"/>
      <c r="L85" s="1505"/>
      <c r="M85" s="774"/>
    </row>
    <row r="86" spans="1:13" s="1010" customFormat="1" ht="45" customHeight="1" x14ac:dyDescent="0.2">
      <c r="A86" s="1460" t="s">
        <v>1607</v>
      </c>
      <c r="B86" s="2429" t="s">
        <v>1608</v>
      </c>
      <c r="C86" s="2163"/>
      <c r="D86" s="2244"/>
      <c r="E86" s="1121">
        <f>G57</f>
        <v>460869.32</v>
      </c>
      <c r="F86" s="1122">
        <v>0.3</v>
      </c>
      <c r="G86" s="1420">
        <f>E86*F86</f>
        <v>138260.79999999999</v>
      </c>
      <c r="H86" s="694"/>
      <c r="I86" s="1009"/>
      <c r="J86" s="1507"/>
      <c r="K86" s="1507"/>
      <c r="L86" s="1505"/>
      <c r="M86" s="774"/>
    </row>
    <row r="87" spans="1:13" s="1010" customFormat="1" ht="44.25" customHeight="1" x14ac:dyDescent="0.2">
      <c r="A87" s="1460">
        <v>2</v>
      </c>
      <c r="B87" s="2429" t="s">
        <v>1609</v>
      </c>
      <c r="C87" s="2163"/>
      <c r="D87" s="2244"/>
      <c r="E87" s="1121" t="s">
        <v>82</v>
      </c>
      <c r="F87" s="1122" t="s">
        <v>82</v>
      </c>
      <c r="G87" s="1124">
        <f>G88</f>
        <v>921.74</v>
      </c>
      <c r="H87" s="694"/>
      <c r="I87" s="1009"/>
      <c r="J87" s="1507"/>
      <c r="K87" s="1507"/>
      <c r="L87" s="1505"/>
      <c r="M87" s="774"/>
    </row>
    <row r="88" spans="1:13" s="1010" customFormat="1" ht="45" customHeight="1" x14ac:dyDescent="0.2">
      <c r="A88" s="1460" t="s">
        <v>1607</v>
      </c>
      <c r="B88" s="2429" t="s">
        <v>1610</v>
      </c>
      <c r="C88" s="2163"/>
      <c r="D88" s="2244"/>
      <c r="E88" s="1121">
        <f>E86</f>
        <v>460869.32</v>
      </c>
      <c r="F88" s="1122">
        <v>2E-3</v>
      </c>
      <c r="G88" s="1420">
        <f>E88*F88</f>
        <v>921.74</v>
      </c>
      <c r="H88" s="694"/>
      <c r="I88" s="1009"/>
      <c r="J88" s="1507"/>
      <c r="K88" s="1507"/>
      <c r="L88" s="1505"/>
      <c r="M88" s="774"/>
    </row>
    <row r="89" spans="1:13" s="1010" customFormat="1" x14ac:dyDescent="0.2">
      <c r="A89" s="2417" t="s">
        <v>786</v>
      </c>
      <c r="B89" s="2418"/>
      <c r="C89" s="2418"/>
      <c r="D89" s="2418"/>
      <c r="E89" s="2418"/>
      <c r="F89" s="2419"/>
      <c r="G89" s="1500">
        <f>G85+G87</f>
        <v>139182.54</v>
      </c>
      <c r="H89" s="694"/>
      <c r="I89" s="1009"/>
      <c r="J89" s="1507"/>
      <c r="K89" s="1507"/>
      <c r="L89" s="1505"/>
      <c r="M89" s="774"/>
    </row>
    <row r="90" spans="1:13" s="1010" customFormat="1" x14ac:dyDescent="0.2">
      <c r="A90" s="1509"/>
      <c r="B90" s="1509"/>
      <c r="C90" s="1509"/>
      <c r="D90" s="1509"/>
      <c r="E90" s="1509"/>
      <c r="F90" s="1509"/>
      <c r="G90" s="1510"/>
      <c r="H90" s="694"/>
      <c r="I90" s="1009"/>
      <c r="J90" s="1507"/>
      <c r="K90" s="1507"/>
      <c r="L90" s="1505"/>
      <c r="M90" s="774"/>
    </row>
    <row r="91" spans="1:13" s="1010" customFormat="1" x14ac:dyDescent="0.2">
      <c r="A91" s="507" t="s">
        <v>26</v>
      </c>
      <c r="B91" s="507"/>
      <c r="C91" s="587" t="s">
        <v>1968</v>
      </c>
      <c r="D91" s="1449"/>
      <c r="E91" s="505"/>
      <c r="F91" s="506"/>
      <c r="G91" s="511">
        <f>G99</f>
        <v>36240</v>
      </c>
      <c r="H91" s="565"/>
      <c r="I91" s="565"/>
      <c r="J91" s="1504"/>
      <c r="K91" s="1504"/>
      <c r="L91" s="1505"/>
      <c r="M91" s="774"/>
    </row>
    <row r="92" spans="1:13" s="1010" customFormat="1" x14ac:dyDescent="0.2">
      <c r="A92" s="507" t="s">
        <v>27</v>
      </c>
      <c r="B92" s="507"/>
      <c r="C92" s="86" t="s">
        <v>1992</v>
      </c>
      <c r="D92" s="1449"/>
      <c r="E92" s="505"/>
      <c r="F92" s="506"/>
      <c r="G92" s="511"/>
      <c r="H92" s="1506"/>
      <c r="I92" s="565"/>
      <c r="J92" s="1504"/>
      <c r="K92" s="1504"/>
      <c r="L92" s="1505"/>
      <c r="M92" s="774"/>
    </row>
    <row r="93" spans="1:13" s="1010" customFormat="1" x14ac:dyDescent="0.2">
      <c r="A93" s="1443" t="s">
        <v>317</v>
      </c>
      <c r="B93" s="1449"/>
      <c r="C93" s="1449"/>
      <c r="D93" s="1449"/>
      <c r="E93" s="505"/>
      <c r="F93" s="505"/>
      <c r="G93" s="505"/>
      <c r="H93" s="508"/>
      <c r="I93" s="508"/>
      <c r="J93" s="1507"/>
      <c r="K93" s="1507"/>
      <c r="L93" s="1505"/>
      <c r="M93" s="774"/>
    </row>
    <row r="94" spans="1:13" s="1010" customFormat="1" ht="45" x14ac:dyDescent="0.2">
      <c r="A94" s="1410" t="s">
        <v>8</v>
      </c>
      <c r="B94" s="2193" t="s">
        <v>35</v>
      </c>
      <c r="C94" s="2168"/>
      <c r="D94" s="2169"/>
      <c r="E94" s="1420" t="s">
        <v>1997</v>
      </c>
      <c r="F94" s="1420" t="s">
        <v>53</v>
      </c>
      <c r="G94" s="1420" t="s">
        <v>261</v>
      </c>
      <c r="H94" s="754"/>
      <c r="I94" s="754"/>
      <c r="J94" s="1507"/>
      <c r="K94" s="1507"/>
      <c r="L94" s="1505"/>
      <c r="M94" s="774"/>
    </row>
    <row r="95" spans="1:13" s="1010" customFormat="1" x14ac:dyDescent="0.2">
      <c r="A95" s="1160" t="s">
        <v>244</v>
      </c>
      <c r="B95" s="2430" t="s">
        <v>1606</v>
      </c>
      <c r="C95" s="2163"/>
      <c r="D95" s="2244"/>
      <c r="E95" s="1121" t="s">
        <v>82</v>
      </c>
      <c r="F95" s="1122" t="s">
        <v>82</v>
      </c>
      <c r="G95" s="1124">
        <f>G96</f>
        <v>36000</v>
      </c>
      <c r="H95" s="508"/>
      <c r="I95" s="508"/>
      <c r="J95" s="1507"/>
      <c r="K95" s="1507"/>
      <c r="L95" s="1505"/>
      <c r="M95" s="774"/>
    </row>
    <row r="96" spans="1:13" s="1010" customFormat="1" ht="46.5" customHeight="1" x14ac:dyDescent="0.2">
      <c r="A96" s="1160" t="s">
        <v>1607</v>
      </c>
      <c r="B96" s="2430" t="s">
        <v>1608</v>
      </c>
      <c r="C96" s="2163"/>
      <c r="D96" s="2244"/>
      <c r="E96" s="1121">
        <f>G64</f>
        <v>120000</v>
      </c>
      <c r="F96" s="1122">
        <v>0.3</v>
      </c>
      <c r="G96" s="1420">
        <f>E96*F96</f>
        <v>36000</v>
      </c>
      <c r="H96" s="508"/>
      <c r="I96" s="508"/>
      <c r="J96" s="1507"/>
      <c r="K96" s="1507"/>
      <c r="L96" s="1505"/>
      <c r="M96" s="774"/>
    </row>
    <row r="97" spans="1:13" s="1010" customFormat="1" x14ac:dyDescent="0.2">
      <c r="A97" s="1160" t="s">
        <v>281</v>
      </c>
      <c r="B97" s="2430" t="s">
        <v>1609</v>
      </c>
      <c r="C97" s="2163"/>
      <c r="D97" s="2244"/>
      <c r="E97" s="1121" t="s">
        <v>82</v>
      </c>
      <c r="F97" s="1122" t="s">
        <v>82</v>
      </c>
      <c r="G97" s="1124">
        <f>G98</f>
        <v>240</v>
      </c>
      <c r="H97" s="508"/>
      <c r="I97" s="508"/>
      <c r="J97" s="1507"/>
      <c r="K97" s="1507"/>
      <c r="L97" s="1505"/>
      <c r="M97" s="774"/>
    </row>
    <row r="98" spans="1:13" s="1010" customFormat="1" ht="45.75" customHeight="1" x14ac:dyDescent="0.2">
      <c r="A98" s="1160" t="s">
        <v>1607</v>
      </c>
      <c r="B98" s="2430" t="s">
        <v>1610</v>
      </c>
      <c r="C98" s="2163"/>
      <c r="D98" s="2244"/>
      <c r="E98" s="1121">
        <f>E96</f>
        <v>120000</v>
      </c>
      <c r="F98" s="1122">
        <v>2E-3</v>
      </c>
      <c r="G98" s="1420">
        <f>E98*F98</f>
        <v>240</v>
      </c>
      <c r="H98" s="508"/>
      <c r="I98" s="508"/>
      <c r="J98" s="1507"/>
      <c r="K98" s="1507"/>
      <c r="L98" s="1505"/>
      <c r="M98" s="774"/>
    </row>
    <row r="99" spans="1:13" s="1010" customFormat="1" x14ac:dyDescent="0.25">
      <c r="A99" s="2278" t="s">
        <v>39</v>
      </c>
      <c r="B99" s="2278"/>
      <c r="C99" s="2278"/>
      <c r="D99" s="2278"/>
      <c r="E99" s="2278"/>
      <c r="F99" s="2278"/>
      <c r="G99" s="1511">
        <f>G95+G97</f>
        <v>36240</v>
      </c>
      <c r="H99" s="554"/>
      <c r="I99" s="554"/>
      <c r="J99" s="1512"/>
      <c r="K99" s="351"/>
      <c r="L99" s="1513"/>
      <c r="M99" s="774"/>
    </row>
    <row r="100" spans="1:13" s="1010" customFormat="1" x14ac:dyDescent="0.2">
      <c r="A100" s="1509"/>
      <c r="B100" s="1509"/>
      <c r="C100" s="1509"/>
      <c r="D100" s="1509"/>
      <c r="E100" s="1509"/>
      <c r="F100" s="1509"/>
      <c r="G100" s="1510"/>
      <c r="H100" s="694"/>
      <c r="I100" s="1009"/>
      <c r="J100" s="1507"/>
      <c r="K100" s="1507"/>
      <c r="L100" s="1505"/>
      <c r="M100" s="774"/>
    </row>
    <row r="101" spans="1:13" s="61" customFormat="1" x14ac:dyDescent="0.25">
      <c r="A101" s="1458" t="s">
        <v>1986</v>
      </c>
      <c r="B101" s="1457"/>
      <c r="C101" s="1497" t="s">
        <v>68</v>
      </c>
      <c r="D101" s="1458"/>
      <c r="E101" s="1457"/>
      <c r="F101" s="60"/>
      <c r="G101" s="1002">
        <f>G102</f>
        <v>320000</v>
      </c>
      <c r="H101" s="60"/>
      <c r="I101" s="85"/>
      <c r="J101" s="1452"/>
      <c r="K101" s="1452"/>
      <c r="L101" s="1452"/>
    </row>
    <row r="102" spans="1:13" s="61" customFormat="1" x14ac:dyDescent="0.25">
      <c r="A102" s="1458" t="s">
        <v>1987</v>
      </c>
      <c r="B102" s="1457"/>
      <c r="C102" s="1497" t="s">
        <v>73</v>
      </c>
      <c r="D102" s="394"/>
      <c r="E102" s="1457"/>
      <c r="F102" s="60"/>
      <c r="G102" s="1002">
        <f>G103</f>
        <v>320000</v>
      </c>
      <c r="H102" s="60"/>
      <c r="I102" s="85"/>
      <c r="J102" s="1452"/>
      <c r="K102" s="1452"/>
      <c r="L102" s="1452"/>
    </row>
    <row r="103" spans="1:13" s="1004" customFormat="1" x14ac:dyDescent="0.25">
      <c r="A103" s="1011" t="s">
        <v>1503</v>
      </c>
      <c r="B103" s="1011"/>
      <c r="C103" s="2401" t="s">
        <v>1967</v>
      </c>
      <c r="D103" s="2420"/>
      <c r="E103" s="1498"/>
      <c r="F103" s="1498"/>
      <c r="G103" s="1002">
        <f>G110</f>
        <v>320000</v>
      </c>
      <c r="H103" s="893"/>
      <c r="I103" s="1003"/>
      <c r="J103" s="1003"/>
      <c r="K103" s="1003"/>
    </row>
    <row r="104" spans="1:13" s="1004" customFormat="1" x14ac:dyDescent="0.25">
      <c r="A104" s="1011" t="s">
        <v>1504</v>
      </c>
      <c r="B104" s="1011"/>
      <c r="C104" s="2401" t="s">
        <v>1830</v>
      </c>
      <c r="D104" s="2420"/>
      <c r="E104" s="1498"/>
      <c r="F104" s="1498"/>
      <c r="G104" s="1498"/>
      <c r="H104" s="893"/>
      <c r="I104" s="1003"/>
      <c r="J104" s="1003"/>
      <c r="K104" s="1003"/>
    </row>
    <row r="105" spans="1:13" s="1010" customFormat="1" x14ac:dyDescent="0.25">
      <c r="A105" s="1514" t="s">
        <v>1998</v>
      </c>
      <c r="B105" s="1514"/>
      <c r="C105" s="1514"/>
      <c r="D105" s="1514"/>
      <c r="E105" s="1514"/>
      <c r="F105" s="1514"/>
      <c r="G105" s="1514"/>
      <c r="H105" s="1515"/>
      <c r="I105" s="1515"/>
      <c r="J105" s="1515"/>
      <c r="K105" s="849"/>
      <c r="L105" s="970"/>
      <c r="M105" s="774"/>
    </row>
    <row r="106" spans="1:13" s="1010" customFormat="1" ht="15" customHeight="1" x14ac:dyDescent="0.25">
      <c r="A106" s="2315" t="s">
        <v>8</v>
      </c>
      <c r="B106" s="2192" t="s">
        <v>49</v>
      </c>
      <c r="C106" s="2158"/>
      <c r="D106" s="2193" t="s">
        <v>2046</v>
      </c>
      <c r="E106" s="2168"/>
      <c r="F106" s="2168"/>
      <c r="G106" s="2168"/>
      <c r="H106" s="1009"/>
      <c r="I106" s="1009"/>
      <c r="J106" s="1009"/>
      <c r="K106" s="849"/>
      <c r="L106" s="970"/>
      <c r="M106" s="774"/>
    </row>
    <row r="107" spans="1:13" s="1010" customFormat="1" ht="30" x14ac:dyDescent="0.25">
      <c r="A107" s="2200"/>
      <c r="B107" s="2159"/>
      <c r="C107" s="2161"/>
      <c r="D107" s="1433" t="s">
        <v>1999</v>
      </c>
      <c r="E107" s="1419" t="s">
        <v>2000</v>
      </c>
      <c r="F107" s="1433" t="s">
        <v>2001</v>
      </c>
      <c r="G107" s="1413" t="s">
        <v>261</v>
      </c>
      <c r="H107" s="1009"/>
      <c r="I107" s="1009"/>
      <c r="J107" s="1009"/>
      <c r="K107" s="849"/>
      <c r="L107" s="970"/>
      <c r="M107" s="774"/>
    </row>
    <row r="108" spans="1:13" s="1010" customFormat="1" x14ac:dyDescent="0.25">
      <c r="A108" s="1127">
        <v>1</v>
      </c>
      <c r="B108" s="2252" t="s">
        <v>2002</v>
      </c>
      <c r="C108" s="2254"/>
      <c r="D108" s="1229">
        <v>1</v>
      </c>
      <c r="E108" s="1420">
        <v>20000</v>
      </c>
      <c r="F108" s="1229">
        <v>12</v>
      </c>
      <c r="G108" s="1420">
        <f>D108*E108*F108</f>
        <v>240000</v>
      </c>
      <c r="K108" s="849"/>
      <c r="L108" s="970"/>
      <c r="M108" s="774"/>
    </row>
    <row r="109" spans="1:13" s="1010" customFormat="1" x14ac:dyDescent="0.25">
      <c r="A109" s="1127">
        <v>2</v>
      </c>
      <c r="B109" s="2255"/>
      <c r="C109" s="2257"/>
      <c r="D109" s="1229">
        <v>1</v>
      </c>
      <c r="E109" s="1420">
        <v>20000</v>
      </c>
      <c r="F109" s="1229">
        <v>4</v>
      </c>
      <c r="G109" s="1420">
        <f>D109*E109*F109</f>
        <v>80000</v>
      </c>
      <c r="K109" s="849"/>
      <c r="L109" s="970"/>
      <c r="M109" s="774"/>
    </row>
    <row r="110" spans="1:13" s="1010" customFormat="1" x14ac:dyDescent="0.25">
      <c r="A110" s="2278" t="s">
        <v>39</v>
      </c>
      <c r="B110" s="2278"/>
      <c r="C110" s="2278"/>
      <c r="D110" s="2278"/>
      <c r="E110" s="2278"/>
      <c r="F110" s="2278"/>
      <c r="G110" s="1511">
        <f>SUM(G108:G109)</f>
        <v>320000</v>
      </c>
      <c r="H110" s="554"/>
      <c r="I110" s="554"/>
      <c r="J110" s="1512"/>
      <c r="K110" s="351"/>
      <c r="L110" s="1513"/>
      <c r="M110" s="774"/>
    </row>
    <row r="111" spans="1:13" x14ac:dyDescent="0.25">
      <c r="A111" s="752"/>
      <c r="B111" s="752"/>
      <c r="C111" s="752"/>
      <c r="D111" s="752"/>
      <c r="E111" s="752"/>
      <c r="F111" s="752"/>
      <c r="G111" s="64"/>
      <c r="H111" s="564"/>
      <c r="I111" s="739"/>
      <c r="J111" s="565"/>
    </row>
    <row r="112" spans="1:13" s="594" customFormat="1" x14ac:dyDescent="0.25">
      <c r="A112" s="2437" t="s">
        <v>1227</v>
      </c>
      <c r="B112" s="2437"/>
      <c r="C112" s="2437"/>
      <c r="D112" s="2437"/>
      <c r="E112" s="2437"/>
      <c r="F112" s="2437"/>
      <c r="G112" s="654">
        <f>G114</f>
        <v>0</v>
      </c>
    </row>
    <row r="113" spans="1:13" s="594" customFormat="1" hidden="1" x14ac:dyDescent="0.25">
      <c r="A113" s="1517"/>
      <c r="B113" s="1517"/>
      <c r="C113" s="1517"/>
      <c r="D113" s="1517"/>
      <c r="E113" s="1517"/>
      <c r="F113" s="1517"/>
      <c r="G113" s="654"/>
    </row>
    <row r="114" spans="1:13" s="1529" customFormat="1" hidden="1" x14ac:dyDescent="0.2">
      <c r="A114" s="1458" t="s">
        <v>1986</v>
      </c>
      <c r="B114" s="1457"/>
      <c r="C114" s="1497" t="s">
        <v>1704</v>
      </c>
      <c r="D114" s="1458"/>
      <c r="E114" s="1457"/>
      <c r="F114" s="60"/>
      <c r="G114" s="1002">
        <f>G115</f>
        <v>0</v>
      </c>
      <c r="H114" s="1007"/>
      <c r="I114" s="1525"/>
      <c r="J114" s="1526"/>
      <c r="K114" s="1526"/>
      <c r="L114" s="1527"/>
      <c r="M114" s="1528"/>
    </row>
    <row r="115" spans="1:13" s="1529" customFormat="1" hidden="1" x14ac:dyDescent="0.2">
      <c r="A115" s="1458" t="s">
        <v>1987</v>
      </c>
      <c r="B115" s="1457"/>
      <c r="C115" s="1497" t="s">
        <v>90</v>
      </c>
      <c r="D115" s="394"/>
      <c r="E115" s="1457"/>
      <c r="F115" s="60"/>
      <c r="G115" s="1002">
        <f>G116</f>
        <v>0</v>
      </c>
      <c r="H115" s="1007"/>
      <c r="I115" s="1525"/>
      <c r="J115" s="1526"/>
      <c r="K115" s="1526"/>
      <c r="L115" s="1527"/>
      <c r="M115" s="1528"/>
    </row>
    <row r="116" spans="1:13" s="1529" customFormat="1" hidden="1" x14ac:dyDescent="0.2">
      <c r="A116" s="1011" t="s">
        <v>1503</v>
      </c>
      <c r="B116" s="1011"/>
      <c r="C116" s="2401" t="s">
        <v>1964</v>
      </c>
      <c r="D116" s="2420"/>
      <c r="E116" s="1498"/>
      <c r="F116" s="1498"/>
      <c r="G116" s="1002">
        <f>G123</f>
        <v>0</v>
      </c>
      <c r="H116" s="1007"/>
      <c r="I116" s="1525"/>
      <c r="J116" s="1526"/>
      <c r="K116" s="1526"/>
      <c r="L116" s="1527"/>
      <c r="M116" s="1528"/>
    </row>
    <row r="117" spans="1:13" s="1529" customFormat="1" hidden="1" x14ac:dyDescent="0.2">
      <c r="A117" s="1011" t="s">
        <v>1504</v>
      </c>
      <c r="B117" s="1011"/>
      <c r="C117" s="2401" t="s">
        <v>1830</v>
      </c>
      <c r="D117" s="2420"/>
      <c r="E117" s="1498"/>
      <c r="F117" s="1498"/>
      <c r="G117" s="1498"/>
      <c r="H117" s="1007"/>
      <c r="I117" s="1525"/>
      <c r="J117" s="1526"/>
      <c r="K117" s="1526"/>
      <c r="L117" s="1527"/>
      <c r="M117" s="1528"/>
    </row>
    <row r="118" spans="1:13" s="1529" customFormat="1" hidden="1" x14ac:dyDescent="0.2">
      <c r="A118" s="1449" t="s">
        <v>1153</v>
      </c>
      <c r="B118" s="1457"/>
      <c r="C118" s="1457"/>
      <c r="D118" s="1457"/>
      <c r="E118" s="1457"/>
      <c r="F118" s="1457"/>
      <c r="G118" s="1457"/>
      <c r="H118" s="60"/>
      <c r="I118" s="69"/>
      <c r="J118" s="69"/>
      <c r="K118" s="1526"/>
      <c r="L118" s="1527"/>
      <c r="M118" s="1528"/>
    </row>
    <row r="119" spans="1:13" s="1529" customFormat="1" ht="15" hidden="1" customHeight="1" x14ac:dyDescent="0.2">
      <c r="A119" s="2024" t="s">
        <v>8</v>
      </c>
      <c r="B119" s="1926" t="s">
        <v>2003</v>
      </c>
      <c r="C119" s="2173"/>
      <c r="D119" s="2193" t="s">
        <v>1827</v>
      </c>
      <c r="E119" s="2168"/>
      <c r="F119" s="2168"/>
      <c r="G119" s="2168"/>
      <c r="K119" s="1526"/>
      <c r="L119" s="1527"/>
      <c r="M119" s="1528"/>
    </row>
    <row r="120" spans="1:13" s="1529" customFormat="1" ht="105" hidden="1" x14ac:dyDescent="0.2">
      <c r="A120" s="2053"/>
      <c r="B120" s="2173"/>
      <c r="C120" s="2173"/>
      <c r="D120" s="1120" t="s">
        <v>2004</v>
      </c>
      <c r="E120" s="1441" t="s">
        <v>2005</v>
      </c>
      <c r="F120" s="1441" t="s">
        <v>2006</v>
      </c>
      <c r="G120" s="1420" t="s">
        <v>256</v>
      </c>
      <c r="K120" s="1526"/>
      <c r="L120" s="1527"/>
      <c r="M120" s="1528"/>
    </row>
    <row r="121" spans="1:13" s="1529" customFormat="1" hidden="1" x14ac:dyDescent="0.2">
      <c r="A121" s="1141"/>
      <c r="B121" s="1530" t="s">
        <v>2007</v>
      </c>
      <c r="C121" s="1531"/>
      <c r="D121" s="1142"/>
      <c r="E121" s="1285"/>
      <c r="F121" s="1285"/>
      <c r="G121" s="1532">
        <f>G122</f>
        <v>0</v>
      </c>
      <c r="K121" s="1526"/>
      <c r="L121" s="1527"/>
      <c r="M121" s="1528"/>
    </row>
    <row r="122" spans="1:13" s="1529" customFormat="1" hidden="1" x14ac:dyDescent="0.2">
      <c r="A122" s="1079">
        <v>1</v>
      </c>
      <c r="B122" s="2003" t="s">
        <v>2008</v>
      </c>
      <c r="C122" s="2244"/>
      <c r="D122" s="1533"/>
      <c r="E122" s="1142"/>
      <c r="F122" s="1285">
        <v>2</v>
      </c>
      <c r="G122" s="1432">
        <f>D122*E122*F122</f>
        <v>0</v>
      </c>
      <c r="H122" s="1525"/>
      <c r="I122" s="1525"/>
      <c r="J122" s="1525"/>
      <c r="K122" s="1526"/>
      <c r="L122" s="1527"/>
      <c r="M122" s="1528"/>
    </row>
    <row r="123" spans="1:13" s="1010" customFormat="1" hidden="1" x14ac:dyDescent="0.25">
      <c r="A123" s="2278" t="s">
        <v>39</v>
      </c>
      <c r="B123" s="2278"/>
      <c r="C123" s="2278"/>
      <c r="D123" s="2278"/>
      <c r="E123" s="2278"/>
      <c r="F123" s="2278"/>
      <c r="G123" s="1511">
        <f>G121</f>
        <v>0</v>
      </c>
      <c r="H123" s="554"/>
      <c r="I123" s="554"/>
      <c r="J123" s="1512"/>
      <c r="K123" s="351"/>
      <c r="L123" s="1513"/>
      <c r="M123" s="774"/>
    </row>
    <row r="124" spans="1:13" s="594" customFormat="1" hidden="1" x14ac:dyDescent="0.25">
      <c r="A124" s="652"/>
      <c r="B124" s="652"/>
      <c r="C124" s="652"/>
      <c r="D124" s="653"/>
      <c r="E124" s="1516"/>
      <c r="F124" s="653"/>
      <c r="G124" s="654"/>
    </row>
    <row r="125" spans="1:13" s="594" customFormat="1" hidden="1" x14ac:dyDescent="0.25">
      <c r="A125" s="652" t="s">
        <v>63</v>
      </c>
      <c r="B125" s="652"/>
      <c r="C125" s="652"/>
      <c r="D125" s="653"/>
      <c r="E125" s="1516"/>
      <c r="F125" s="653"/>
      <c r="G125" s="654">
        <f>G126</f>
        <v>0</v>
      </c>
    </row>
    <row r="126" spans="1:13" s="594" customFormat="1" hidden="1" x14ac:dyDescent="0.25">
      <c r="A126" s="652" t="s">
        <v>26</v>
      </c>
      <c r="B126" s="652"/>
      <c r="C126" s="652"/>
      <c r="D126" s="653"/>
      <c r="E126" s="1516"/>
      <c r="F126" s="653"/>
      <c r="G126" s="654">
        <f>G127</f>
        <v>0</v>
      </c>
    </row>
    <row r="127" spans="1:13" s="594" customFormat="1" hidden="1" x14ac:dyDescent="0.25">
      <c r="A127" s="652" t="s">
        <v>27</v>
      </c>
      <c r="B127" s="652"/>
      <c r="C127" s="652"/>
      <c r="D127" s="653"/>
      <c r="E127" s="1516"/>
      <c r="F127" s="653"/>
      <c r="G127" s="654">
        <f>G134+G141</f>
        <v>0</v>
      </c>
    </row>
    <row r="128" spans="1:13" s="594" customFormat="1" hidden="1" x14ac:dyDescent="0.25">
      <c r="A128" s="2431" t="s">
        <v>763</v>
      </c>
      <c r="B128" s="2431"/>
      <c r="C128" s="2431"/>
      <c r="D128" s="2431"/>
      <c r="E128" s="2431"/>
      <c r="F128" s="2431"/>
      <c r="G128" s="2431"/>
    </row>
    <row r="129" spans="1:7" s="594" customFormat="1" hidden="1" x14ac:dyDescent="0.25">
      <c r="A129" s="2432" t="s">
        <v>8</v>
      </c>
      <c r="B129" s="2433" t="s">
        <v>35</v>
      </c>
      <c r="C129" s="2433"/>
      <c r="D129" s="2434" t="s">
        <v>735</v>
      </c>
      <c r="E129" s="2435"/>
      <c r="F129" s="2435"/>
      <c r="G129" s="2436"/>
    </row>
    <row r="130" spans="1:7" s="594" customFormat="1" ht="30" hidden="1" x14ac:dyDescent="0.25">
      <c r="A130" s="2432"/>
      <c r="B130" s="2433"/>
      <c r="C130" s="2433"/>
      <c r="D130" s="1518" t="s">
        <v>764</v>
      </c>
      <c r="E130" s="1518" t="s">
        <v>765</v>
      </c>
      <c r="F130" s="1518" t="s">
        <v>766</v>
      </c>
      <c r="G130" s="1518" t="s">
        <v>256</v>
      </c>
    </row>
    <row r="131" spans="1:7" s="594" customFormat="1" hidden="1" x14ac:dyDescent="0.25">
      <c r="A131" s="2438" t="s">
        <v>760</v>
      </c>
      <c r="B131" s="2439"/>
      <c r="C131" s="2439"/>
      <c r="D131" s="2439"/>
      <c r="E131" s="2439"/>
      <c r="F131" s="2439"/>
      <c r="G131" s="2440"/>
    </row>
    <row r="132" spans="1:7" s="594" customFormat="1" hidden="1" x14ac:dyDescent="0.25">
      <c r="A132" s="1518">
        <v>1</v>
      </c>
      <c r="B132" s="2441" t="s">
        <v>761</v>
      </c>
      <c r="C132" s="2442"/>
      <c r="D132" s="1519"/>
      <c r="E132" s="1518"/>
      <c r="F132" s="1518"/>
      <c r="G132" s="771">
        <f>D132*E132</f>
        <v>0</v>
      </c>
    </row>
    <row r="133" spans="1:7" s="594" customFormat="1" hidden="1" x14ac:dyDescent="0.25">
      <c r="A133" s="1518">
        <v>2</v>
      </c>
      <c r="B133" s="2441" t="s">
        <v>762</v>
      </c>
      <c r="C133" s="2442"/>
      <c r="D133" s="1519"/>
      <c r="E133" s="1518"/>
      <c r="F133" s="1518"/>
      <c r="G133" s="771">
        <f>D133*E133</f>
        <v>0</v>
      </c>
    </row>
    <row r="134" spans="1:7" s="594" customFormat="1" hidden="1" x14ac:dyDescent="0.25">
      <c r="A134" s="2433" t="s">
        <v>39</v>
      </c>
      <c r="B134" s="2433"/>
      <c r="C134" s="2433"/>
      <c r="D134" s="771" t="s">
        <v>5</v>
      </c>
      <c r="E134" s="772" t="s">
        <v>5</v>
      </c>
      <c r="F134" s="772" t="s">
        <v>5</v>
      </c>
      <c r="G134" s="771">
        <f>SUM(G132:G133)</f>
        <v>0</v>
      </c>
    </row>
    <row r="135" spans="1:7" s="594" customFormat="1" hidden="1" x14ac:dyDescent="0.25">
      <c r="A135" s="1520"/>
      <c r="B135" s="1520"/>
      <c r="C135" s="1520"/>
      <c r="D135" s="1520"/>
      <c r="E135" s="1521"/>
      <c r="F135" s="1521"/>
      <c r="G135" s="1522"/>
    </row>
    <row r="136" spans="1:7" s="594" customFormat="1" hidden="1" x14ac:dyDescent="0.25">
      <c r="A136" s="2431" t="s">
        <v>767</v>
      </c>
      <c r="B136" s="2431"/>
      <c r="C136" s="2431"/>
      <c r="D136" s="2431"/>
      <c r="E136" s="2431"/>
      <c r="F136" s="2431"/>
      <c r="G136" s="2431"/>
    </row>
    <row r="137" spans="1:7" s="594" customFormat="1" hidden="1" x14ac:dyDescent="0.25">
      <c r="A137" s="2432" t="s">
        <v>8</v>
      </c>
      <c r="B137" s="2433" t="s">
        <v>35</v>
      </c>
      <c r="C137" s="2433"/>
      <c r="D137" s="2434" t="s">
        <v>735</v>
      </c>
      <c r="E137" s="2435"/>
      <c r="F137" s="2435"/>
      <c r="G137" s="2436"/>
    </row>
    <row r="138" spans="1:7" s="594" customFormat="1" ht="45" hidden="1" x14ac:dyDescent="0.25">
      <c r="A138" s="2432"/>
      <c r="B138" s="2433"/>
      <c r="C138" s="2433"/>
      <c r="D138" s="1518" t="s">
        <v>768</v>
      </c>
      <c r="E138" s="1518" t="s">
        <v>765</v>
      </c>
      <c r="F138" s="1518" t="s">
        <v>36</v>
      </c>
      <c r="G138" s="1518" t="s">
        <v>256</v>
      </c>
    </row>
    <row r="139" spans="1:7" s="594" customFormat="1" hidden="1" x14ac:dyDescent="0.25">
      <c r="A139" s="2438" t="s">
        <v>760</v>
      </c>
      <c r="B139" s="2439"/>
      <c r="C139" s="2439"/>
      <c r="D139" s="2439"/>
      <c r="E139" s="2439"/>
      <c r="F139" s="2439"/>
      <c r="G139" s="2440"/>
    </row>
    <row r="140" spans="1:7" s="594" customFormat="1" hidden="1" x14ac:dyDescent="0.25">
      <c r="A140" s="1518">
        <v>1</v>
      </c>
      <c r="B140" s="2441" t="s">
        <v>120</v>
      </c>
      <c r="C140" s="2442"/>
      <c r="D140" s="1523"/>
      <c r="E140" s="1518"/>
      <c r="F140" s="1518"/>
      <c r="G140" s="771">
        <f>D140*E140*F140</f>
        <v>0</v>
      </c>
    </row>
    <row r="141" spans="1:7" s="594" customFormat="1" hidden="1" x14ac:dyDescent="0.25">
      <c r="A141" s="2433" t="s">
        <v>39</v>
      </c>
      <c r="B141" s="2433"/>
      <c r="C141" s="2433"/>
      <c r="D141" s="771" t="s">
        <v>5</v>
      </c>
      <c r="E141" s="772" t="s">
        <v>5</v>
      </c>
      <c r="F141" s="772" t="s">
        <v>5</v>
      </c>
      <c r="G141" s="771">
        <f>SUM(G140:G140)</f>
        <v>0</v>
      </c>
    </row>
    <row r="142" spans="1:7" s="594" customFormat="1" hidden="1" x14ac:dyDescent="0.25">
      <c r="A142" s="1517"/>
      <c r="B142" s="1517"/>
      <c r="C142" s="1517"/>
      <c r="D142" s="1517"/>
      <c r="E142" s="1517"/>
      <c r="F142" s="1517"/>
      <c r="G142" s="654"/>
    </row>
    <row r="143" spans="1:7" s="594" customFormat="1" x14ac:dyDescent="0.25">
      <c r="A143" s="652" t="s">
        <v>1228</v>
      </c>
      <c r="B143" s="652"/>
      <c r="C143" s="652"/>
      <c r="D143" s="652"/>
      <c r="E143" s="653"/>
      <c r="F143" s="654"/>
      <c r="G143" s="654">
        <v>0</v>
      </c>
    </row>
    <row r="144" spans="1:7" s="594" customFormat="1" x14ac:dyDescent="0.25">
      <c r="A144" s="652" t="s">
        <v>1229</v>
      </c>
      <c r="B144" s="652"/>
      <c r="C144" s="652"/>
      <c r="D144" s="652"/>
      <c r="E144" s="653"/>
      <c r="F144" s="654"/>
      <c r="G144" s="654">
        <v>0</v>
      </c>
    </row>
    <row r="145" spans="1:17" s="595" customFormat="1" x14ac:dyDescent="0.25">
      <c r="A145" s="652" t="s">
        <v>1230</v>
      </c>
      <c r="B145" s="652"/>
      <c r="C145" s="652"/>
      <c r="D145" s="652"/>
      <c r="E145" s="653"/>
      <c r="F145" s="653"/>
      <c r="G145" s="654">
        <v>0</v>
      </c>
      <c r="H145" s="1524"/>
      <c r="I145" s="1524"/>
      <c r="J145" s="1524"/>
      <c r="K145" s="1524"/>
    </row>
    <row r="146" spans="1:17" s="595" customFormat="1" x14ac:dyDescent="0.25">
      <c r="A146" s="652" t="s">
        <v>1231</v>
      </c>
      <c r="B146" s="652"/>
      <c r="C146" s="652"/>
      <c r="D146" s="652"/>
      <c r="E146" s="653"/>
      <c r="F146" s="653"/>
      <c r="G146" s="654">
        <f>G149</f>
        <v>37500</v>
      </c>
      <c r="H146" s="1524"/>
      <c r="I146" s="1524"/>
      <c r="J146" s="1524"/>
      <c r="K146" s="1524"/>
    </row>
    <row r="147" spans="1:17" hidden="1" x14ac:dyDescent="0.25">
      <c r="A147" s="1449" t="s">
        <v>823</v>
      </c>
      <c r="B147" s="557"/>
      <c r="C147" s="557"/>
      <c r="D147" s="557"/>
      <c r="E147" s="559"/>
      <c r="F147" s="559"/>
      <c r="G147" s="559"/>
      <c r="H147" s="600"/>
      <c r="I147" s="600"/>
      <c r="J147" s="600"/>
      <c r="K147" s="600"/>
      <c r="L147" s="565"/>
      <c r="M147" s="565"/>
      <c r="N147" s="565"/>
      <c r="O147" s="565"/>
      <c r="P147" s="565"/>
      <c r="Q147" s="565"/>
    </row>
    <row r="148" spans="1:17" x14ac:dyDescent="0.25">
      <c r="B148" s="557"/>
      <c r="C148" s="557"/>
      <c r="D148" s="557"/>
      <c r="E148" s="559"/>
      <c r="F148" s="559"/>
      <c r="G148" s="559"/>
      <c r="H148" s="600"/>
      <c r="I148" s="600"/>
      <c r="J148" s="600"/>
      <c r="K148" s="600"/>
      <c r="L148" s="565"/>
      <c r="M148" s="565"/>
      <c r="N148" s="565"/>
      <c r="O148" s="565"/>
      <c r="P148" s="565"/>
      <c r="Q148" s="565"/>
    </row>
    <row r="149" spans="1:17" x14ac:dyDescent="0.25">
      <c r="A149" s="507" t="s">
        <v>305</v>
      </c>
      <c r="B149" s="507"/>
      <c r="C149" s="587" t="s">
        <v>71</v>
      </c>
      <c r="D149" s="557"/>
      <c r="E149" s="559"/>
      <c r="F149" s="559"/>
      <c r="G149" s="554">
        <f>G151+G178+G217+G227+G237</f>
        <v>37500</v>
      </c>
      <c r="H149" s="600"/>
      <c r="I149" s="600"/>
      <c r="J149" s="600"/>
      <c r="K149" s="600"/>
      <c r="L149" s="565"/>
      <c r="M149" s="565"/>
      <c r="N149" s="565"/>
      <c r="O149" s="565"/>
      <c r="P149" s="565"/>
      <c r="Q149" s="565"/>
    </row>
    <row r="150" spans="1:17" x14ac:dyDescent="0.25">
      <c r="A150" s="507"/>
      <c r="B150" s="507"/>
      <c r="C150" s="587"/>
      <c r="D150" s="557"/>
      <c r="E150" s="559"/>
      <c r="F150" s="559"/>
      <c r="G150" s="554"/>
      <c r="H150" s="600"/>
      <c r="I150" s="600"/>
      <c r="J150" s="600"/>
      <c r="K150" s="600"/>
      <c r="L150" s="565"/>
      <c r="M150" s="565"/>
      <c r="N150" s="565"/>
      <c r="O150" s="565"/>
      <c r="P150" s="565"/>
      <c r="Q150" s="565"/>
    </row>
    <row r="151" spans="1:17" hidden="1" x14ac:dyDescent="0.25">
      <c r="A151" s="507" t="s">
        <v>63</v>
      </c>
      <c r="C151" s="563" t="s">
        <v>70</v>
      </c>
      <c r="D151" s="557"/>
      <c r="E151" s="559"/>
      <c r="F151" s="559"/>
      <c r="G151" s="554">
        <f>G152</f>
        <v>0</v>
      </c>
    </row>
    <row r="152" spans="1:17" s="1010" customFormat="1" hidden="1" x14ac:dyDescent="0.2">
      <c r="A152" s="507" t="s">
        <v>26</v>
      </c>
      <c r="B152" s="507"/>
      <c r="C152" s="587" t="s">
        <v>1969</v>
      </c>
      <c r="D152" s="1449"/>
      <c r="E152" s="505"/>
      <c r="F152" s="506"/>
      <c r="G152" s="511">
        <f>G159</f>
        <v>0</v>
      </c>
      <c r="H152" s="565"/>
      <c r="I152" s="565"/>
      <c r="J152" s="1504"/>
      <c r="K152" s="1504"/>
      <c r="L152" s="1505"/>
      <c r="M152" s="774"/>
    </row>
    <row r="153" spans="1:17" s="1010" customFormat="1" hidden="1" x14ac:dyDescent="0.2">
      <c r="A153" s="507" t="s">
        <v>27</v>
      </c>
      <c r="B153" s="507"/>
      <c r="C153" s="86" t="s">
        <v>1830</v>
      </c>
      <c r="D153" s="1449"/>
      <c r="E153" s="505"/>
      <c r="F153" s="506"/>
      <c r="G153" s="511"/>
      <c r="H153" s="1506"/>
      <c r="I153" s="565"/>
      <c r="J153" s="1504"/>
      <c r="K153" s="1504"/>
      <c r="L153" s="1505"/>
      <c r="M153" s="774"/>
    </row>
    <row r="154" spans="1:17" s="1004" customFormat="1" ht="15.75" hidden="1" customHeight="1" x14ac:dyDescent="0.25">
      <c r="A154" s="2443" t="s">
        <v>2009</v>
      </c>
      <c r="B154" s="2443"/>
      <c r="C154" s="2443"/>
      <c r="D154" s="2443"/>
      <c r="E154" s="2443"/>
      <c r="F154" s="2443"/>
      <c r="G154" s="2443"/>
      <c r="H154" s="893"/>
      <c r="I154" s="1003"/>
      <c r="J154" s="1003"/>
      <c r="K154" s="1003"/>
    </row>
    <row r="155" spans="1:17" s="1004" customFormat="1" ht="15.75" hidden="1" customHeight="1" x14ac:dyDescent="0.25">
      <c r="A155" s="2285" t="s">
        <v>8</v>
      </c>
      <c r="B155" s="2201" t="s">
        <v>35</v>
      </c>
      <c r="C155" s="2203"/>
      <c r="D155" s="2285" t="s">
        <v>61</v>
      </c>
      <c r="E155" s="2183" t="s">
        <v>1827</v>
      </c>
      <c r="F155" s="2183"/>
      <c r="G155" s="2183"/>
      <c r="H155" s="893"/>
      <c r="I155" s="1003"/>
      <c r="J155" s="1003"/>
      <c r="K155" s="1003"/>
    </row>
    <row r="156" spans="1:17" s="1004" customFormat="1" ht="30" hidden="1" x14ac:dyDescent="0.25">
      <c r="A156" s="2200"/>
      <c r="B156" s="2206"/>
      <c r="C156" s="2207"/>
      <c r="D156" s="2200"/>
      <c r="E156" s="1408" t="s">
        <v>248</v>
      </c>
      <c r="F156" s="1408" t="s">
        <v>264</v>
      </c>
      <c r="G156" s="1408" t="s">
        <v>256</v>
      </c>
      <c r="H156" s="1005"/>
      <c r="I156" s="1005"/>
      <c r="J156" s="1005"/>
      <c r="K156" s="1005"/>
      <c r="L156" s="1005"/>
    </row>
    <row r="157" spans="1:17" s="1004" customFormat="1" ht="33" hidden="1" customHeight="1" x14ac:dyDescent="0.25">
      <c r="A157" s="1175">
        <v>1</v>
      </c>
      <c r="B157" s="2444" t="s">
        <v>2010</v>
      </c>
      <c r="C157" s="2444"/>
      <c r="D157" s="2444"/>
      <c r="E157" s="1534"/>
      <c r="F157" s="1363"/>
      <c r="G157" s="1535">
        <f>E157*F157</f>
        <v>0</v>
      </c>
      <c r="H157" s="1536"/>
      <c r="I157" s="1003"/>
      <c r="J157" s="1003"/>
      <c r="K157" s="1003"/>
      <c r="L157" s="1003"/>
    </row>
    <row r="158" spans="1:17" s="1004" customFormat="1" ht="33" hidden="1" customHeight="1" x14ac:dyDescent="0.25">
      <c r="A158" s="1175">
        <v>1</v>
      </c>
      <c r="B158" s="2444" t="s">
        <v>2011</v>
      </c>
      <c r="C158" s="2444"/>
      <c r="D158" s="2444"/>
      <c r="E158" s="1534"/>
      <c r="F158" s="1363"/>
      <c r="G158" s="1535">
        <f>E158*F158</f>
        <v>0</v>
      </c>
      <c r="H158" s="1536"/>
      <c r="I158" s="1003"/>
      <c r="J158" s="1003"/>
      <c r="K158" s="1003"/>
      <c r="L158" s="1003"/>
    </row>
    <row r="159" spans="1:17" s="1004" customFormat="1" hidden="1" x14ac:dyDescent="0.25">
      <c r="A159" s="2407" t="s">
        <v>39</v>
      </c>
      <c r="B159" s="2384"/>
      <c r="C159" s="2384"/>
      <c r="D159" s="2384"/>
      <c r="E159" s="2384"/>
      <c r="F159" s="2385"/>
      <c r="G159" s="1537">
        <f>SUM(G157:G158)</f>
        <v>0</v>
      </c>
      <c r="H159" s="1008"/>
      <c r="I159" s="1003"/>
      <c r="J159" s="1003"/>
      <c r="K159" s="1003"/>
      <c r="L159" s="1003"/>
    </row>
    <row r="160" spans="1:17" hidden="1" x14ac:dyDescent="0.25">
      <c r="A160" s="507"/>
      <c r="C160" s="563"/>
      <c r="D160" s="557"/>
      <c r="E160" s="559"/>
      <c r="F160" s="559"/>
      <c r="G160" s="554"/>
    </row>
    <row r="161" spans="1:17" hidden="1" x14ac:dyDescent="0.25">
      <c r="A161" s="507" t="s">
        <v>26</v>
      </c>
      <c r="B161" s="507"/>
      <c r="C161" s="587" t="s">
        <v>770</v>
      </c>
      <c r="D161" s="1449"/>
      <c r="E161" s="505"/>
      <c r="F161" s="506"/>
      <c r="G161" s="511">
        <f>G175</f>
        <v>0</v>
      </c>
    </row>
    <row r="162" spans="1:17" hidden="1" x14ac:dyDescent="0.25">
      <c r="A162" s="507" t="s">
        <v>27</v>
      </c>
      <c r="B162" s="507"/>
      <c r="C162" s="587" t="s">
        <v>1499</v>
      </c>
      <c r="D162" s="1449"/>
      <c r="E162" s="505"/>
      <c r="F162" s="506"/>
      <c r="G162" s="511"/>
    </row>
    <row r="163" spans="1:17" hidden="1" x14ac:dyDescent="0.25">
      <c r="A163" s="1449" t="s">
        <v>310</v>
      </c>
      <c r="B163" s="504"/>
      <c r="C163" s="504"/>
      <c r="D163" s="504"/>
      <c r="E163" s="557"/>
      <c r="F163" s="557"/>
      <c r="G163" s="557"/>
      <c r="H163" s="600"/>
      <c r="I163" s="600"/>
      <c r="J163" s="600"/>
      <c r="K163" s="600"/>
      <c r="L163" s="565"/>
      <c r="M163" s="565"/>
      <c r="N163" s="565"/>
      <c r="O163" s="565"/>
      <c r="P163" s="565"/>
      <c r="Q163" s="565"/>
    </row>
    <row r="164" spans="1:17" hidden="1" x14ac:dyDescent="0.25">
      <c r="A164" s="2183" t="s">
        <v>8</v>
      </c>
      <c r="B164" s="2183" t="s">
        <v>35</v>
      </c>
      <c r="C164" s="2183"/>
      <c r="D164" s="2183" t="s">
        <v>61</v>
      </c>
      <c r="E164" s="2183" t="s">
        <v>1476</v>
      </c>
      <c r="F164" s="2183"/>
      <c r="G164" s="2183"/>
      <c r="H164" s="600"/>
      <c r="I164" s="600"/>
      <c r="J164" s="600"/>
      <c r="K164" s="600"/>
      <c r="L164" s="565"/>
      <c r="M164" s="565"/>
      <c r="N164" s="565"/>
      <c r="O164" s="565"/>
      <c r="P164" s="565"/>
      <c r="Q164" s="565"/>
    </row>
    <row r="165" spans="1:17" ht="32.25" hidden="1" customHeight="1" x14ac:dyDescent="0.25">
      <c r="A165" s="2183"/>
      <c r="B165" s="2183"/>
      <c r="C165" s="2183"/>
      <c r="D165" s="2183"/>
      <c r="E165" s="1408" t="s">
        <v>248</v>
      </c>
      <c r="F165" s="1408" t="s">
        <v>264</v>
      </c>
      <c r="G165" s="1408" t="s">
        <v>256</v>
      </c>
      <c r="H165" s="600"/>
      <c r="I165" s="600"/>
      <c r="J165" s="600"/>
      <c r="K165" s="600"/>
      <c r="L165" s="565"/>
      <c r="M165" s="565"/>
      <c r="N165" s="565"/>
      <c r="O165" s="565"/>
      <c r="P165" s="565"/>
      <c r="Q165" s="565"/>
    </row>
    <row r="166" spans="1:17" ht="34.5" hidden="1" customHeight="1" x14ac:dyDescent="0.25">
      <c r="A166" s="755">
        <v>1</v>
      </c>
      <c r="B166" s="2210" t="s">
        <v>649</v>
      </c>
      <c r="C166" s="2212"/>
      <c r="D166" s="756"/>
      <c r="E166" s="757"/>
      <c r="F166" s="676"/>
      <c r="G166" s="676"/>
      <c r="H166" s="600"/>
      <c r="I166" s="600"/>
      <c r="J166" s="600"/>
      <c r="K166" s="600"/>
      <c r="L166" s="565"/>
      <c r="M166" s="565"/>
      <c r="N166" s="565"/>
      <c r="O166" s="565"/>
      <c r="P166" s="565"/>
      <c r="Q166" s="565"/>
    </row>
    <row r="167" spans="1:17" ht="61.9" hidden="1" customHeight="1" x14ac:dyDescent="0.25">
      <c r="A167" s="755">
        <v>2</v>
      </c>
      <c r="B167" s="2210" t="s">
        <v>757</v>
      </c>
      <c r="C167" s="2212"/>
      <c r="D167" s="756"/>
      <c r="E167" s="757"/>
      <c r="F167" s="676"/>
      <c r="G167" s="676"/>
      <c r="H167" s="600"/>
      <c r="I167" s="600"/>
      <c r="J167" s="600"/>
      <c r="K167" s="600"/>
      <c r="L167" s="565"/>
      <c r="M167" s="565"/>
      <c r="N167" s="565"/>
      <c r="O167" s="565"/>
      <c r="P167" s="565"/>
      <c r="Q167" s="565"/>
    </row>
    <row r="168" spans="1:17" hidden="1" x14ac:dyDescent="0.25">
      <c r="A168" s="2181" t="s">
        <v>39</v>
      </c>
      <c r="B168" s="2181"/>
      <c r="C168" s="2181"/>
      <c r="D168" s="2181"/>
      <c r="E168" s="677" t="s">
        <v>82</v>
      </c>
      <c r="F168" s="677" t="s">
        <v>5</v>
      </c>
      <c r="G168" s="677">
        <f>SUM(G166:G167)</f>
        <v>0</v>
      </c>
      <c r="H168" s="600"/>
      <c r="I168" s="600"/>
      <c r="J168" s="600"/>
      <c r="K168" s="600"/>
      <c r="L168" s="565"/>
      <c r="M168" s="565"/>
      <c r="N168" s="565"/>
      <c r="O168" s="565"/>
      <c r="P168" s="565"/>
      <c r="Q168" s="565"/>
    </row>
    <row r="169" spans="1:17" hidden="1" x14ac:dyDescent="0.25">
      <c r="B169" s="557"/>
      <c r="C169" s="557"/>
      <c r="D169" s="557"/>
      <c r="E169" s="559"/>
      <c r="F169" s="559"/>
      <c r="G169" s="559"/>
      <c r="H169" s="600"/>
      <c r="I169" s="600"/>
      <c r="J169" s="600"/>
      <c r="K169" s="600"/>
      <c r="L169" s="565"/>
      <c r="M169" s="565"/>
      <c r="N169" s="565"/>
      <c r="O169" s="565"/>
      <c r="P169" s="565"/>
      <c r="Q169" s="565"/>
    </row>
    <row r="170" spans="1:17" hidden="1" x14ac:dyDescent="0.25">
      <c r="A170" s="1449" t="s">
        <v>1501</v>
      </c>
      <c r="D170" s="1449"/>
      <c r="E170" s="505"/>
    </row>
    <row r="171" spans="1:17" hidden="1" x14ac:dyDescent="0.25">
      <c r="A171" s="2285" t="s">
        <v>8</v>
      </c>
      <c r="B171" s="2201" t="s">
        <v>35</v>
      </c>
      <c r="C171" s="2203"/>
      <c r="D171" s="2285" t="s">
        <v>61</v>
      </c>
      <c r="E171" s="2183" t="s">
        <v>1476</v>
      </c>
      <c r="F171" s="2183"/>
      <c r="G171" s="2183"/>
    </row>
    <row r="172" spans="1:17" ht="30" hidden="1" x14ac:dyDescent="0.25">
      <c r="A172" s="2200"/>
      <c r="B172" s="2206"/>
      <c r="C172" s="2207"/>
      <c r="D172" s="2200"/>
      <c r="E172" s="1408" t="s">
        <v>248</v>
      </c>
      <c r="F172" s="1408" t="s">
        <v>264</v>
      </c>
      <c r="G172" s="1408" t="s">
        <v>256</v>
      </c>
    </row>
    <row r="173" spans="1:17" hidden="1" x14ac:dyDescent="0.25">
      <c r="A173" s="2445" t="s">
        <v>1498</v>
      </c>
      <c r="B173" s="2446"/>
      <c r="C173" s="2446"/>
      <c r="D173" s="2446"/>
      <c r="E173" s="2446"/>
      <c r="F173" s="2446"/>
      <c r="G173" s="2447"/>
    </row>
    <row r="174" spans="1:17" hidden="1" x14ac:dyDescent="0.25">
      <c r="A174" s="1419">
        <v>1</v>
      </c>
      <c r="B174" s="2448" t="s">
        <v>1502</v>
      </c>
      <c r="C174" s="2449"/>
      <c r="D174" s="1419" t="s">
        <v>399</v>
      </c>
      <c r="E174" s="1408"/>
      <c r="F174" s="676"/>
      <c r="G174" s="676">
        <f>E174*F174</f>
        <v>0</v>
      </c>
    </row>
    <row r="175" spans="1:17" hidden="1" x14ac:dyDescent="0.25">
      <c r="A175" s="2174" t="s">
        <v>39</v>
      </c>
      <c r="B175" s="2175"/>
      <c r="C175" s="2175"/>
      <c r="D175" s="2177"/>
      <c r="E175" s="677" t="s">
        <v>5</v>
      </c>
      <c r="F175" s="677" t="s">
        <v>5</v>
      </c>
      <c r="G175" s="101">
        <f>SUM(G174:G174)</f>
        <v>0</v>
      </c>
    </row>
    <row r="176" spans="1:17" hidden="1" x14ac:dyDescent="0.25">
      <c r="B176" s="557"/>
      <c r="C176" s="557"/>
      <c r="D176" s="557"/>
      <c r="E176" s="559"/>
      <c r="F176" s="559"/>
      <c r="G176" s="559"/>
      <c r="H176" s="600"/>
      <c r="I176" s="600"/>
      <c r="J176" s="600"/>
      <c r="K176" s="600"/>
      <c r="L176" s="565"/>
      <c r="M176" s="565"/>
      <c r="N176" s="565"/>
      <c r="O176" s="565"/>
      <c r="P176" s="565"/>
      <c r="Q176" s="565"/>
    </row>
    <row r="177" spans="1:16" s="556" customFormat="1" ht="14.25" hidden="1" x14ac:dyDescent="0.25">
      <c r="A177" s="507" t="s">
        <v>769</v>
      </c>
      <c r="B177" s="574"/>
      <c r="C177" s="574"/>
      <c r="D177" s="574"/>
      <c r="E177" s="574"/>
      <c r="F177" s="574"/>
      <c r="G177" s="575"/>
      <c r="H177" s="605"/>
      <c r="I177" s="605"/>
      <c r="J177" s="605"/>
      <c r="K177" s="605"/>
      <c r="L177" s="579"/>
      <c r="M177" s="579"/>
      <c r="N177" s="579"/>
      <c r="O177" s="579"/>
      <c r="P177" s="579"/>
    </row>
    <row r="178" spans="1:16" x14ac:dyDescent="0.25">
      <c r="A178" s="507" t="s">
        <v>63</v>
      </c>
      <c r="C178" s="563" t="s">
        <v>80</v>
      </c>
      <c r="D178" s="557"/>
      <c r="E178" s="559"/>
      <c r="F178" s="559"/>
      <c r="G178" s="554">
        <f>G198+G189+G180</f>
        <v>13900</v>
      </c>
    </row>
    <row r="179" spans="1:16" x14ac:dyDescent="0.25">
      <c r="A179" s="507"/>
      <c r="C179" s="563"/>
      <c r="D179" s="557"/>
      <c r="E179" s="559"/>
      <c r="F179" s="559"/>
      <c r="G179" s="554"/>
    </row>
    <row r="180" spans="1:16" s="1010" customFormat="1" hidden="1" x14ac:dyDescent="0.2">
      <c r="A180" s="507" t="s">
        <v>26</v>
      </c>
      <c r="B180" s="507"/>
      <c r="C180" s="587" t="s">
        <v>1969</v>
      </c>
      <c r="D180" s="1449"/>
      <c r="E180" s="505"/>
      <c r="F180" s="506"/>
      <c r="G180" s="511">
        <f>G187</f>
        <v>0</v>
      </c>
      <c r="H180" s="565"/>
      <c r="I180" s="565"/>
      <c r="J180" s="1504"/>
      <c r="K180" s="1504"/>
      <c r="L180" s="1505"/>
      <c r="M180" s="774"/>
    </row>
    <row r="181" spans="1:16" s="1010" customFormat="1" hidden="1" x14ac:dyDescent="0.2">
      <c r="A181" s="507" t="s">
        <v>27</v>
      </c>
      <c r="B181" s="507"/>
      <c r="C181" s="86" t="s">
        <v>1830</v>
      </c>
      <c r="D181" s="1449"/>
      <c r="E181" s="505"/>
      <c r="F181" s="506"/>
      <c r="G181" s="511"/>
      <c r="H181" s="1506"/>
      <c r="I181" s="565"/>
      <c r="J181" s="1504"/>
      <c r="K181" s="1504"/>
      <c r="L181" s="1505"/>
      <c r="M181" s="774"/>
    </row>
    <row r="182" spans="1:16" s="1004" customFormat="1" hidden="1" x14ac:dyDescent="0.25">
      <c r="A182" s="2443" t="s">
        <v>2012</v>
      </c>
      <c r="B182" s="2443"/>
      <c r="C182" s="2443"/>
      <c r="D182" s="2443"/>
      <c r="E182" s="2443"/>
      <c r="F182" s="2443"/>
      <c r="G182" s="2443"/>
      <c r="H182" s="893"/>
      <c r="I182" s="1003"/>
      <c r="J182" s="1003"/>
      <c r="K182" s="1003"/>
    </row>
    <row r="183" spans="1:16" s="1004" customFormat="1" hidden="1" x14ac:dyDescent="0.25">
      <c r="A183" s="2285" t="s">
        <v>8</v>
      </c>
      <c r="B183" s="2201" t="s">
        <v>35</v>
      </c>
      <c r="C183" s="2203"/>
      <c r="D183" s="2285" t="s">
        <v>61</v>
      </c>
      <c r="E183" s="2183" t="s">
        <v>1827</v>
      </c>
      <c r="F183" s="2183"/>
      <c r="G183" s="2183"/>
      <c r="H183" s="893"/>
      <c r="I183" s="1003"/>
      <c r="J183" s="1003"/>
      <c r="K183" s="1003"/>
    </row>
    <row r="184" spans="1:16" s="1004" customFormat="1" ht="33.75" hidden="1" customHeight="1" x14ac:dyDescent="0.25">
      <c r="A184" s="2200"/>
      <c r="B184" s="2206"/>
      <c r="C184" s="2207"/>
      <c r="D184" s="2200"/>
      <c r="E184" s="1408" t="s">
        <v>248</v>
      </c>
      <c r="F184" s="1408" t="s">
        <v>264</v>
      </c>
      <c r="G184" s="1408" t="s">
        <v>256</v>
      </c>
      <c r="H184" s="1005"/>
      <c r="I184" s="1005"/>
      <c r="J184" s="1005"/>
      <c r="K184" s="1005"/>
      <c r="L184" s="1005"/>
    </row>
    <row r="185" spans="1:16" s="1004" customFormat="1" ht="33" hidden="1" customHeight="1" x14ac:dyDescent="0.25">
      <c r="A185" s="1175">
        <v>1</v>
      </c>
      <c r="B185" s="2444" t="s">
        <v>2013</v>
      </c>
      <c r="C185" s="2444"/>
      <c r="D185" s="2444"/>
      <c r="E185" s="1534"/>
      <c r="F185" s="1363"/>
      <c r="G185" s="1535">
        <f>E185*F185</f>
        <v>0</v>
      </c>
      <c r="H185" s="1536"/>
      <c r="I185" s="1003"/>
      <c r="J185" s="1003"/>
      <c r="K185" s="1003"/>
      <c r="L185" s="1003"/>
    </row>
    <row r="186" spans="1:16" s="1004" customFormat="1" ht="33" hidden="1" customHeight="1" x14ac:dyDescent="0.25">
      <c r="A186" s="1175">
        <v>1</v>
      </c>
      <c r="B186" s="2444" t="s">
        <v>2014</v>
      </c>
      <c r="C186" s="2444"/>
      <c r="D186" s="2444"/>
      <c r="E186" s="1534"/>
      <c r="F186" s="1363"/>
      <c r="G186" s="1535">
        <f>E186*F186</f>
        <v>0</v>
      </c>
      <c r="H186" s="1536"/>
      <c r="I186" s="1003"/>
      <c r="J186" s="1003"/>
      <c r="K186" s="1003"/>
      <c r="L186" s="1003"/>
    </row>
    <row r="187" spans="1:16" s="1004" customFormat="1" ht="15.75" hidden="1" customHeight="1" x14ac:dyDescent="0.25">
      <c r="A187" s="2407" t="s">
        <v>39</v>
      </c>
      <c r="B187" s="2384"/>
      <c r="C187" s="2384"/>
      <c r="D187" s="2384"/>
      <c r="E187" s="2384"/>
      <c r="F187" s="2385"/>
      <c r="G187" s="1537">
        <f>SUM(G185:G186)</f>
        <v>0</v>
      </c>
      <c r="H187" s="1008"/>
      <c r="I187" s="1003"/>
      <c r="J187" s="1003"/>
      <c r="K187" s="1003"/>
      <c r="L187" s="1003"/>
    </row>
    <row r="188" spans="1:16" hidden="1" x14ac:dyDescent="0.25">
      <c r="A188" s="507"/>
      <c r="C188" s="563"/>
      <c r="D188" s="557"/>
      <c r="E188" s="559"/>
      <c r="F188" s="559"/>
      <c r="G188" s="554"/>
    </row>
    <row r="189" spans="1:16" s="1010" customFormat="1" ht="15.75" customHeight="1" x14ac:dyDescent="0.2">
      <c r="A189" s="1011" t="s">
        <v>1503</v>
      </c>
      <c r="B189" s="1011"/>
      <c r="C189" s="587" t="s">
        <v>770</v>
      </c>
      <c r="D189" s="1011"/>
      <c r="E189" s="1011"/>
      <c r="F189" s="1011"/>
      <c r="G189" s="1002">
        <f>G196</f>
        <v>13900</v>
      </c>
      <c r="H189" s="694"/>
      <c r="I189" s="1009"/>
      <c r="J189" s="1009"/>
      <c r="K189" s="1009"/>
      <c r="L189" s="1009"/>
    </row>
    <row r="190" spans="1:16" s="1010" customFormat="1" ht="15.75" customHeight="1" x14ac:dyDescent="0.2">
      <c r="A190" s="1011" t="s">
        <v>1504</v>
      </c>
      <c r="B190" s="1011"/>
      <c r="C190" s="86" t="s">
        <v>2018</v>
      </c>
      <c r="D190" s="1011"/>
      <c r="E190" s="1011"/>
      <c r="F190" s="1011"/>
      <c r="G190" s="1011"/>
      <c r="H190" s="694"/>
      <c r="I190" s="1009"/>
      <c r="J190" s="1009"/>
      <c r="K190" s="1009"/>
    </row>
    <row r="191" spans="1:16" s="1004" customFormat="1" x14ac:dyDescent="0.25">
      <c r="A191" s="2443" t="s">
        <v>1719</v>
      </c>
      <c r="B191" s="2443"/>
      <c r="C191" s="2443"/>
      <c r="D191" s="2443"/>
      <c r="E191" s="2443"/>
      <c r="F191" s="2443"/>
      <c r="G191" s="2443"/>
      <c r="H191" s="893"/>
      <c r="I191" s="1003"/>
      <c r="J191" s="1003"/>
      <c r="K191" s="1003"/>
    </row>
    <row r="192" spans="1:16" s="1004" customFormat="1" x14ac:dyDescent="0.25">
      <c r="A192" s="2285" t="s">
        <v>8</v>
      </c>
      <c r="B192" s="2201" t="s">
        <v>35</v>
      </c>
      <c r="C192" s="2203"/>
      <c r="D192" s="2285" t="s">
        <v>61</v>
      </c>
      <c r="E192" s="2183" t="s">
        <v>2046</v>
      </c>
      <c r="F192" s="2183"/>
      <c r="G192" s="2183"/>
      <c r="H192" s="893"/>
      <c r="I192" s="1003"/>
      <c r="J192" s="1003"/>
      <c r="K192" s="1003"/>
    </row>
    <row r="193" spans="1:12" s="1004" customFormat="1" ht="30" x14ac:dyDescent="0.25">
      <c r="A193" s="2200"/>
      <c r="B193" s="2206"/>
      <c r="C193" s="2207"/>
      <c r="D193" s="2200"/>
      <c r="E193" s="1408" t="s">
        <v>248</v>
      </c>
      <c r="F193" s="1408" t="s">
        <v>264</v>
      </c>
      <c r="G193" s="1408" t="s">
        <v>256</v>
      </c>
      <c r="H193" s="1005"/>
      <c r="I193" s="1005"/>
      <c r="J193" s="1005"/>
      <c r="K193" s="1005"/>
      <c r="L193" s="1005"/>
    </row>
    <row r="194" spans="1:12" x14ac:dyDescent="0.25">
      <c r="A194" s="2445" t="s">
        <v>1498</v>
      </c>
      <c r="B194" s="2446"/>
      <c r="C194" s="2446"/>
      <c r="D194" s="2446"/>
      <c r="E194" s="2446"/>
      <c r="F194" s="2446"/>
      <c r="G194" s="2447"/>
    </row>
    <row r="195" spans="1:12" s="1004" customFormat="1" x14ac:dyDescent="0.25">
      <c r="A195" s="541">
        <v>1</v>
      </c>
      <c r="B195" s="2450" t="s">
        <v>2020</v>
      </c>
      <c r="C195" s="2451"/>
      <c r="D195" s="1419" t="s">
        <v>245</v>
      </c>
      <c r="E195" s="1006">
        <v>1</v>
      </c>
      <c r="F195" s="386">
        <v>13900</v>
      </c>
      <c r="G195" s="711">
        <f>E195*F195</f>
        <v>13900</v>
      </c>
      <c r="H195" s="1007"/>
      <c r="I195" s="1003"/>
      <c r="J195" s="1003"/>
      <c r="K195" s="1003"/>
      <c r="L195" s="1003"/>
    </row>
    <row r="196" spans="1:12" s="1004" customFormat="1" ht="15.75" customHeight="1" x14ac:dyDescent="0.25">
      <c r="A196" s="2383" t="s">
        <v>39</v>
      </c>
      <c r="B196" s="2384"/>
      <c r="C196" s="2384"/>
      <c r="D196" s="2384"/>
      <c r="E196" s="2384"/>
      <c r="F196" s="2385"/>
      <c r="G196" s="1252">
        <f>SUM(G195:G195)</f>
        <v>13900</v>
      </c>
      <c r="H196" s="1008"/>
      <c r="I196" s="1071"/>
      <c r="J196" s="1003"/>
      <c r="K196" s="1003"/>
      <c r="L196" s="1003"/>
    </row>
    <row r="197" spans="1:12" x14ac:dyDescent="0.25">
      <c r="A197" s="507"/>
      <c r="C197" s="563"/>
      <c r="D197" s="557"/>
      <c r="E197" s="559"/>
      <c r="F197" s="559"/>
      <c r="G197" s="554"/>
    </row>
    <row r="198" spans="1:12" s="1010" customFormat="1" ht="15.75" hidden="1" customHeight="1" x14ac:dyDescent="0.2">
      <c r="A198" s="1011" t="s">
        <v>1503</v>
      </c>
      <c r="B198" s="1011"/>
      <c r="C198" s="1011" t="s">
        <v>1497</v>
      </c>
      <c r="D198" s="1011"/>
      <c r="E198" s="1011"/>
      <c r="F198" s="1011"/>
      <c r="G198" s="1002">
        <f>G207</f>
        <v>0</v>
      </c>
      <c r="H198" s="694"/>
      <c r="I198" s="1009"/>
      <c r="J198" s="1009"/>
      <c r="K198" s="1009"/>
      <c r="L198" s="1009"/>
    </row>
    <row r="199" spans="1:12" s="1010" customFormat="1" ht="15.75" hidden="1" customHeight="1" x14ac:dyDescent="0.2">
      <c r="A199" s="1011" t="s">
        <v>1504</v>
      </c>
      <c r="B199" s="1011"/>
      <c r="C199" s="86" t="s">
        <v>1830</v>
      </c>
      <c r="D199" s="1011"/>
      <c r="E199" s="1011"/>
      <c r="F199" s="1011"/>
      <c r="G199" s="1011"/>
      <c r="H199" s="694"/>
      <c r="I199" s="1009"/>
      <c r="J199" s="1009"/>
      <c r="K199" s="1009"/>
    </row>
    <row r="200" spans="1:12" s="1004" customFormat="1" hidden="1" x14ac:dyDescent="0.25">
      <c r="A200" s="2443" t="s">
        <v>1535</v>
      </c>
      <c r="B200" s="2443"/>
      <c r="C200" s="2443"/>
      <c r="D200" s="2443"/>
      <c r="E200" s="2443"/>
      <c r="F200" s="2443"/>
      <c r="G200" s="2443"/>
      <c r="H200" s="893"/>
      <c r="I200" s="1003"/>
      <c r="J200" s="1003"/>
      <c r="K200" s="1003"/>
    </row>
    <row r="201" spans="1:12" s="1004" customFormat="1" hidden="1" x14ac:dyDescent="0.25">
      <c r="A201" s="2285" t="s">
        <v>8</v>
      </c>
      <c r="B201" s="2201" t="s">
        <v>35</v>
      </c>
      <c r="C201" s="2203"/>
      <c r="D201" s="2285" t="s">
        <v>61</v>
      </c>
      <c r="E201" s="2183" t="s">
        <v>1827</v>
      </c>
      <c r="F201" s="2183"/>
      <c r="G201" s="2183"/>
      <c r="H201" s="893"/>
      <c r="I201" s="1003"/>
      <c r="J201" s="1003"/>
      <c r="K201" s="1003"/>
    </row>
    <row r="202" spans="1:12" s="1004" customFormat="1" ht="30" hidden="1" x14ac:dyDescent="0.25">
      <c r="A202" s="2200"/>
      <c r="B202" s="2206"/>
      <c r="C202" s="2207"/>
      <c r="D202" s="2200"/>
      <c r="E202" s="1408" t="s">
        <v>248</v>
      </c>
      <c r="F202" s="1408" t="s">
        <v>264</v>
      </c>
      <c r="G202" s="1408" t="s">
        <v>256</v>
      </c>
      <c r="H202" s="1005"/>
      <c r="I202" s="1005"/>
      <c r="J202" s="1005"/>
      <c r="K202" s="1005"/>
      <c r="L202" s="1005"/>
    </row>
    <row r="203" spans="1:12" s="1004" customFormat="1" hidden="1" x14ac:dyDescent="0.25">
      <c r="A203" s="541">
        <v>1</v>
      </c>
      <c r="B203" s="2452" t="s">
        <v>2015</v>
      </c>
      <c r="C203" s="2453"/>
      <c r="D203" s="1419" t="s">
        <v>245</v>
      </c>
      <c r="E203" s="1006"/>
      <c r="F203" s="386"/>
      <c r="G203" s="711">
        <f>E203*F203</f>
        <v>0</v>
      </c>
      <c r="H203" s="1007"/>
      <c r="I203" s="1003"/>
      <c r="J203" s="1003"/>
      <c r="K203" s="1003"/>
      <c r="L203" s="1003"/>
    </row>
    <row r="204" spans="1:12" s="1004" customFormat="1" hidden="1" x14ac:dyDescent="0.25">
      <c r="A204" s="541">
        <v>2</v>
      </c>
      <c r="B204" s="2452" t="s">
        <v>2016</v>
      </c>
      <c r="C204" s="2453"/>
      <c r="D204" s="1419" t="s">
        <v>245</v>
      </c>
      <c r="E204" s="1006"/>
      <c r="F204" s="386"/>
      <c r="G204" s="711">
        <f>E204*F204</f>
        <v>0</v>
      </c>
      <c r="H204" s="1007"/>
      <c r="I204" s="1003"/>
      <c r="J204" s="1003"/>
      <c r="K204" s="1003"/>
      <c r="L204" s="1003"/>
    </row>
    <row r="205" spans="1:12" s="1004" customFormat="1" hidden="1" x14ac:dyDescent="0.25">
      <c r="A205" s="541">
        <v>2</v>
      </c>
      <c r="B205" s="2452" t="s">
        <v>2017</v>
      </c>
      <c r="C205" s="2453"/>
      <c r="D205" s="1419" t="s">
        <v>245</v>
      </c>
      <c r="E205" s="1006"/>
      <c r="F205" s="386"/>
      <c r="G205" s="711">
        <f>E205*F205</f>
        <v>0</v>
      </c>
      <c r="H205" s="1007"/>
      <c r="I205" s="1003"/>
      <c r="J205" s="1003"/>
      <c r="K205" s="1003"/>
      <c r="L205" s="1003"/>
    </row>
    <row r="206" spans="1:12" s="1004" customFormat="1" ht="15.75" hidden="1" x14ac:dyDescent="0.25">
      <c r="A206" s="2376" t="s">
        <v>1506</v>
      </c>
      <c r="B206" s="2454"/>
      <c r="C206" s="2454"/>
      <c r="D206" s="2454"/>
      <c r="E206" s="2454"/>
      <c r="F206" s="2455"/>
      <c r="G206" s="1072">
        <f>1278-1278</f>
        <v>0</v>
      </c>
      <c r="H206" s="1007"/>
      <c r="I206" s="1003"/>
      <c r="J206" s="1003"/>
      <c r="K206" s="1003"/>
      <c r="L206" s="1003"/>
    </row>
    <row r="207" spans="1:12" s="1004" customFormat="1" ht="15.75" hidden="1" customHeight="1" x14ac:dyDescent="0.25">
      <c r="A207" s="2383" t="s">
        <v>39</v>
      </c>
      <c r="B207" s="2384"/>
      <c r="C207" s="2384"/>
      <c r="D207" s="2384"/>
      <c r="E207" s="2384"/>
      <c r="F207" s="2385"/>
      <c r="G207" s="1252">
        <f>SUM(G203:G206)</f>
        <v>0</v>
      </c>
      <c r="H207" s="1008"/>
      <c r="I207" s="1071"/>
      <c r="J207" s="1003"/>
      <c r="K207" s="1003"/>
      <c r="L207" s="1003"/>
    </row>
    <row r="208" spans="1:12" hidden="1" x14ac:dyDescent="0.25">
      <c r="A208" s="507"/>
      <c r="C208" s="563"/>
      <c r="D208" s="557"/>
      <c r="E208" s="559"/>
      <c r="F208" s="559"/>
      <c r="G208" s="554"/>
    </row>
    <row r="209" spans="1:12" hidden="1" x14ac:dyDescent="0.25">
      <c r="A209" s="507" t="s">
        <v>26</v>
      </c>
      <c r="B209" s="507"/>
      <c r="C209" s="587" t="s">
        <v>1369</v>
      </c>
      <c r="D209" s="1449"/>
      <c r="E209" s="505"/>
      <c r="F209" s="506"/>
      <c r="G209" s="511">
        <f>G216</f>
        <v>0</v>
      </c>
    </row>
    <row r="210" spans="1:12" hidden="1" x14ac:dyDescent="0.25">
      <c r="A210" s="507" t="s">
        <v>27</v>
      </c>
      <c r="B210" s="507"/>
      <c r="C210" s="587" t="s">
        <v>1370</v>
      </c>
      <c r="D210" s="1449"/>
      <c r="E210" s="505"/>
      <c r="F210" s="506"/>
      <c r="G210" s="511"/>
    </row>
    <row r="211" spans="1:12" hidden="1" x14ac:dyDescent="0.25">
      <c r="A211" s="1449" t="s">
        <v>771</v>
      </c>
      <c r="D211" s="1449"/>
      <c r="E211" s="505"/>
    </row>
    <row r="212" spans="1:12" hidden="1" x14ac:dyDescent="0.25">
      <c r="A212" s="2285" t="s">
        <v>8</v>
      </c>
      <c r="B212" s="2201" t="s">
        <v>35</v>
      </c>
      <c r="C212" s="2203"/>
      <c r="D212" s="2285" t="s">
        <v>61</v>
      </c>
      <c r="E212" s="2183" t="s">
        <v>735</v>
      </c>
      <c r="F212" s="2183"/>
      <c r="G212" s="2183"/>
    </row>
    <row r="213" spans="1:12" ht="30" hidden="1" x14ac:dyDescent="0.25">
      <c r="A213" s="2200"/>
      <c r="B213" s="2206"/>
      <c r="C213" s="2207"/>
      <c r="D213" s="2200"/>
      <c r="E213" s="1408" t="s">
        <v>248</v>
      </c>
      <c r="F213" s="1408" t="s">
        <v>264</v>
      </c>
      <c r="G213" s="1408" t="s">
        <v>256</v>
      </c>
    </row>
    <row r="214" spans="1:12" hidden="1" x14ac:dyDescent="0.25">
      <c r="A214" s="2445" t="s">
        <v>1371</v>
      </c>
      <c r="B214" s="2446"/>
      <c r="C214" s="2446"/>
      <c r="D214" s="2446"/>
      <c r="E214" s="2446"/>
      <c r="F214" s="2446"/>
      <c r="G214" s="2447"/>
    </row>
    <row r="215" spans="1:12" hidden="1" x14ac:dyDescent="0.25">
      <c r="A215" s="1419">
        <v>1</v>
      </c>
      <c r="B215" s="2448" t="s">
        <v>772</v>
      </c>
      <c r="C215" s="2449"/>
      <c r="D215" s="1419" t="s">
        <v>245</v>
      </c>
      <c r="E215" s="1408"/>
      <c r="F215" s="676"/>
      <c r="G215" s="676">
        <f>E215*F215</f>
        <v>0</v>
      </c>
    </row>
    <row r="216" spans="1:12" hidden="1" x14ac:dyDescent="0.25">
      <c r="A216" s="2174" t="s">
        <v>39</v>
      </c>
      <c r="B216" s="2175"/>
      <c r="C216" s="2175"/>
      <c r="D216" s="2177"/>
      <c r="E216" s="677" t="s">
        <v>5</v>
      </c>
      <c r="F216" s="677" t="s">
        <v>5</v>
      </c>
      <c r="G216" s="101">
        <f>SUM(G215:G215)</f>
        <v>0</v>
      </c>
    </row>
    <row r="217" spans="1:12" hidden="1" x14ac:dyDescent="0.25">
      <c r="A217" s="507" t="s">
        <v>63</v>
      </c>
      <c r="C217" s="563" t="s">
        <v>1505</v>
      </c>
      <c r="D217" s="557"/>
      <c r="E217" s="559"/>
      <c r="F217" s="559"/>
      <c r="G217" s="554">
        <f>G218</f>
        <v>0</v>
      </c>
    </row>
    <row r="218" spans="1:12" s="1010" customFormat="1" ht="15.75" hidden="1" customHeight="1" x14ac:dyDescent="0.2">
      <c r="A218" s="1011" t="s">
        <v>1503</v>
      </c>
      <c r="B218" s="1011"/>
      <c r="C218" s="1011" t="s">
        <v>1497</v>
      </c>
      <c r="D218" s="1011"/>
      <c r="E218" s="1011"/>
      <c r="F218" s="1011"/>
      <c r="G218" s="1002">
        <f>G225</f>
        <v>0</v>
      </c>
      <c r="H218" s="694"/>
      <c r="I218" s="1009"/>
      <c r="J218" s="1009"/>
      <c r="K218" s="1009"/>
      <c r="L218" s="1009"/>
    </row>
    <row r="219" spans="1:12" s="1010" customFormat="1" ht="15.75" hidden="1" customHeight="1" x14ac:dyDescent="0.2">
      <c r="A219" s="1011" t="s">
        <v>1504</v>
      </c>
      <c r="B219" s="1011"/>
      <c r="C219" s="86" t="s">
        <v>1830</v>
      </c>
      <c r="D219" s="1011"/>
      <c r="E219" s="1011"/>
      <c r="F219" s="1011"/>
      <c r="G219" s="1011"/>
      <c r="H219" s="694"/>
      <c r="I219" s="1009"/>
      <c r="J219" s="1009"/>
      <c r="K219" s="1009"/>
    </row>
    <row r="220" spans="1:12" s="1004" customFormat="1" hidden="1" x14ac:dyDescent="0.25">
      <c r="A220" s="2443" t="s">
        <v>1535</v>
      </c>
      <c r="B220" s="2443"/>
      <c r="C220" s="2443"/>
      <c r="D220" s="2443"/>
      <c r="E220" s="2443"/>
      <c r="F220" s="2443"/>
      <c r="G220" s="2443"/>
      <c r="H220" s="893"/>
      <c r="I220" s="1003"/>
      <c r="J220" s="1003"/>
      <c r="K220" s="1003"/>
    </row>
    <row r="221" spans="1:12" s="1004" customFormat="1" hidden="1" x14ac:dyDescent="0.25">
      <c r="A221" s="2285" t="s">
        <v>8</v>
      </c>
      <c r="B221" s="2201" t="s">
        <v>35</v>
      </c>
      <c r="C221" s="2203"/>
      <c r="D221" s="2285" t="s">
        <v>61</v>
      </c>
      <c r="E221" s="2183" t="s">
        <v>1827</v>
      </c>
      <c r="F221" s="2183"/>
      <c r="G221" s="2183"/>
      <c r="H221" s="893"/>
      <c r="I221" s="1003"/>
      <c r="J221" s="1003"/>
      <c r="K221" s="1003"/>
    </row>
    <row r="222" spans="1:12" s="1004" customFormat="1" ht="30" hidden="1" x14ac:dyDescent="0.25">
      <c r="A222" s="2200"/>
      <c r="B222" s="2206"/>
      <c r="C222" s="2207"/>
      <c r="D222" s="2200"/>
      <c r="E222" s="1408" t="s">
        <v>248</v>
      </c>
      <c r="F222" s="1408" t="s">
        <v>264</v>
      </c>
      <c r="G222" s="1408" t="s">
        <v>256</v>
      </c>
      <c r="H222" s="1005"/>
      <c r="I222" s="1005"/>
      <c r="J222" s="1005"/>
      <c r="K222" s="1005"/>
      <c r="L222" s="1005"/>
    </row>
    <row r="223" spans="1:12" s="1004" customFormat="1" ht="15" hidden="1" customHeight="1" x14ac:dyDescent="0.25">
      <c r="A223" s="541">
        <v>1</v>
      </c>
      <c r="B223" s="2452" t="s">
        <v>2019</v>
      </c>
      <c r="C223" s="2453"/>
      <c r="D223" s="1419" t="s">
        <v>724</v>
      </c>
      <c r="E223" s="1006"/>
      <c r="F223" s="386"/>
      <c r="G223" s="711">
        <f>E223*F223</f>
        <v>0</v>
      </c>
      <c r="H223" s="1007"/>
      <c r="I223" s="1003"/>
      <c r="J223" s="1003"/>
      <c r="K223" s="1003"/>
      <c r="L223" s="1003"/>
    </row>
    <row r="224" spans="1:12" s="1004" customFormat="1" ht="15.75" hidden="1" x14ac:dyDescent="0.25">
      <c r="A224" s="2376" t="s">
        <v>1506</v>
      </c>
      <c r="B224" s="2454"/>
      <c r="C224" s="2454"/>
      <c r="D224" s="2454"/>
      <c r="E224" s="2454"/>
      <c r="F224" s="2455"/>
      <c r="G224" s="1072">
        <f>1000-1000</f>
        <v>0</v>
      </c>
      <c r="H224" s="1007"/>
      <c r="I224" s="1003"/>
      <c r="J224" s="1003"/>
      <c r="K224" s="1003"/>
      <c r="L224" s="1003"/>
    </row>
    <row r="225" spans="1:12" s="1004" customFormat="1" ht="15.75" hidden="1" customHeight="1" x14ac:dyDescent="0.25">
      <c r="A225" s="2383" t="s">
        <v>39</v>
      </c>
      <c r="B225" s="2384"/>
      <c r="C225" s="2384"/>
      <c r="D225" s="2384"/>
      <c r="E225" s="2384"/>
      <c r="F225" s="2385"/>
      <c r="G225" s="1252">
        <f>SUM(G223:G224)</f>
        <v>0</v>
      </c>
      <c r="H225" s="1008"/>
      <c r="I225" s="1071"/>
      <c r="J225" s="1003"/>
      <c r="K225" s="1003"/>
      <c r="L225" s="1003"/>
    </row>
    <row r="226" spans="1:12" hidden="1" x14ac:dyDescent="0.25">
      <c r="A226" s="560"/>
      <c r="B226" s="560"/>
      <c r="C226" s="560"/>
      <c r="D226" s="560"/>
      <c r="E226" s="748"/>
      <c r="F226" s="748"/>
      <c r="G226" s="92"/>
    </row>
    <row r="227" spans="1:12" hidden="1" x14ac:dyDescent="0.25">
      <c r="A227" s="507" t="s">
        <v>63</v>
      </c>
      <c r="C227" s="563" t="s">
        <v>81</v>
      </c>
      <c r="D227" s="557"/>
      <c r="E227" s="559"/>
      <c r="F227" s="559"/>
      <c r="G227" s="554">
        <f>G228</f>
        <v>0</v>
      </c>
    </row>
    <row r="228" spans="1:12" hidden="1" x14ac:dyDescent="0.25">
      <c r="A228" s="507" t="s">
        <v>26</v>
      </c>
      <c r="B228" s="507"/>
      <c r="C228" s="587" t="s">
        <v>770</v>
      </c>
      <c r="D228" s="1449"/>
      <c r="E228" s="505"/>
      <c r="F228" s="506"/>
      <c r="G228" s="511">
        <f>G235</f>
        <v>0</v>
      </c>
    </row>
    <row r="229" spans="1:12" hidden="1" x14ac:dyDescent="0.25">
      <c r="A229" s="507" t="s">
        <v>27</v>
      </c>
      <c r="B229" s="507"/>
      <c r="C229" s="587" t="s">
        <v>1499</v>
      </c>
      <c r="D229" s="1449"/>
      <c r="E229" s="505"/>
      <c r="F229" s="506"/>
      <c r="G229" s="511"/>
    </row>
    <row r="230" spans="1:12" hidden="1" x14ac:dyDescent="0.25">
      <c r="A230" s="1449" t="s">
        <v>1804</v>
      </c>
      <c r="D230" s="1449"/>
      <c r="E230" s="505"/>
    </row>
    <row r="231" spans="1:12" hidden="1" x14ac:dyDescent="0.25">
      <c r="A231" s="2285" t="s">
        <v>8</v>
      </c>
      <c r="B231" s="2201" t="s">
        <v>35</v>
      </c>
      <c r="C231" s="2203"/>
      <c r="D231" s="2285" t="s">
        <v>61</v>
      </c>
      <c r="E231" s="2183" t="s">
        <v>1476</v>
      </c>
      <c r="F231" s="2183"/>
      <c r="G231" s="2183"/>
    </row>
    <row r="232" spans="1:12" ht="31.5" hidden="1" customHeight="1" x14ac:dyDescent="0.25">
      <c r="A232" s="2200"/>
      <c r="B232" s="2206"/>
      <c r="C232" s="2207"/>
      <c r="D232" s="2200"/>
      <c r="E232" s="1408" t="s">
        <v>248</v>
      </c>
      <c r="F232" s="1408" t="s">
        <v>264</v>
      </c>
      <c r="G232" s="1408" t="s">
        <v>256</v>
      </c>
    </row>
    <row r="233" spans="1:12" hidden="1" x14ac:dyDescent="0.25">
      <c r="A233" s="2445" t="s">
        <v>1498</v>
      </c>
      <c r="B233" s="2446"/>
      <c r="C233" s="2446"/>
      <c r="D233" s="2446"/>
      <c r="E233" s="2446"/>
      <c r="F233" s="2446"/>
      <c r="G233" s="2447"/>
    </row>
    <row r="234" spans="1:12" ht="15" hidden="1" customHeight="1" x14ac:dyDescent="0.25">
      <c r="A234" s="1419">
        <v>1</v>
      </c>
      <c r="B234" s="2448" t="s">
        <v>1806</v>
      </c>
      <c r="C234" s="2449"/>
      <c r="D234" s="1419" t="s">
        <v>399</v>
      </c>
      <c r="E234" s="1408"/>
      <c r="F234" s="676"/>
      <c r="G234" s="676">
        <f>E234*F234</f>
        <v>0</v>
      </c>
    </row>
    <row r="235" spans="1:12" hidden="1" x14ac:dyDescent="0.25">
      <c r="A235" s="2174" t="s">
        <v>39</v>
      </c>
      <c r="B235" s="2175"/>
      <c r="C235" s="2175"/>
      <c r="D235" s="2177"/>
      <c r="E235" s="677" t="s">
        <v>5</v>
      </c>
      <c r="F235" s="677" t="s">
        <v>5</v>
      </c>
      <c r="G235" s="101">
        <f>SUM(G234:G234)</f>
        <v>0</v>
      </c>
    </row>
    <row r="236" spans="1:12" hidden="1" x14ac:dyDescent="0.25">
      <c r="A236" s="752"/>
      <c r="B236" s="752"/>
      <c r="C236" s="752"/>
      <c r="D236" s="752"/>
      <c r="E236" s="753"/>
      <c r="F236" s="753"/>
      <c r="G236" s="554"/>
    </row>
    <row r="237" spans="1:12" x14ac:dyDescent="0.25">
      <c r="A237" s="507" t="s">
        <v>63</v>
      </c>
      <c r="C237" s="563" t="s">
        <v>98</v>
      </c>
      <c r="D237" s="557"/>
      <c r="E237" s="559"/>
      <c r="F237" s="559"/>
      <c r="G237" s="554">
        <f>G256+G239</f>
        <v>23600</v>
      </c>
    </row>
    <row r="238" spans="1:12" hidden="1" x14ac:dyDescent="0.25">
      <c r="A238" s="507"/>
      <c r="C238" s="563"/>
      <c r="D238" s="557"/>
      <c r="E238" s="559"/>
      <c r="F238" s="559"/>
      <c r="G238" s="554"/>
    </row>
    <row r="239" spans="1:12" hidden="1" x14ac:dyDescent="0.25">
      <c r="A239" s="507" t="s">
        <v>26</v>
      </c>
      <c r="B239" s="507"/>
      <c r="C239" s="1011" t="s">
        <v>1369</v>
      </c>
      <c r="D239" s="1449"/>
      <c r="E239" s="505"/>
      <c r="F239" s="506"/>
      <c r="G239" s="511">
        <f>G246+G254</f>
        <v>0</v>
      </c>
    </row>
    <row r="240" spans="1:12" hidden="1" x14ac:dyDescent="0.25">
      <c r="A240" s="507" t="s">
        <v>27</v>
      </c>
      <c r="B240" s="507"/>
      <c r="C240" s="1011" t="s">
        <v>115</v>
      </c>
      <c r="D240" s="1449"/>
      <c r="E240" s="505"/>
      <c r="F240" s="506"/>
      <c r="G240" s="511"/>
    </row>
    <row r="241" spans="1:7" hidden="1" x14ac:dyDescent="0.25">
      <c r="A241" s="1449" t="s">
        <v>773</v>
      </c>
      <c r="D241" s="1449"/>
      <c r="E241" s="505"/>
    </row>
    <row r="242" spans="1:7" hidden="1" x14ac:dyDescent="0.25">
      <c r="A242" s="2285" t="s">
        <v>8</v>
      </c>
      <c r="B242" s="2201" t="s">
        <v>35</v>
      </c>
      <c r="C242" s="2203"/>
      <c r="D242" s="2285" t="s">
        <v>61</v>
      </c>
      <c r="E242" s="2183" t="s">
        <v>1476</v>
      </c>
      <c r="F242" s="2183"/>
      <c r="G242" s="2183"/>
    </row>
    <row r="243" spans="1:7" ht="30" hidden="1" x14ac:dyDescent="0.25">
      <c r="A243" s="2200"/>
      <c r="B243" s="2206"/>
      <c r="C243" s="2207"/>
      <c r="D243" s="2200"/>
      <c r="E243" s="1408" t="s">
        <v>248</v>
      </c>
      <c r="F243" s="1408" t="s">
        <v>264</v>
      </c>
      <c r="G243" s="1408" t="s">
        <v>256</v>
      </c>
    </row>
    <row r="244" spans="1:7" hidden="1" x14ac:dyDescent="0.25">
      <c r="A244" s="2445" t="s">
        <v>1734</v>
      </c>
      <c r="B244" s="2446"/>
      <c r="C244" s="2446"/>
      <c r="D244" s="2446"/>
      <c r="E244" s="2446"/>
      <c r="F244" s="2446"/>
      <c r="G244" s="2447"/>
    </row>
    <row r="245" spans="1:7" hidden="1" x14ac:dyDescent="0.25">
      <c r="A245" s="1413">
        <v>1</v>
      </c>
      <c r="B245" s="2456" t="s">
        <v>1500</v>
      </c>
      <c r="C245" s="2457"/>
      <c r="D245" s="758" t="s">
        <v>245</v>
      </c>
      <c r="E245" s="759"/>
      <c r="F245" s="884"/>
      <c r="G245" s="676">
        <f>E245*F245</f>
        <v>0</v>
      </c>
    </row>
    <row r="246" spans="1:7" hidden="1" x14ac:dyDescent="0.25">
      <c r="A246" s="2174" t="s">
        <v>39</v>
      </c>
      <c r="B246" s="2175"/>
      <c r="C246" s="2175"/>
      <c r="D246" s="2177"/>
      <c r="E246" s="677" t="s">
        <v>5</v>
      </c>
      <c r="F246" s="677" t="s">
        <v>5</v>
      </c>
      <c r="G246" s="101">
        <f>SUM(G245:G245)</f>
        <v>0</v>
      </c>
    </row>
    <row r="247" spans="1:7" hidden="1" x14ac:dyDescent="0.25">
      <c r="A247" s="560"/>
      <c r="B247" s="560"/>
      <c r="C247" s="560"/>
      <c r="D247" s="560"/>
      <c r="E247" s="748"/>
      <c r="F247" s="748"/>
      <c r="G247" s="92"/>
    </row>
    <row r="248" spans="1:7" s="61" customFormat="1" hidden="1" x14ac:dyDescent="0.25">
      <c r="A248" s="1457" t="s">
        <v>773</v>
      </c>
      <c r="B248" s="1457"/>
      <c r="C248" s="1457"/>
      <c r="D248" s="1457"/>
      <c r="E248" s="60"/>
      <c r="F248" s="60"/>
      <c r="G248" s="60"/>
    </row>
    <row r="249" spans="1:7" hidden="1" x14ac:dyDescent="0.25">
      <c r="A249" s="2285" t="s">
        <v>8</v>
      </c>
      <c r="B249" s="2201" t="s">
        <v>35</v>
      </c>
      <c r="C249" s="2203"/>
      <c r="D249" s="2285" t="s">
        <v>61</v>
      </c>
      <c r="E249" s="2183" t="s">
        <v>1476</v>
      </c>
      <c r="F249" s="2183"/>
      <c r="G249" s="2183"/>
    </row>
    <row r="250" spans="1:7" ht="30" hidden="1" x14ac:dyDescent="0.25">
      <c r="A250" s="2200"/>
      <c r="B250" s="2206"/>
      <c r="C250" s="2207"/>
      <c r="D250" s="2200"/>
      <c r="E250" s="1408" t="s">
        <v>248</v>
      </c>
      <c r="F250" s="1408" t="s">
        <v>264</v>
      </c>
      <c r="G250" s="1408" t="s">
        <v>256</v>
      </c>
    </row>
    <row r="251" spans="1:7" hidden="1" x14ac:dyDescent="0.25">
      <c r="A251" s="2373" t="s">
        <v>1799</v>
      </c>
      <c r="B251" s="2374"/>
      <c r="C251" s="2374"/>
      <c r="D251" s="2374"/>
      <c r="E251" s="2374"/>
      <c r="F251" s="2374"/>
      <c r="G251" s="2375"/>
    </row>
    <row r="252" spans="1:7" hidden="1" x14ac:dyDescent="0.25">
      <c r="A252" s="1413">
        <v>1</v>
      </c>
      <c r="B252" s="2456" t="s">
        <v>1720</v>
      </c>
      <c r="C252" s="2457"/>
      <c r="D252" s="758" t="s">
        <v>245</v>
      </c>
      <c r="E252" s="759"/>
      <c r="F252" s="884"/>
      <c r="G252" s="676">
        <f>E252*F252</f>
        <v>0</v>
      </c>
    </row>
    <row r="253" spans="1:7" s="61" customFormat="1" hidden="1" x14ac:dyDescent="0.25">
      <c r="A253" s="1407">
        <v>2</v>
      </c>
      <c r="B253" s="2456" t="s">
        <v>1721</v>
      </c>
      <c r="C253" s="2457"/>
      <c r="D253" s="758" t="s">
        <v>245</v>
      </c>
      <c r="E253" s="759"/>
      <c r="F253" s="884"/>
      <c r="G253" s="393">
        <f>E253*F253</f>
        <v>0</v>
      </c>
    </row>
    <row r="254" spans="1:7" hidden="1" x14ac:dyDescent="0.25">
      <c r="A254" s="2174" t="s">
        <v>39</v>
      </c>
      <c r="B254" s="2175"/>
      <c r="C254" s="2175"/>
      <c r="D254" s="2177"/>
      <c r="E254" s="677" t="s">
        <v>5</v>
      </c>
      <c r="F254" s="677" t="s">
        <v>5</v>
      </c>
      <c r="G254" s="101">
        <f>SUM(G252:G253)</f>
        <v>0</v>
      </c>
    </row>
    <row r="255" spans="1:7" hidden="1" x14ac:dyDescent="0.25">
      <c r="A255" s="560"/>
      <c r="B255" s="560"/>
      <c r="C255" s="560"/>
      <c r="D255" s="560"/>
      <c r="E255" s="748"/>
      <c r="F255" s="748"/>
      <c r="G255" s="92"/>
    </row>
    <row r="256" spans="1:7" x14ac:dyDescent="0.25">
      <c r="A256" s="507" t="s">
        <v>26</v>
      </c>
      <c r="B256" s="507"/>
      <c r="C256" s="587" t="s">
        <v>770</v>
      </c>
      <c r="D256" s="1449"/>
      <c r="E256" s="505"/>
      <c r="F256" s="506"/>
      <c r="G256" s="511">
        <f>G264</f>
        <v>23600</v>
      </c>
    </row>
    <row r="257" spans="1:7" x14ac:dyDescent="0.25">
      <c r="A257" s="507" t="s">
        <v>27</v>
      </c>
      <c r="B257" s="507"/>
      <c r="C257" s="86" t="s">
        <v>2018</v>
      </c>
      <c r="D257" s="1449"/>
      <c r="E257" s="505"/>
      <c r="F257" s="506"/>
      <c r="G257" s="511"/>
    </row>
    <row r="258" spans="1:7" x14ac:dyDescent="0.25">
      <c r="A258" s="1449" t="s">
        <v>773</v>
      </c>
      <c r="D258" s="1449"/>
      <c r="E258" s="505"/>
    </row>
    <row r="259" spans="1:7" x14ac:dyDescent="0.25">
      <c r="A259" s="2285" t="s">
        <v>8</v>
      </c>
      <c r="B259" s="2201" t="s">
        <v>35</v>
      </c>
      <c r="C259" s="2203"/>
      <c r="D259" s="2285" t="s">
        <v>61</v>
      </c>
      <c r="E259" s="2183" t="s">
        <v>2046</v>
      </c>
      <c r="F259" s="2183"/>
      <c r="G259" s="2183"/>
    </row>
    <row r="260" spans="1:7" ht="30" x14ac:dyDescent="0.25">
      <c r="A260" s="2200"/>
      <c r="B260" s="2206"/>
      <c r="C260" s="2207"/>
      <c r="D260" s="2200"/>
      <c r="E260" s="1408" t="s">
        <v>248</v>
      </c>
      <c r="F260" s="1408" t="s">
        <v>264</v>
      </c>
      <c r="G260" s="1408" t="s">
        <v>256</v>
      </c>
    </row>
    <row r="261" spans="1:7" x14ac:dyDescent="0.25">
      <c r="A261" s="2445" t="s">
        <v>1498</v>
      </c>
      <c r="B261" s="2446"/>
      <c r="C261" s="2446"/>
      <c r="D261" s="2446"/>
      <c r="E261" s="2446"/>
      <c r="F261" s="2446"/>
      <c r="G261" s="2447"/>
    </row>
    <row r="262" spans="1:7" x14ac:dyDescent="0.25">
      <c r="A262" s="1413">
        <v>1</v>
      </c>
      <c r="B262" s="2456" t="s">
        <v>1500</v>
      </c>
      <c r="C262" s="2457"/>
      <c r="D262" s="758" t="s">
        <v>245</v>
      </c>
      <c r="E262" s="759">
        <v>20</v>
      </c>
      <c r="F262" s="884">
        <v>80</v>
      </c>
      <c r="G262" s="676">
        <f>E262*F262</f>
        <v>1600</v>
      </c>
    </row>
    <row r="263" spans="1:7" x14ac:dyDescent="0.25">
      <c r="A263" s="1419">
        <v>2</v>
      </c>
      <c r="B263" s="2448" t="s">
        <v>1807</v>
      </c>
      <c r="C263" s="2449"/>
      <c r="D263" s="1419" t="s">
        <v>245</v>
      </c>
      <c r="E263" s="1408">
        <v>20</v>
      </c>
      <c r="F263" s="676">
        <v>1100</v>
      </c>
      <c r="G263" s="676">
        <f>E263*F263</f>
        <v>22000</v>
      </c>
    </row>
    <row r="264" spans="1:7" x14ac:dyDescent="0.25">
      <c r="A264" s="2174" t="s">
        <v>39</v>
      </c>
      <c r="B264" s="2175"/>
      <c r="C264" s="2175"/>
      <c r="D264" s="2177"/>
      <c r="E264" s="677" t="s">
        <v>5</v>
      </c>
      <c r="F264" s="677" t="s">
        <v>5</v>
      </c>
      <c r="G264" s="101">
        <f>SUM(G262:G263)</f>
        <v>23600</v>
      </c>
    </row>
    <row r="265" spans="1:7" x14ac:dyDescent="0.25">
      <c r="A265" s="752"/>
      <c r="B265" s="752"/>
      <c r="C265" s="752"/>
      <c r="D265" s="752"/>
      <c r="E265" s="753"/>
      <c r="F265" s="753"/>
      <c r="G265" s="554"/>
    </row>
    <row r="266" spans="1:7" hidden="1" x14ac:dyDescent="0.25">
      <c r="A266" s="507" t="s">
        <v>27</v>
      </c>
      <c r="B266" s="507"/>
      <c r="C266" s="587" t="s">
        <v>1366</v>
      </c>
      <c r="D266" s="1449"/>
      <c r="E266" s="505"/>
      <c r="F266" s="506"/>
      <c r="G266" s="511">
        <f>G273</f>
        <v>0</v>
      </c>
    </row>
    <row r="267" spans="1:7" hidden="1" x14ac:dyDescent="0.25">
      <c r="A267" s="1449" t="s">
        <v>773</v>
      </c>
      <c r="D267" s="1449"/>
      <c r="E267" s="505"/>
    </row>
    <row r="268" spans="1:7" hidden="1" x14ac:dyDescent="0.25">
      <c r="A268" s="2285" t="s">
        <v>8</v>
      </c>
      <c r="B268" s="2201" t="s">
        <v>35</v>
      </c>
      <c r="C268" s="2203"/>
      <c r="D268" s="2285" t="s">
        <v>61</v>
      </c>
      <c r="E268" s="2183" t="s">
        <v>735</v>
      </c>
      <c r="F268" s="2183"/>
      <c r="G268" s="2183"/>
    </row>
    <row r="269" spans="1:7" ht="30" hidden="1" x14ac:dyDescent="0.25">
      <c r="A269" s="2200"/>
      <c r="B269" s="2206"/>
      <c r="C269" s="2207"/>
      <c r="D269" s="2200"/>
      <c r="E269" s="1408" t="s">
        <v>248</v>
      </c>
      <c r="F269" s="1408" t="s">
        <v>264</v>
      </c>
      <c r="G269" s="1408" t="s">
        <v>256</v>
      </c>
    </row>
    <row r="270" spans="1:7" ht="15" hidden="1" customHeight="1" x14ac:dyDescent="0.25">
      <c r="A270" s="2445" t="s">
        <v>1420</v>
      </c>
      <c r="B270" s="2446"/>
      <c r="C270" s="2446"/>
      <c r="D270" s="2446"/>
      <c r="E270" s="2446"/>
      <c r="F270" s="2446"/>
      <c r="G270" s="2447"/>
    </row>
    <row r="271" spans="1:7" hidden="1" x14ac:dyDescent="0.25">
      <c r="A271" s="1419">
        <v>1</v>
      </c>
      <c r="B271" s="2456" t="s">
        <v>1367</v>
      </c>
      <c r="C271" s="2457"/>
      <c r="D271" s="758" t="s">
        <v>245</v>
      </c>
      <c r="E271" s="759"/>
      <c r="F271" s="885">
        <v>1170</v>
      </c>
      <c r="G271" s="676">
        <f>E271*F271</f>
        <v>0</v>
      </c>
    </row>
    <row r="272" spans="1:7" hidden="1" x14ac:dyDescent="0.25">
      <c r="A272" s="1413">
        <v>2</v>
      </c>
      <c r="B272" s="2456" t="s">
        <v>1368</v>
      </c>
      <c r="C272" s="2457"/>
      <c r="D272" s="758" t="s">
        <v>245</v>
      </c>
      <c r="E272" s="759"/>
      <c r="F272" s="884">
        <v>80</v>
      </c>
      <c r="G272" s="676">
        <f>E272*F272</f>
        <v>0</v>
      </c>
    </row>
    <row r="273" spans="1:8" hidden="1" x14ac:dyDescent="0.25">
      <c r="A273" s="2174" t="s">
        <v>39</v>
      </c>
      <c r="B273" s="2175"/>
      <c r="C273" s="2175"/>
      <c r="D273" s="2177"/>
      <c r="E273" s="677" t="s">
        <v>5</v>
      </c>
      <c r="F273" s="677" t="s">
        <v>5</v>
      </c>
      <c r="G273" s="101">
        <f>SUM(G271:G272)</f>
        <v>0</v>
      </c>
    </row>
    <row r="274" spans="1:8" hidden="1" x14ac:dyDescent="0.25">
      <c r="A274" s="752"/>
      <c r="B274" s="752"/>
      <c r="C274" s="752"/>
      <c r="D274" s="752"/>
      <c r="E274" s="753"/>
      <c r="F274" s="753"/>
      <c r="G274" s="554"/>
    </row>
    <row r="275" spans="1:8" ht="18.75" x14ac:dyDescent="0.25">
      <c r="A275" s="2370" t="s">
        <v>118</v>
      </c>
      <c r="B275" s="2370"/>
      <c r="C275" s="2370"/>
      <c r="D275" s="2370"/>
      <c r="E275" s="2370"/>
      <c r="F275" s="2370"/>
      <c r="G275" s="737">
        <f>G264+G225+G207+G196+G187+G159+G123+G110+G99+G89+G79+G64+G57+G49</f>
        <v>14602510.859999999</v>
      </c>
      <c r="H275" s="551" t="b">
        <f>G275=G6</f>
        <v>1</v>
      </c>
    </row>
    <row r="276" spans="1:8" x14ac:dyDescent="0.25">
      <c r="F276" s="760"/>
      <c r="G276" s="760"/>
      <c r="H276" s="565"/>
    </row>
    <row r="277" spans="1:8" x14ac:dyDescent="0.25">
      <c r="A277" s="738" t="s">
        <v>610</v>
      </c>
      <c r="D277" s="1449"/>
      <c r="E277" s="505"/>
      <c r="F277" s="2368" t="s">
        <v>357</v>
      </c>
      <c r="G277" s="2368"/>
    </row>
    <row r="278" spans="1:8" x14ac:dyDescent="0.25">
      <c r="A278" s="738"/>
      <c r="D278" s="1449"/>
      <c r="E278" s="505"/>
      <c r="F278" s="506"/>
      <c r="G278" s="742"/>
    </row>
    <row r="279" spans="1:8" x14ac:dyDescent="0.25">
      <c r="A279" s="738" t="s">
        <v>156</v>
      </c>
      <c r="D279" s="1449"/>
      <c r="E279" s="505"/>
      <c r="F279" s="1936" t="s">
        <v>729</v>
      </c>
      <c r="G279" s="1936"/>
    </row>
    <row r="280" spans="1:8" x14ac:dyDescent="0.25">
      <c r="A280" s="738"/>
      <c r="D280" s="1449"/>
      <c r="E280" s="505"/>
      <c r="F280" s="506"/>
      <c r="G280" s="1414"/>
    </row>
    <row r="281" spans="1:8" x14ac:dyDescent="0.25">
      <c r="A281" s="738" t="s">
        <v>117</v>
      </c>
      <c r="D281" s="1449"/>
      <c r="E281" s="505"/>
      <c r="F281" s="506"/>
      <c r="G281" s="1414"/>
    </row>
    <row r="282" spans="1:8" x14ac:dyDescent="0.25">
      <c r="A282" s="738" t="s">
        <v>1681</v>
      </c>
      <c r="D282" s="1449"/>
      <c r="E282" s="1449"/>
      <c r="F282" s="1449"/>
      <c r="G282" s="1414" t="s">
        <v>243</v>
      </c>
      <c r="H282" s="1414"/>
    </row>
  </sheetData>
  <sheetProtection insertRows="0" deleteRows="0" autoFilter="0"/>
  <dataConsolidate/>
  <mergeCells count="195">
    <mergeCell ref="A251:G251"/>
    <mergeCell ref="B252:C252"/>
    <mergeCell ref="B253:C253"/>
    <mergeCell ref="A254:D254"/>
    <mergeCell ref="A259:A260"/>
    <mergeCell ref="B259:C260"/>
    <mergeCell ref="D259:D260"/>
    <mergeCell ref="E259:G259"/>
    <mergeCell ref="F279:G279"/>
    <mergeCell ref="A270:G270"/>
    <mergeCell ref="B271:C271"/>
    <mergeCell ref="B272:C272"/>
    <mergeCell ref="A273:D273"/>
    <mergeCell ref="A275:F275"/>
    <mergeCell ref="F277:G277"/>
    <mergeCell ref="A261:G261"/>
    <mergeCell ref="B262:C262"/>
    <mergeCell ref="B263:C263"/>
    <mergeCell ref="A264:D264"/>
    <mergeCell ref="A268:A269"/>
    <mergeCell ref="B268:C269"/>
    <mergeCell ref="D268:D269"/>
    <mergeCell ref="E268:G268"/>
    <mergeCell ref="A244:G244"/>
    <mergeCell ref="B245:C245"/>
    <mergeCell ref="A246:D246"/>
    <mergeCell ref="A249:A250"/>
    <mergeCell ref="B249:C250"/>
    <mergeCell ref="D249:D250"/>
    <mergeCell ref="E249:G249"/>
    <mergeCell ref="A233:G233"/>
    <mergeCell ref="B234:C234"/>
    <mergeCell ref="A235:D235"/>
    <mergeCell ref="A242:A243"/>
    <mergeCell ref="B242:C243"/>
    <mergeCell ref="D242:D243"/>
    <mergeCell ref="E242:G242"/>
    <mergeCell ref="B223:C223"/>
    <mergeCell ref="A224:F224"/>
    <mergeCell ref="A225:F225"/>
    <mergeCell ref="A231:A232"/>
    <mergeCell ref="B231:C232"/>
    <mergeCell ref="D231:D232"/>
    <mergeCell ref="E231:G231"/>
    <mergeCell ref="A214:G214"/>
    <mergeCell ref="B215:C215"/>
    <mergeCell ref="A216:D216"/>
    <mergeCell ref="A220:G220"/>
    <mergeCell ref="A221:A222"/>
    <mergeCell ref="B221:C222"/>
    <mergeCell ref="D221:D222"/>
    <mergeCell ref="E221:G221"/>
    <mergeCell ref="B203:C203"/>
    <mergeCell ref="B204:C204"/>
    <mergeCell ref="B205:C205"/>
    <mergeCell ref="A206:F206"/>
    <mergeCell ref="A207:F207"/>
    <mergeCell ref="A212:A213"/>
    <mergeCell ref="B212:C213"/>
    <mergeCell ref="D212:D213"/>
    <mergeCell ref="E212:G212"/>
    <mergeCell ref="B195:C195"/>
    <mergeCell ref="A196:F196"/>
    <mergeCell ref="A200:G200"/>
    <mergeCell ref="A201:A202"/>
    <mergeCell ref="B201:C202"/>
    <mergeCell ref="D201:D202"/>
    <mergeCell ref="E201:G201"/>
    <mergeCell ref="B185:D185"/>
    <mergeCell ref="B186:D186"/>
    <mergeCell ref="A187:F187"/>
    <mergeCell ref="A191:G191"/>
    <mergeCell ref="A192:A193"/>
    <mergeCell ref="B192:C193"/>
    <mergeCell ref="D192:D193"/>
    <mergeCell ref="E192:G192"/>
    <mergeCell ref="A173:G173"/>
    <mergeCell ref="B174:C174"/>
    <mergeCell ref="A175:D175"/>
    <mergeCell ref="A182:G182"/>
    <mergeCell ref="A183:A184"/>
    <mergeCell ref="B183:C184"/>
    <mergeCell ref="D183:D184"/>
    <mergeCell ref="E183:G183"/>
    <mergeCell ref="A194:G194"/>
    <mergeCell ref="B166:C166"/>
    <mergeCell ref="B167:C167"/>
    <mergeCell ref="A168:D168"/>
    <mergeCell ref="A171:A172"/>
    <mergeCell ref="B171:C172"/>
    <mergeCell ref="D171:D172"/>
    <mergeCell ref="B157:D157"/>
    <mergeCell ref="B158:D158"/>
    <mergeCell ref="A159:F159"/>
    <mergeCell ref="A164:A165"/>
    <mergeCell ref="B164:C165"/>
    <mergeCell ref="D164:D165"/>
    <mergeCell ref="E164:G164"/>
    <mergeCell ref="E171:G171"/>
    <mergeCell ref="A139:G139"/>
    <mergeCell ref="B140:C140"/>
    <mergeCell ref="A141:C141"/>
    <mergeCell ref="A154:G154"/>
    <mergeCell ref="A155:A156"/>
    <mergeCell ref="B155:C156"/>
    <mergeCell ref="D155:D156"/>
    <mergeCell ref="E155:G155"/>
    <mergeCell ref="A131:G131"/>
    <mergeCell ref="B132:C132"/>
    <mergeCell ref="B133:C133"/>
    <mergeCell ref="A134:C134"/>
    <mergeCell ref="A136:G136"/>
    <mergeCell ref="A137:A138"/>
    <mergeCell ref="B137:C138"/>
    <mergeCell ref="D137:G137"/>
    <mergeCell ref="B122:C122"/>
    <mergeCell ref="A123:F123"/>
    <mergeCell ref="A128:G128"/>
    <mergeCell ref="A129:A130"/>
    <mergeCell ref="B129:C130"/>
    <mergeCell ref="D129:G129"/>
    <mergeCell ref="A110:F110"/>
    <mergeCell ref="A112:F112"/>
    <mergeCell ref="C116:D116"/>
    <mergeCell ref="C117:D117"/>
    <mergeCell ref="A119:A120"/>
    <mergeCell ref="B119:C120"/>
    <mergeCell ref="D119:G119"/>
    <mergeCell ref="A99:F99"/>
    <mergeCell ref="C103:D103"/>
    <mergeCell ref="C104:D104"/>
    <mergeCell ref="A106:A107"/>
    <mergeCell ref="B106:C107"/>
    <mergeCell ref="D106:G106"/>
    <mergeCell ref="A89:F89"/>
    <mergeCell ref="B94:D94"/>
    <mergeCell ref="B95:D95"/>
    <mergeCell ref="B96:D96"/>
    <mergeCell ref="B97:D97"/>
    <mergeCell ref="B98:D98"/>
    <mergeCell ref="C82:D82"/>
    <mergeCell ref="B84:D84"/>
    <mergeCell ref="B85:D85"/>
    <mergeCell ref="B86:D86"/>
    <mergeCell ref="B87:D87"/>
    <mergeCell ref="B88:D88"/>
    <mergeCell ref="B75:D75"/>
    <mergeCell ref="B76:D76"/>
    <mergeCell ref="B77:D77"/>
    <mergeCell ref="B78:D78"/>
    <mergeCell ref="A79:F79"/>
    <mergeCell ref="C81:D81"/>
    <mergeCell ref="A66:G66"/>
    <mergeCell ref="C71:D71"/>
    <mergeCell ref="C72:D72"/>
    <mergeCell ref="B74:D74"/>
    <mergeCell ref="B54:F54"/>
    <mergeCell ref="B55:F55"/>
    <mergeCell ref="B56:F56"/>
    <mergeCell ref="A57:F57"/>
    <mergeCell ref="A61:G61"/>
    <mergeCell ref="B62:F62"/>
    <mergeCell ref="A53:G53"/>
    <mergeCell ref="A25:F25"/>
    <mergeCell ref="A26:F26"/>
    <mergeCell ref="A27:F27"/>
    <mergeCell ref="C44:D44"/>
    <mergeCell ref="C45:D45"/>
    <mergeCell ref="A46:G46"/>
    <mergeCell ref="B63:F63"/>
    <mergeCell ref="A64:F64"/>
    <mergeCell ref="A1:G1"/>
    <mergeCell ref="A2:G2"/>
    <mergeCell ref="A8:F8"/>
    <mergeCell ref="A10:F10"/>
    <mergeCell ref="A11:F11"/>
    <mergeCell ref="A12:F12"/>
    <mergeCell ref="B108:C109"/>
    <mergeCell ref="A19:F19"/>
    <mergeCell ref="A20:F20"/>
    <mergeCell ref="A21:F21"/>
    <mergeCell ref="A22:F22"/>
    <mergeCell ref="A23:F23"/>
    <mergeCell ref="A24:F24"/>
    <mergeCell ref="A13:F13"/>
    <mergeCell ref="A14:F14"/>
    <mergeCell ref="A15:F15"/>
    <mergeCell ref="A16:F16"/>
    <mergeCell ref="A17:F17"/>
    <mergeCell ref="A18:F18"/>
    <mergeCell ref="B47:F47"/>
    <mergeCell ref="B48:F48"/>
    <mergeCell ref="A49:F49"/>
    <mergeCell ref="C51:D51"/>
    <mergeCell ref="C52:D52"/>
  </mergeCells>
  <printOptions horizontalCentered="1"/>
  <pageMargins left="0.78740157480314965" right="0.19685039370078741" top="0.19685039370078741" bottom="0.19685039370078741" header="0" footer="0"/>
  <pageSetup paperSize="9" scale="6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81"/>
  <sheetViews>
    <sheetView view="pageBreakPreview" topLeftCell="A96" zoomScale="80" zoomScaleNormal="70" zoomScaleSheetLayoutView="80" workbookViewId="0">
      <selection activeCell="A24" sqref="A24:F24"/>
    </sheetView>
  </sheetViews>
  <sheetFormatPr defaultColWidth="8.7109375" defaultRowHeight="15" x14ac:dyDescent="0.25"/>
  <cols>
    <col min="1" max="1" width="4.85546875" style="1449" customWidth="1"/>
    <col min="2" max="2" width="33.140625" style="1449" customWidth="1"/>
    <col min="3" max="3" width="28.42578125" style="1449" customWidth="1"/>
    <col min="4" max="4" width="17.140625" style="505" customWidth="1"/>
    <col min="5" max="5" width="19" style="576" customWidth="1"/>
    <col min="6" max="6" width="18.28515625" style="505" customWidth="1"/>
    <col min="7" max="7" width="18.140625" style="505" customWidth="1"/>
    <col min="8" max="8" width="22.7109375" style="551" customWidth="1"/>
    <col min="9" max="9" width="17.85546875" style="551" customWidth="1"/>
    <col min="10" max="10" width="12.42578125" style="551" bestFit="1" customWidth="1"/>
    <col min="11" max="11" width="18.28515625" style="551" customWidth="1"/>
    <col min="12" max="12" width="20.42578125" style="551" customWidth="1"/>
    <col min="13" max="13" width="18" style="551" customWidth="1"/>
    <col min="14" max="14" width="16.42578125" style="551" customWidth="1"/>
    <col min="15" max="16384" width="8.7109375" style="551"/>
  </cols>
  <sheetData>
    <row r="1" spans="1:14" ht="24.75" customHeight="1" x14ac:dyDescent="0.25">
      <c r="A1" s="2150" t="s">
        <v>2044</v>
      </c>
      <c r="B1" s="2150"/>
      <c r="C1" s="2150"/>
      <c r="D1" s="2150"/>
      <c r="E1" s="2150"/>
      <c r="F1" s="2150"/>
      <c r="G1" s="2150"/>
      <c r="K1" s="1456"/>
      <c r="L1" s="1456" t="s">
        <v>1496</v>
      </c>
      <c r="M1" s="1456" t="s">
        <v>2051</v>
      </c>
      <c r="N1" s="1456"/>
    </row>
    <row r="2" spans="1:14" ht="21.75" customHeight="1" x14ac:dyDescent="0.25">
      <c r="A2" s="2411" t="s">
        <v>609</v>
      </c>
      <c r="B2" s="2411"/>
      <c r="C2" s="2411"/>
      <c r="D2" s="2411"/>
      <c r="E2" s="2411"/>
      <c r="F2" s="2411"/>
      <c r="G2" s="2411"/>
      <c r="K2" s="1416" t="s">
        <v>1964</v>
      </c>
      <c r="L2" s="1363">
        <f>G115</f>
        <v>0</v>
      </c>
      <c r="M2" s="1363"/>
      <c r="N2" s="1491" t="b">
        <f t="shared" ref="N2:N8" si="0">L2=M2</f>
        <v>1</v>
      </c>
    </row>
    <row r="3" spans="1:14" ht="17.25" customHeight="1" x14ac:dyDescent="0.25">
      <c r="A3" s="589"/>
      <c r="B3" s="589"/>
      <c r="C3" s="589"/>
      <c r="D3" s="589"/>
      <c r="E3" s="751"/>
      <c r="F3" s="589"/>
      <c r="G3" s="589"/>
      <c r="K3" s="1416" t="s">
        <v>1965</v>
      </c>
      <c r="L3" s="1363">
        <f>G44+G71</f>
        <v>13801200</v>
      </c>
      <c r="M3" s="1363">
        <v>13801200</v>
      </c>
      <c r="N3" s="1416" t="b">
        <f t="shared" si="0"/>
        <v>1</v>
      </c>
    </row>
    <row r="4" spans="1:14" ht="15.75" x14ac:dyDescent="0.25">
      <c r="A4" s="637" t="s">
        <v>21</v>
      </c>
      <c r="B4" s="583"/>
      <c r="C4" s="583"/>
      <c r="D4" s="584"/>
      <c r="E4" s="761"/>
      <c r="F4" s="584"/>
      <c r="G4" s="584"/>
      <c r="K4" s="1416" t="s">
        <v>770</v>
      </c>
      <c r="L4" s="1363">
        <f>G188+G255</f>
        <v>37500</v>
      </c>
      <c r="M4" s="1363">
        <v>37500</v>
      </c>
      <c r="N4" s="1416" t="b">
        <f t="shared" si="0"/>
        <v>1</v>
      </c>
    </row>
    <row r="5" spans="1:14" ht="15.75" x14ac:dyDescent="0.25">
      <c r="A5" s="583"/>
      <c r="B5" s="583"/>
      <c r="C5" s="583"/>
      <c r="D5" s="584"/>
      <c r="E5" s="761"/>
      <c r="F5" s="584"/>
      <c r="G5" s="584"/>
      <c r="K5" s="1001" t="s">
        <v>1966</v>
      </c>
      <c r="L5" s="1363">
        <f>G51+G81</f>
        <v>610906.34</v>
      </c>
      <c r="M5" s="1363">
        <f>229824.32+374972.97+6109.05</f>
        <v>610906.34</v>
      </c>
      <c r="N5" s="1416" t="b">
        <f t="shared" si="0"/>
        <v>1</v>
      </c>
    </row>
    <row r="6" spans="1:14" ht="15.75" x14ac:dyDescent="0.25">
      <c r="A6" s="637" t="s">
        <v>24</v>
      </c>
      <c r="B6" s="637"/>
      <c r="C6" s="637"/>
      <c r="D6" s="651"/>
      <c r="E6" s="762"/>
      <c r="F6" s="651"/>
      <c r="G6" s="591">
        <f>G8+G25</f>
        <v>14845846.34</v>
      </c>
      <c r="H6" s="551" t="b">
        <f>G6=M13</f>
        <v>1</v>
      </c>
      <c r="K6" s="1416" t="s">
        <v>1967</v>
      </c>
      <c r="L6" s="1363">
        <f>G103</f>
        <v>240000</v>
      </c>
      <c r="M6" s="1363">
        <v>240000</v>
      </c>
      <c r="N6" s="1416" t="b">
        <f t="shared" si="0"/>
        <v>1</v>
      </c>
    </row>
    <row r="7" spans="1:14" ht="15.75" x14ac:dyDescent="0.25">
      <c r="A7" s="637"/>
      <c r="B7" s="637"/>
      <c r="C7" s="637"/>
      <c r="D7" s="651"/>
      <c r="E7" s="762"/>
      <c r="F7" s="651"/>
      <c r="G7" s="591"/>
      <c r="K7" s="1416"/>
      <c r="L7" s="1363"/>
      <c r="M7" s="1363"/>
      <c r="N7" s="1416"/>
    </row>
    <row r="8" spans="1:14" ht="15.75" customHeight="1" x14ac:dyDescent="0.25">
      <c r="A8" s="2387" t="s">
        <v>1970</v>
      </c>
      <c r="B8" s="2387"/>
      <c r="C8" s="2387"/>
      <c r="D8" s="2387"/>
      <c r="E8" s="2387"/>
      <c r="F8" s="2387"/>
      <c r="G8" s="646">
        <f>G10+G16</f>
        <v>14808346.34</v>
      </c>
      <c r="H8" s="1459"/>
      <c r="I8" s="565"/>
      <c r="K8" s="1416" t="s">
        <v>1968</v>
      </c>
      <c r="L8" s="1363">
        <f>G59+G91</f>
        <v>156240</v>
      </c>
      <c r="M8" s="1363">
        <v>156240</v>
      </c>
      <c r="N8" s="1416" t="b">
        <f t="shared" si="0"/>
        <v>1</v>
      </c>
    </row>
    <row r="9" spans="1:14" ht="15.75" x14ac:dyDescent="0.25">
      <c r="A9" s="1492"/>
      <c r="B9" s="1492"/>
      <c r="C9" s="1492"/>
      <c r="D9" s="1492"/>
      <c r="E9" s="1492"/>
      <c r="F9" s="1492"/>
      <c r="G9" s="646"/>
      <c r="H9" s="341"/>
      <c r="K9" s="1416" t="s">
        <v>1969</v>
      </c>
      <c r="L9" s="1363">
        <f>G151+G179</f>
        <v>0</v>
      </c>
      <c r="M9" s="1363"/>
      <c r="N9" s="1416" t="b">
        <f>L9=M9</f>
        <v>1</v>
      </c>
    </row>
    <row r="10" spans="1:14" ht="21.75" customHeight="1" x14ac:dyDescent="0.25">
      <c r="A10" s="2388" t="s">
        <v>1971</v>
      </c>
      <c r="B10" s="2412"/>
      <c r="C10" s="2412"/>
      <c r="D10" s="2412"/>
      <c r="E10" s="2412"/>
      <c r="F10" s="2412"/>
      <c r="G10" s="1493">
        <f>G12+G13+G15</f>
        <v>14568346.34</v>
      </c>
      <c r="H10" s="1459"/>
      <c r="K10" s="1416"/>
      <c r="L10" s="1363"/>
      <c r="M10" s="1363"/>
      <c r="N10" s="1416" t="b">
        <f>L10=M10</f>
        <v>1</v>
      </c>
    </row>
    <row r="11" spans="1:14" ht="15.75" hidden="1" x14ac:dyDescent="0.25">
      <c r="A11" s="2390" t="s">
        <v>758</v>
      </c>
      <c r="B11" s="2390"/>
      <c r="C11" s="2390"/>
      <c r="D11" s="2390"/>
      <c r="E11" s="2390"/>
      <c r="F11" s="2390"/>
      <c r="G11" s="1494">
        <v>0</v>
      </c>
      <c r="H11" s="1459"/>
      <c r="K11" s="1416" t="s">
        <v>1497</v>
      </c>
      <c r="L11" s="1363">
        <f>G197+G217</f>
        <v>0</v>
      </c>
      <c r="M11" s="1363"/>
      <c r="N11" s="1416" t="b">
        <f>L11=M11</f>
        <v>1</v>
      </c>
    </row>
    <row r="12" spans="1:14" ht="36.75" customHeight="1" x14ac:dyDescent="0.25">
      <c r="A12" s="2390" t="s">
        <v>1972</v>
      </c>
      <c r="B12" s="2390"/>
      <c r="C12" s="2390"/>
      <c r="D12" s="2390"/>
      <c r="E12" s="2390"/>
      <c r="F12" s="2390"/>
      <c r="G12" s="1494">
        <f>G44+G71</f>
        <v>13801200</v>
      </c>
      <c r="H12" s="81" t="b">
        <f>G12=M3</f>
        <v>1</v>
      </c>
      <c r="M12" s="510">
        <f>SUM(M2:M11)</f>
        <v>14845846.34</v>
      </c>
    </row>
    <row r="13" spans="1:14" ht="38.25" customHeight="1" x14ac:dyDescent="0.25">
      <c r="A13" s="2390" t="s">
        <v>1973</v>
      </c>
      <c r="B13" s="2390"/>
      <c r="C13" s="2390"/>
      <c r="D13" s="2390"/>
      <c r="E13" s="2390"/>
      <c r="F13" s="2390"/>
      <c r="G13" s="1494">
        <f>G51+G81</f>
        <v>610906.34</v>
      </c>
      <c r="H13" s="81" t="b">
        <f>G13=M5</f>
        <v>1</v>
      </c>
      <c r="M13" s="1496">
        <v>14845846.34</v>
      </c>
      <c r="N13" s="551" t="b">
        <f>M12=M13</f>
        <v>1</v>
      </c>
    </row>
    <row r="14" spans="1:14" ht="54.75" hidden="1" customHeight="1" x14ac:dyDescent="0.25">
      <c r="A14" s="2390" t="s">
        <v>1974</v>
      </c>
      <c r="B14" s="2390"/>
      <c r="C14" s="2390"/>
      <c r="D14" s="2390"/>
      <c r="E14" s="2390"/>
      <c r="F14" s="2390"/>
      <c r="G14" s="1494">
        <f>G250</f>
        <v>0</v>
      </c>
      <c r="H14" s="81"/>
      <c r="M14" s="551" t="b">
        <f>M12=M13</f>
        <v>1</v>
      </c>
    </row>
    <row r="15" spans="1:14" ht="48" customHeight="1" x14ac:dyDescent="0.25">
      <c r="A15" s="2413" t="s">
        <v>1975</v>
      </c>
      <c r="B15" s="2413"/>
      <c r="C15" s="2413"/>
      <c r="D15" s="2413"/>
      <c r="E15" s="2413"/>
      <c r="F15" s="2413"/>
      <c r="G15" s="585">
        <f>G59+G91</f>
        <v>156240</v>
      </c>
      <c r="H15" s="81" t="b">
        <f>G15=M8</f>
        <v>1</v>
      </c>
    </row>
    <row r="16" spans="1:14" ht="50.25" customHeight="1" x14ac:dyDescent="0.25">
      <c r="A16" s="2388" t="s">
        <v>1976</v>
      </c>
      <c r="B16" s="2412"/>
      <c r="C16" s="2412"/>
      <c r="D16" s="2412"/>
      <c r="E16" s="2412"/>
      <c r="F16" s="2412"/>
      <c r="G16" s="1495">
        <f>G17+G23+G24+G21</f>
        <v>240000</v>
      </c>
      <c r="H16" s="1459"/>
    </row>
    <row r="17" spans="1:13" ht="53.25" hidden="1" customHeight="1" x14ac:dyDescent="0.25">
      <c r="A17" s="2390" t="s">
        <v>1977</v>
      </c>
      <c r="B17" s="2390"/>
      <c r="C17" s="2390"/>
      <c r="D17" s="2390"/>
      <c r="E17" s="2390"/>
      <c r="F17" s="2390"/>
      <c r="G17" s="1494">
        <f>G151+G179</f>
        <v>0</v>
      </c>
      <c r="H17" s="1452" t="b">
        <f>G17=M9</f>
        <v>1</v>
      </c>
      <c r="M17" s="579"/>
    </row>
    <row r="18" spans="1:13" ht="18" hidden="1" customHeight="1" x14ac:dyDescent="0.25">
      <c r="A18" s="2390" t="s">
        <v>1978</v>
      </c>
      <c r="B18" s="2390"/>
      <c r="C18" s="2390"/>
      <c r="D18" s="2390"/>
      <c r="E18" s="2390"/>
      <c r="F18" s="2390"/>
      <c r="G18" s="1494"/>
      <c r="H18" s="1459"/>
      <c r="I18" s="565"/>
      <c r="M18" s="579"/>
    </row>
    <row r="19" spans="1:13" ht="21.75" hidden="1" customHeight="1" x14ac:dyDescent="0.25">
      <c r="A19" s="2392" t="s">
        <v>1979</v>
      </c>
      <c r="B19" s="2392"/>
      <c r="C19" s="2392"/>
      <c r="D19" s="2392"/>
      <c r="E19" s="2392"/>
      <c r="F19" s="2392"/>
      <c r="G19" s="1494"/>
      <c r="H19" s="1459"/>
      <c r="I19" s="565"/>
      <c r="M19" s="579"/>
    </row>
    <row r="20" spans="1:13" ht="15.75" hidden="1" customHeight="1" x14ac:dyDescent="0.25">
      <c r="A20" s="2392" t="s">
        <v>756</v>
      </c>
      <c r="B20" s="2392"/>
      <c r="C20" s="2392"/>
      <c r="D20" s="2392"/>
      <c r="E20" s="2392"/>
      <c r="F20" s="2392"/>
      <c r="G20" s="1494"/>
      <c r="H20" s="1459"/>
      <c r="I20" s="565"/>
    </row>
    <row r="21" spans="1:13" ht="15.75" hidden="1" customHeight="1" x14ac:dyDescent="0.25">
      <c r="A21" s="2392" t="s">
        <v>1506</v>
      </c>
      <c r="B21" s="2392"/>
      <c r="C21" s="2392"/>
      <c r="D21" s="2392"/>
      <c r="E21" s="2392"/>
      <c r="F21" s="2392"/>
      <c r="G21" s="1494">
        <f>G197+G217</f>
        <v>0</v>
      </c>
      <c r="H21" s="341" t="b">
        <f>G21=M11</f>
        <v>1</v>
      </c>
      <c r="I21" s="565"/>
    </row>
    <row r="22" spans="1:13" ht="39.75" hidden="1" customHeight="1" x14ac:dyDescent="0.25">
      <c r="A22" s="2390" t="s">
        <v>1980</v>
      </c>
      <c r="B22" s="2390"/>
      <c r="C22" s="2390"/>
      <c r="D22" s="2390"/>
      <c r="E22" s="2390"/>
      <c r="F22" s="2390"/>
      <c r="G22" s="1494"/>
      <c r="H22" s="1459"/>
    </row>
    <row r="23" spans="1:13" ht="21" hidden="1" customHeight="1" x14ac:dyDescent="0.25">
      <c r="A23" s="2390" t="s">
        <v>1981</v>
      </c>
      <c r="B23" s="2390"/>
      <c r="C23" s="2390"/>
      <c r="D23" s="2390"/>
      <c r="E23" s="2390"/>
      <c r="F23" s="2390"/>
      <c r="G23" s="1494">
        <f>G113</f>
        <v>0</v>
      </c>
      <c r="H23" s="1459" t="b">
        <f>G23=M2</f>
        <v>1</v>
      </c>
    </row>
    <row r="24" spans="1:13" ht="33" customHeight="1" x14ac:dyDescent="0.25">
      <c r="A24" s="2390" t="s">
        <v>1982</v>
      </c>
      <c r="B24" s="2390"/>
      <c r="C24" s="2390"/>
      <c r="D24" s="2390"/>
      <c r="E24" s="2390"/>
      <c r="F24" s="2390"/>
      <c r="G24" s="1494">
        <f>G101</f>
        <v>240000</v>
      </c>
      <c r="H24" s="1452" t="b">
        <f>G24=M6</f>
        <v>1</v>
      </c>
      <c r="K24" s="108"/>
      <c r="L24" s="108"/>
    </row>
    <row r="25" spans="1:13" ht="36" customHeight="1" x14ac:dyDescent="0.25">
      <c r="A25" s="2387" t="s">
        <v>1983</v>
      </c>
      <c r="B25" s="2387"/>
      <c r="C25" s="2387"/>
      <c r="D25" s="2387"/>
      <c r="E25" s="2387"/>
      <c r="F25" s="2387"/>
      <c r="G25" s="646">
        <f>G27</f>
        <v>37500</v>
      </c>
      <c r="H25" s="694"/>
      <c r="K25" s="108"/>
      <c r="L25" s="108"/>
    </row>
    <row r="26" spans="1:13" ht="49.5" customHeight="1" x14ac:dyDescent="0.25">
      <c r="A26" s="2388" t="s">
        <v>1984</v>
      </c>
      <c r="B26" s="2388"/>
      <c r="C26" s="2388"/>
      <c r="D26" s="2388"/>
      <c r="E26" s="2388"/>
      <c r="F26" s="2388"/>
      <c r="G26" s="1493">
        <f>G27</f>
        <v>37500</v>
      </c>
      <c r="H26" s="694"/>
      <c r="K26" s="108"/>
      <c r="L26" s="108"/>
    </row>
    <row r="27" spans="1:13" ht="34.5" customHeight="1" x14ac:dyDescent="0.25">
      <c r="A27" s="2390" t="s">
        <v>1985</v>
      </c>
      <c r="B27" s="2390"/>
      <c r="C27" s="2390"/>
      <c r="D27" s="2390"/>
      <c r="E27" s="2390"/>
      <c r="F27" s="2390"/>
      <c r="G27" s="1494">
        <f>G188+G236</f>
        <v>37500</v>
      </c>
      <c r="H27" s="1452" t="b">
        <f>G27=M4</f>
        <v>1</v>
      </c>
      <c r="K27" s="108"/>
      <c r="L27" s="108"/>
    </row>
    <row r="28" spans="1:13" ht="15.75" x14ac:dyDescent="0.25">
      <c r="A28" s="1448"/>
      <c r="B28" s="1448"/>
      <c r="C28" s="1448"/>
      <c r="D28" s="1448"/>
      <c r="E28" s="1448"/>
      <c r="F28" s="1448"/>
      <c r="G28" s="585"/>
      <c r="H28" s="561"/>
      <c r="K28" s="108"/>
      <c r="L28" s="108"/>
    </row>
    <row r="29" spans="1:13" ht="15.75" x14ac:dyDescent="0.25">
      <c r="A29" s="1448"/>
      <c r="B29" s="1448"/>
      <c r="C29" s="1448"/>
      <c r="D29" s="1448"/>
      <c r="E29" s="1448"/>
      <c r="F29" s="1448"/>
      <c r="G29" s="585"/>
      <c r="H29" s="561"/>
      <c r="K29" s="108" t="s">
        <v>305</v>
      </c>
      <c r="L29" s="108" t="s">
        <v>236</v>
      </c>
    </row>
    <row r="30" spans="1:13" x14ac:dyDescent="0.25">
      <c r="A30" s="1446"/>
      <c r="B30" s="1445"/>
      <c r="C30" s="1445"/>
      <c r="D30" s="1445"/>
      <c r="E30" s="1445"/>
      <c r="F30" s="1445"/>
      <c r="G30" s="511"/>
      <c r="K30" s="108">
        <f>G40+G67+G101+G113+G148</f>
        <v>14845846.34</v>
      </c>
      <c r="L30" s="108">
        <f>G42+G69+G102+G114+G150+G177+G216+G236</f>
        <v>14845846.34</v>
      </c>
    </row>
    <row r="31" spans="1:13" x14ac:dyDescent="0.25">
      <c r="A31" s="507" t="s">
        <v>25</v>
      </c>
      <c r="G31" s="511">
        <f>G32</f>
        <v>14845846.34</v>
      </c>
      <c r="K31" s="108" t="b">
        <f>M13=K30</f>
        <v>1</v>
      </c>
      <c r="L31" s="108" t="b">
        <f>L30=M13</f>
        <v>1</v>
      </c>
    </row>
    <row r="32" spans="1:13" x14ac:dyDescent="0.25">
      <c r="A32" s="507" t="s">
        <v>31</v>
      </c>
      <c r="G32" s="511">
        <f>G33</f>
        <v>14845846.34</v>
      </c>
      <c r="K32" s="565"/>
      <c r="L32" s="565"/>
    </row>
    <row r="33" spans="1:12" x14ac:dyDescent="0.25">
      <c r="A33" s="507" t="s">
        <v>1373</v>
      </c>
      <c r="G33" s="511">
        <f>G36+G111+G142+G143+G144+G145</f>
        <v>14845846.34</v>
      </c>
    </row>
    <row r="34" spans="1:12" x14ac:dyDescent="0.25">
      <c r="A34" s="507"/>
      <c r="G34" s="511"/>
    </row>
    <row r="35" spans="1:12" hidden="1" x14ac:dyDescent="0.25">
      <c r="A35" s="507" t="s">
        <v>1232</v>
      </c>
      <c r="G35" s="506"/>
    </row>
    <row r="36" spans="1:12" s="595" customFormat="1" x14ac:dyDescent="0.25">
      <c r="A36" s="652" t="s">
        <v>1233</v>
      </c>
      <c r="B36" s="652"/>
      <c r="C36" s="652"/>
      <c r="D36" s="653"/>
      <c r="E36" s="1516"/>
      <c r="F36" s="653"/>
      <c r="G36" s="654">
        <f>G40+G101+G67</f>
        <v>14808346.34</v>
      </c>
    </row>
    <row r="37" spans="1:12" hidden="1" x14ac:dyDescent="0.25">
      <c r="A37" s="1449" t="s">
        <v>312</v>
      </c>
      <c r="G37" s="506"/>
    </row>
    <row r="38" spans="1:12" hidden="1" x14ac:dyDescent="0.25">
      <c r="A38" s="1449" t="s">
        <v>313</v>
      </c>
      <c r="D38" s="1449"/>
      <c r="E38" s="505"/>
      <c r="F38" s="506"/>
      <c r="G38" s="506"/>
      <c r="H38" s="565"/>
      <c r="I38" s="565"/>
      <c r="J38" s="565"/>
    </row>
    <row r="39" spans="1:12" x14ac:dyDescent="0.25">
      <c r="A39" s="507"/>
      <c r="D39" s="1449"/>
      <c r="E39" s="505"/>
      <c r="F39" s="506"/>
      <c r="G39" s="506"/>
      <c r="H39" s="565"/>
      <c r="I39" s="565"/>
      <c r="J39" s="565"/>
    </row>
    <row r="40" spans="1:12" s="61" customFormat="1" x14ac:dyDescent="0.25">
      <c r="A40" s="1458" t="s">
        <v>1986</v>
      </c>
      <c r="B40" s="1457"/>
      <c r="C40" s="1497" t="s">
        <v>65</v>
      </c>
      <c r="D40" s="1458"/>
      <c r="E40" s="1457"/>
      <c r="F40" s="60"/>
      <c r="G40" s="1002">
        <f>G42</f>
        <v>11189206.1</v>
      </c>
      <c r="H40" s="60"/>
      <c r="I40" s="85"/>
      <c r="J40" s="1452"/>
      <c r="K40" s="1452"/>
      <c r="L40" s="1452"/>
    </row>
    <row r="41" spans="1:12" s="61" customFormat="1" x14ac:dyDescent="0.25">
      <c r="A41" s="1458"/>
      <c r="B41" s="1457"/>
      <c r="C41" s="1497"/>
      <c r="D41" s="1458"/>
      <c r="E41" s="1457"/>
      <c r="F41" s="60"/>
      <c r="G41" s="1002"/>
      <c r="H41" s="60"/>
      <c r="I41" s="85"/>
      <c r="J41" s="1452"/>
      <c r="K41" s="1452"/>
      <c r="L41" s="1452"/>
    </row>
    <row r="42" spans="1:12" s="61" customFormat="1" x14ac:dyDescent="0.25">
      <c r="A42" s="1458" t="s">
        <v>1987</v>
      </c>
      <c r="B42" s="1457"/>
      <c r="C42" s="1497" t="s">
        <v>64</v>
      </c>
      <c r="D42" s="394"/>
      <c r="E42" s="1457"/>
      <c r="F42" s="60"/>
      <c r="G42" s="1002">
        <f>G44+G51+G59</f>
        <v>11189206.1</v>
      </c>
      <c r="H42" s="60"/>
      <c r="I42" s="85"/>
      <c r="J42" s="1452"/>
      <c r="K42" s="1452"/>
      <c r="L42" s="1452"/>
    </row>
    <row r="43" spans="1:12" s="61" customFormat="1" x14ac:dyDescent="0.25">
      <c r="A43" s="1458"/>
      <c r="B43" s="1457"/>
      <c r="C43" s="1497"/>
      <c r="D43" s="394"/>
      <c r="E43" s="1457"/>
      <c r="F43" s="60"/>
      <c r="G43" s="1002"/>
      <c r="H43" s="60"/>
      <c r="I43" s="85"/>
      <c r="J43" s="1452"/>
      <c r="K43" s="1452"/>
      <c r="L43" s="1452"/>
    </row>
    <row r="44" spans="1:12" s="1004" customFormat="1" x14ac:dyDescent="0.25">
      <c r="A44" s="1011" t="s">
        <v>1503</v>
      </c>
      <c r="B44" s="1011"/>
      <c r="C44" s="2401" t="s">
        <v>1965</v>
      </c>
      <c r="D44" s="2420"/>
      <c r="E44" s="1498"/>
      <c r="F44" s="1498"/>
      <c r="G44" s="1002">
        <f>G49</f>
        <v>10600000</v>
      </c>
      <c r="H44" s="883">
        <f>M3</f>
        <v>13801200</v>
      </c>
      <c r="I44" s="1362">
        <f>G49+G79</f>
        <v>13801200</v>
      </c>
      <c r="J44" s="1071">
        <f>H44-I44</f>
        <v>0</v>
      </c>
      <c r="K44" s="1003"/>
    </row>
    <row r="45" spans="1:12" s="1004" customFormat="1" x14ac:dyDescent="0.25">
      <c r="A45" s="1011" t="s">
        <v>1504</v>
      </c>
      <c r="B45" s="1011"/>
      <c r="C45" s="2401" t="s">
        <v>1988</v>
      </c>
      <c r="D45" s="2420"/>
      <c r="E45" s="1498"/>
      <c r="F45" s="1498"/>
      <c r="G45" s="1498"/>
      <c r="H45" s="893"/>
      <c r="I45" s="1003"/>
      <c r="J45" s="1003"/>
      <c r="K45" s="1003"/>
    </row>
    <row r="46" spans="1:12" s="61" customFormat="1" ht="32.25" customHeight="1" x14ac:dyDescent="0.25">
      <c r="A46" s="1896" t="s">
        <v>1989</v>
      </c>
      <c r="B46" s="2421"/>
      <c r="C46" s="2421"/>
      <c r="D46" s="2421"/>
      <c r="E46" s="2421"/>
      <c r="F46" s="2421"/>
      <c r="G46" s="2421"/>
      <c r="H46" s="60"/>
      <c r="I46" s="69"/>
      <c r="J46" s="1452"/>
      <c r="K46" s="1452"/>
      <c r="L46" s="1452"/>
    </row>
    <row r="47" spans="1:12" s="1004" customFormat="1" ht="33.75" customHeight="1" x14ac:dyDescent="0.25">
      <c r="A47" s="1460" t="s">
        <v>8</v>
      </c>
      <c r="B47" s="2414" t="s">
        <v>35</v>
      </c>
      <c r="C47" s="2415"/>
      <c r="D47" s="2415"/>
      <c r="E47" s="2415"/>
      <c r="F47" s="2416"/>
      <c r="G47" s="1460" t="s">
        <v>297</v>
      </c>
      <c r="H47" s="1003"/>
      <c r="I47" s="1003"/>
    </row>
    <row r="48" spans="1:12" s="1004" customFormat="1" x14ac:dyDescent="0.25">
      <c r="A48" s="1461">
        <v>1</v>
      </c>
      <c r="B48" s="2391" t="s">
        <v>289</v>
      </c>
      <c r="C48" s="2073"/>
      <c r="D48" s="2073"/>
      <c r="E48" s="2073"/>
      <c r="F48" s="2074"/>
      <c r="G48" s="1426">
        <v>10600000</v>
      </c>
      <c r="H48" s="1003"/>
      <c r="I48" s="1003"/>
      <c r="J48" s="1499"/>
      <c r="K48" s="1499"/>
      <c r="L48" s="1499"/>
    </row>
    <row r="49" spans="1:13" s="1004" customFormat="1" ht="15" customHeight="1" x14ac:dyDescent="0.25">
      <c r="A49" s="2417" t="s">
        <v>786</v>
      </c>
      <c r="B49" s="2418"/>
      <c r="C49" s="2418"/>
      <c r="D49" s="2418"/>
      <c r="E49" s="2418"/>
      <c r="F49" s="2419"/>
      <c r="G49" s="1500">
        <f>G48</f>
        <v>10600000</v>
      </c>
      <c r="H49" s="1501"/>
      <c r="I49" s="1003"/>
      <c r="J49" s="1499"/>
      <c r="K49" s="1499"/>
      <c r="L49" s="1499"/>
    </row>
    <row r="50" spans="1:13" s="1010" customFormat="1" x14ac:dyDescent="0.2">
      <c r="A50" s="1502"/>
      <c r="B50" s="1502"/>
      <c r="C50" s="1502"/>
      <c r="D50" s="1502"/>
      <c r="E50" s="1502"/>
      <c r="F50" s="1502"/>
      <c r="G50" s="1503"/>
      <c r="H50" s="694"/>
      <c r="I50" s="1009"/>
      <c r="J50" s="1504"/>
      <c r="K50" s="1504"/>
      <c r="L50" s="1505"/>
      <c r="M50" s="774"/>
    </row>
    <row r="51" spans="1:13" s="1010" customFormat="1" ht="15" customHeight="1" x14ac:dyDescent="0.25">
      <c r="A51" s="1011" t="s">
        <v>1503</v>
      </c>
      <c r="B51" s="1011"/>
      <c r="C51" s="2401" t="s">
        <v>1966</v>
      </c>
      <c r="D51" s="2420"/>
      <c r="E51" s="1498"/>
      <c r="F51" s="1498"/>
      <c r="G51" s="1002">
        <f>G56</f>
        <v>469206.1</v>
      </c>
      <c r="H51" s="883">
        <f>M5</f>
        <v>610906.34</v>
      </c>
      <c r="I51" s="1362">
        <f>G57+G89</f>
        <v>610906.34</v>
      </c>
      <c r="J51" s="1071">
        <f>H51-I51</f>
        <v>0</v>
      </c>
      <c r="K51" s="1504"/>
      <c r="L51" s="1505"/>
      <c r="M51" s="774"/>
    </row>
    <row r="52" spans="1:13" s="1010" customFormat="1" ht="15" customHeight="1" x14ac:dyDescent="0.2">
      <c r="A52" s="1011" t="s">
        <v>1504</v>
      </c>
      <c r="B52" s="1011"/>
      <c r="C52" s="2401" t="s">
        <v>1990</v>
      </c>
      <c r="D52" s="2420"/>
      <c r="E52" s="1498"/>
      <c r="F52" s="1498"/>
      <c r="G52" s="1498"/>
      <c r="H52" s="694"/>
      <c r="I52" s="1009"/>
      <c r="J52" s="1504"/>
      <c r="K52" s="1504"/>
      <c r="L52" s="1505"/>
      <c r="M52" s="774"/>
    </row>
    <row r="53" spans="1:13" s="1010" customFormat="1" ht="33.75" customHeight="1" x14ac:dyDescent="0.2">
      <c r="A53" s="1896" t="s">
        <v>1991</v>
      </c>
      <c r="B53" s="2421"/>
      <c r="C53" s="2421"/>
      <c r="D53" s="2421"/>
      <c r="E53" s="2421"/>
      <c r="F53" s="2421"/>
      <c r="G53" s="2421"/>
      <c r="H53" s="694"/>
      <c r="I53" s="1009"/>
      <c r="J53" s="1504"/>
      <c r="K53" s="1504"/>
      <c r="L53" s="1505"/>
      <c r="M53" s="774"/>
    </row>
    <row r="54" spans="1:13" s="1010" customFormat="1" ht="28.5" customHeight="1" x14ac:dyDescent="0.2">
      <c r="A54" s="1460" t="s">
        <v>8</v>
      </c>
      <c r="B54" s="2414" t="s">
        <v>35</v>
      </c>
      <c r="C54" s="2415"/>
      <c r="D54" s="2415"/>
      <c r="E54" s="2415"/>
      <c r="F54" s="2416"/>
      <c r="G54" s="1460" t="s">
        <v>297</v>
      </c>
      <c r="H54" s="694"/>
      <c r="I54" s="1009"/>
      <c r="J54" s="1504"/>
      <c r="K54" s="1504"/>
      <c r="L54" s="1505"/>
      <c r="M54" s="774"/>
    </row>
    <row r="55" spans="1:13" s="1010" customFormat="1" hidden="1" x14ac:dyDescent="0.2">
      <c r="A55" s="1461">
        <v>1</v>
      </c>
      <c r="B55" s="2391" t="s">
        <v>288</v>
      </c>
      <c r="C55" s="2073"/>
      <c r="D55" s="2073"/>
      <c r="E55" s="2073"/>
      <c r="F55" s="2074"/>
      <c r="G55" s="1426">
        <f>G56/12</f>
        <v>39100.51</v>
      </c>
      <c r="H55" s="694"/>
      <c r="I55" s="1009"/>
      <c r="J55" s="1504"/>
      <c r="K55" s="1504"/>
      <c r="L55" s="1505"/>
      <c r="M55" s="774"/>
    </row>
    <row r="56" spans="1:13" s="1010" customFormat="1" x14ac:dyDescent="0.2">
      <c r="A56" s="1461">
        <v>1</v>
      </c>
      <c r="B56" s="2391" t="s">
        <v>289</v>
      </c>
      <c r="C56" s="2073"/>
      <c r="D56" s="2073"/>
      <c r="E56" s="2073"/>
      <c r="F56" s="2074"/>
      <c r="G56" s="1426">
        <v>469206.1</v>
      </c>
      <c r="H56" s="694"/>
      <c r="I56" s="1009"/>
      <c r="J56" s="1504"/>
      <c r="K56" s="1504"/>
      <c r="L56" s="1505"/>
      <c r="M56" s="774"/>
    </row>
    <row r="57" spans="1:13" s="1010" customFormat="1" x14ac:dyDescent="0.2">
      <c r="A57" s="2417" t="s">
        <v>786</v>
      </c>
      <c r="B57" s="2418"/>
      <c r="C57" s="2418"/>
      <c r="D57" s="2418"/>
      <c r="E57" s="2418"/>
      <c r="F57" s="2419"/>
      <c r="G57" s="1500">
        <f>G56</f>
        <v>469206.1</v>
      </c>
      <c r="H57" s="694"/>
      <c r="I57" s="1009"/>
      <c r="J57" s="1504"/>
      <c r="K57" s="1504"/>
      <c r="L57" s="1505"/>
      <c r="M57" s="774"/>
    </row>
    <row r="58" spans="1:13" s="1010" customFormat="1" x14ac:dyDescent="0.2">
      <c r="A58" s="1502"/>
      <c r="B58" s="1502"/>
      <c r="C58" s="1502"/>
      <c r="D58" s="1502"/>
      <c r="E58" s="1502"/>
      <c r="F58" s="1502"/>
      <c r="G58" s="1503"/>
      <c r="H58" s="694"/>
      <c r="I58" s="1009"/>
      <c r="J58" s="1504"/>
      <c r="K58" s="1504"/>
      <c r="L58" s="1505"/>
      <c r="M58" s="774"/>
    </row>
    <row r="59" spans="1:13" s="1010" customFormat="1" x14ac:dyDescent="0.2">
      <c r="A59" s="507" t="s">
        <v>26</v>
      </c>
      <c r="B59" s="507"/>
      <c r="C59" s="587" t="s">
        <v>1968</v>
      </c>
      <c r="D59" s="1449"/>
      <c r="E59" s="505"/>
      <c r="F59" s="506"/>
      <c r="G59" s="511">
        <f>G64</f>
        <v>120000</v>
      </c>
      <c r="H59" s="565"/>
      <c r="I59" s="565"/>
      <c r="J59" s="1504"/>
      <c r="K59" s="1504"/>
      <c r="L59" s="1505"/>
      <c r="M59" s="774"/>
    </row>
    <row r="60" spans="1:13" s="1010" customFormat="1" x14ac:dyDescent="0.2">
      <c r="A60" s="507" t="s">
        <v>27</v>
      </c>
      <c r="B60" s="507"/>
      <c r="C60" s="86" t="s">
        <v>1992</v>
      </c>
      <c r="D60" s="1449"/>
      <c r="E60" s="505"/>
      <c r="F60" s="506"/>
      <c r="G60" s="511"/>
      <c r="H60" s="1506"/>
      <c r="I60" s="565"/>
      <c r="J60" s="1504"/>
      <c r="K60" s="1504"/>
      <c r="L60" s="1505"/>
      <c r="M60" s="774"/>
    </row>
    <row r="61" spans="1:13" s="1010" customFormat="1" ht="33" customHeight="1" x14ac:dyDescent="0.2">
      <c r="A61" s="2182" t="s">
        <v>1993</v>
      </c>
      <c r="B61" s="2182"/>
      <c r="C61" s="2182"/>
      <c r="D61" s="2182"/>
      <c r="E61" s="2182"/>
      <c r="F61" s="2182"/>
      <c r="G61" s="2182"/>
      <c r="H61" s="565"/>
      <c r="I61" s="565"/>
      <c r="J61" s="1504"/>
      <c r="K61" s="1504"/>
      <c r="L61" s="1505"/>
      <c r="M61" s="774"/>
    </row>
    <row r="62" spans="1:13" s="1010" customFormat="1" ht="30" x14ac:dyDescent="0.2">
      <c r="A62" s="1410" t="s">
        <v>8</v>
      </c>
      <c r="B62" s="2426" t="s">
        <v>35</v>
      </c>
      <c r="C62" s="2427"/>
      <c r="D62" s="2427"/>
      <c r="E62" s="2427"/>
      <c r="F62" s="2428"/>
      <c r="G62" s="1420" t="s">
        <v>256</v>
      </c>
      <c r="H62" s="565"/>
      <c r="I62" s="565"/>
      <c r="J62" s="1504"/>
      <c r="K62" s="1504"/>
      <c r="L62" s="1505"/>
      <c r="M62" s="774"/>
    </row>
    <row r="63" spans="1:13" s="1010" customFormat="1" x14ac:dyDescent="0.2">
      <c r="A63" s="1127">
        <v>1</v>
      </c>
      <c r="B63" s="2422" t="s">
        <v>1994</v>
      </c>
      <c r="C63" s="2348"/>
      <c r="D63" s="2348"/>
      <c r="E63" s="2348"/>
      <c r="F63" s="2349"/>
      <c r="G63" s="1420">
        <v>120000</v>
      </c>
      <c r="H63" s="553"/>
      <c r="I63" s="553"/>
      <c r="J63" s="1504"/>
      <c r="K63" s="1504"/>
      <c r="L63" s="1505"/>
      <c r="M63" s="774"/>
    </row>
    <row r="64" spans="1:13" s="1010" customFormat="1" x14ac:dyDescent="0.2">
      <c r="A64" s="2423" t="s">
        <v>39</v>
      </c>
      <c r="B64" s="2424"/>
      <c r="C64" s="2424"/>
      <c r="D64" s="2424"/>
      <c r="E64" s="2424"/>
      <c r="F64" s="2425"/>
      <c r="G64" s="1192">
        <f>G63</f>
        <v>120000</v>
      </c>
      <c r="H64" s="564"/>
      <c r="I64" s="739">
        <f>G64-H64</f>
        <v>120000</v>
      </c>
      <c r="J64" s="1504"/>
      <c r="K64" s="1504"/>
      <c r="L64" s="1505"/>
      <c r="M64" s="774"/>
    </row>
    <row r="65" spans="1:13" s="1010" customFormat="1" x14ac:dyDescent="0.2">
      <c r="A65" s="1502"/>
      <c r="B65" s="1502"/>
      <c r="C65" s="1502"/>
      <c r="D65" s="1502"/>
      <c r="E65" s="1502"/>
      <c r="F65" s="1502"/>
      <c r="G65" s="1503"/>
      <c r="H65" s="694"/>
      <c r="I65" s="1009"/>
      <c r="J65" s="1504"/>
      <c r="K65" s="1504"/>
      <c r="L65" s="1505"/>
      <c r="M65" s="774"/>
    </row>
    <row r="66" spans="1:13" s="1010" customFormat="1" ht="28.5" hidden="1" customHeight="1" x14ac:dyDescent="0.2">
      <c r="A66" s="2121" t="s">
        <v>1995</v>
      </c>
      <c r="B66" s="1832"/>
      <c r="C66" s="1832"/>
      <c r="D66" s="1832"/>
      <c r="E66" s="1832"/>
      <c r="F66" s="1832"/>
      <c r="G66" s="1832"/>
      <c r="H66" s="82"/>
      <c r="I66" s="82"/>
      <c r="J66" s="82"/>
      <c r="K66" s="1504"/>
      <c r="L66" s="1505"/>
      <c r="M66" s="774"/>
    </row>
    <row r="67" spans="1:13" s="1010" customFormat="1" x14ac:dyDescent="0.2">
      <c r="A67" s="1458" t="s">
        <v>1986</v>
      </c>
      <c r="B67" s="1457"/>
      <c r="C67" s="1497" t="s">
        <v>72</v>
      </c>
      <c r="D67" s="1458"/>
      <c r="E67" s="1457"/>
      <c r="F67" s="60"/>
      <c r="G67" s="1002">
        <f>G69</f>
        <v>3379140.24</v>
      </c>
      <c r="H67" s="694"/>
      <c r="I67" s="1009"/>
      <c r="J67" s="1507"/>
      <c r="K67" s="1507"/>
      <c r="L67" s="1505"/>
      <c r="M67" s="774"/>
    </row>
    <row r="68" spans="1:13" s="1010" customFormat="1" x14ac:dyDescent="0.2">
      <c r="A68" s="1458"/>
      <c r="B68" s="1457"/>
      <c r="C68" s="1497"/>
      <c r="D68" s="1458"/>
      <c r="E68" s="1457"/>
      <c r="F68" s="60"/>
      <c r="G68" s="1002"/>
      <c r="H68" s="694"/>
      <c r="I68" s="1009"/>
      <c r="J68" s="1507"/>
      <c r="K68" s="1507"/>
      <c r="L68" s="1505"/>
      <c r="M68" s="774"/>
    </row>
    <row r="69" spans="1:13" s="1010" customFormat="1" x14ac:dyDescent="0.2">
      <c r="A69" s="1458" t="s">
        <v>1987</v>
      </c>
      <c r="B69" s="1457"/>
      <c r="C69" s="1497" t="s">
        <v>74</v>
      </c>
      <c r="D69" s="394"/>
      <c r="E69" s="1457"/>
      <c r="F69" s="60"/>
      <c r="G69" s="1002">
        <f>G71+G81+G91</f>
        <v>3379140.24</v>
      </c>
      <c r="H69" s="694"/>
      <c r="I69" s="1009"/>
      <c r="J69" s="1507"/>
      <c r="K69" s="1507"/>
      <c r="L69" s="1505"/>
      <c r="M69" s="774"/>
    </row>
    <row r="70" spans="1:13" s="1010" customFormat="1" x14ac:dyDescent="0.2">
      <c r="A70" s="1458"/>
      <c r="B70" s="1457"/>
      <c r="C70" s="1497"/>
      <c r="D70" s="394"/>
      <c r="E70" s="1457"/>
      <c r="F70" s="60"/>
      <c r="G70" s="1002"/>
      <c r="H70" s="694"/>
      <c r="I70" s="1009"/>
      <c r="J70" s="1507"/>
      <c r="K70" s="1507"/>
      <c r="L70" s="1505"/>
      <c r="M70" s="774"/>
    </row>
    <row r="71" spans="1:13" s="1010" customFormat="1" ht="15" customHeight="1" x14ac:dyDescent="0.2">
      <c r="A71" s="1011" t="s">
        <v>1503</v>
      </c>
      <c r="B71" s="1011"/>
      <c r="C71" s="2401" t="s">
        <v>1965</v>
      </c>
      <c r="D71" s="2420"/>
      <c r="E71" s="1498"/>
      <c r="F71" s="1498"/>
      <c r="G71" s="1002">
        <f>G79</f>
        <v>3201200</v>
      </c>
      <c r="H71" s="694"/>
      <c r="I71" s="1009"/>
      <c r="J71" s="1507"/>
      <c r="K71" s="1507"/>
      <c r="L71" s="1505"/>
      <c r="M71" s="774"/>
    </row>
    <row r="72" spans="1:13" s="1010" customFormat="1" ht="15" customHeight="1" x14ac:dyDescent="0.2">
      <c r="A72" s="1011" t="s">
        <v>1504</v>
      </c>
      <c r="B72" s="1011"/>
      <c r="C72" s="2401" t="s">
        <v>1988</v>
      </c>
      <c r="D72" s="2420"/>
      <c r="E72" s="1498"/>
      <c r="F72" s="1498"/>
      <c r="G72" s="1498"/>
      <c r="H72" s="694"/>
      <c r="I72" s="1009"/>
      <c r="J72" s="1507"/>
      <c r="K72" s="1507"/>
      <c r="L72" s="1505"/>
      <c r="M72" s="774"/>
    </row>
    <row r="73" spans="1:13" s="1010" customFormat="1" x14ac:dyDescent="0.2">
      <c r="A73" s="1457" t="s">
        <v>1996</v>
      </c>
      <c r="B73" s="1457"/>
      <c r="C73" s="1457"/>
      <c r="D73" s="72"/>
      <c r="E73" s="72"/>
      <c r="F73" s="60"/>
      <c r="G73" s="90"/>
      <c r="H73" s="694"/>
      <c r="I73" s="1009"/>
      <c r="J73" s="1507"/>
      <c r="K73" s="1507"/>
      <c r="L73" s="1505"/>
      <c r="M73" s="774"/>
    </row>
    <row r="74" spans="1:13" s="1010" customFormat="1" ht="45" x14ac:dyDescent="0.2">
      <c r="A74" s="1460" t="s">
        <v>8</v>
      </c>
      <c r="B74" s="2414" t="s">
        <v>35</v>
      </c>
      <c r="C74" s="2168"/>
      <c r="D74" s="2169"/>
      <c r="E74" s="1420" t="s">
        <v>1997</v>
      </c>
      <c r="F74" s="1420" t="s">
        <v>53</v>
      </c>
      <c r="G74" s="1420" t="s">
        <v>261</v>
      </c>
      <c r="H74" s="694"/>
      <c r="I74" s="1009"/>
      <c r="J74" s="1507"/>
      <c r="K74" s="1507"/>
      <c r="L74" s="1505"/>
      <c r="M74" s="774"/>
    </row>
    <row r="75" spans="1:13" s="1010" customFormat="1" x14ac:dyDescent="0.2">
      <c r="A75" s="1460">
        <v>1</v>
      </c>
      <c r="B75" s="2429" t="s">
        <v>1606</v>
      </c>
      <c r="C75" s="2163"/>
      <c r="D75" s="2244"/>
      <c r="E75" s="1121" t="s">
        <v>82</v>
      </c>
      <c r="F75" s="1122" t="s">
        <v>82</v>
      </c>
      <c r="G75" s="1124">
        <f>G76</f>
        <v>3180000</v>
      </c>
      <c r="H75" s="694"/>
      <c r="I75" s="1009"/>
      <c r="J75" s="1507"/>
      <c r="K75" s="1507"/>
      <c r="L75" s="1505"/>
      <c r="M75" s="774"/>
    </row>
    <row r="76" spans="1:13" s="1010" customFormat="1" ht="45.75" customHeight="1" x14ac:dyDescent="0.2">
      <c r="A76" s="1460" t="s">
        <v>1607</v>
      </c>
      <c r="B76" s="2429" t="s">
        <v>1608</v>
      </c>
      <c r="C76" s="2163"/>
      <c r="D76" s="2244"/>
      <c r="E76" s="1121">
        <f>G49</f>
        <v>10600000</v>
      </c>
      <c r="F76" s="1122">
        <v>0.3</v>
      </c>
      <c r="G76" s="1420">
        <f>E76*F76</f>
        <v>3180000</v>
      </c>
      <c r="H76" s="78"/>
      <c r="I76" s="1508"/>
      <c r="J76" s="1507"/>
      <c r="K76" s="1507"/>
      <c r="L76" s="1505"/>
      <c r="M76" s="774"/>
    </row>
    <row r="77" spans="1:13" s="1010" customFormat="1" ht="44.25" customHeight="1" x14ac:dyDescent="0.2">
      <c r="A77" s="1460">
        <v>2</v>
      </c>
      <c r="B77" s="2429" t="s">
        <v>1609</v>
      </c>
      <c r="C77" s="2163"/>
      <c r="D77" s="2244"/>
      <c r="E77" s="1121" t="s">
        <v>82</v>
      </c>
      <c r="F77" s="1122" t="s">
        <v>82</v>
      </c>
      <c r="G77" s="1124">
        <f>G78</f>
        <v>21200</v>
      </c>
      <c r="H77" s="694"/>
      <c r="I77" s="1009"/>
      <c r="J77" s="1507"/>
      <c r="K77" s="1507"/>
      <c r="L77" s="1505"/>
      <c r="M77" s="774"/>
    </row>
    <row r="78" spans="1:13" s="1010" customFormat="1" ht="48" customHeight="1" x14ac:dyDescent="0.2">
      <c r="A78" s="1460" t="s">
        <v>1607</v>
      </c>
      <c r="B78" s="2429" t="s">
        <v>1610</v>
      </c>
      <c r="C78" s="2163"/>
      <c r="D78" s="2244"/>
      <c r="E78" s="1121">
        <f>G49</f>
        <v>10600000</v>
      </c>
      <c r="F78" s="1122">
        <v>2E-3</v>
      </c>
      <c r="G78" s="1420">
        <f>E78*F78</f>
        <v>21200</v>
      </c>
      <c r="H78" s="78"/>
      <c r="I78" s="1508"/>
      <c r="J78" s="1504"/>
      <c r="K78" s="1507"/>
      <c r="L78" s="1505"/>
      <c r="M78" s="774"/>
    </row>
    <row r="79" spans="1:13" s="1010" customFormat="1" x14ac:dyDescent="0.25">
      <c r="A79" s="2417" t="s">
        <v>786</v>
      </c>
      <c r="B79" s="2418"/>
      <c r="C79" s="2418"/>
      <c r="D79" s="2418"/>
      <c r="E79" s="2418"/>
      <c r="F79" s="2419"/>
      <c r="G79" s="1500">
        <f>G75+G77</f>
        <v>3201200</v>
      </c>
      <c r="H79" s="1501"/>
      <c r="I79" s="1009"/>
      <c r="J79" s="1507"/>
      <c r="K79" s="1507"/>
      <c r="L79" s="1505"/>
      <c r="M79" s="774"/>
    </row>
    <row r="80" spans="1:13" s="1010" customFormat="1" x14ac:dyDescent="0.2">
      <c r="A80" s="1502"/>
      <c r="B80" s="1502"/>
      <c r="C80" s="1502"/>
      <c r="D80" s="1502"/>
      <c r="E80" s="1502"/>
      <c r="F80" s="1502"/>
      <c r="G80" s="1503"/>
      <c r="H80" s="694"/>
      <c r="I80" s="1009"/>
      <c r="J80" s="1507"/>
      <c r="K80" s="1507"/>
      <c r="L80" s="1505"/>
      <c r="M80" s="774"/>
    </row>
    <row r="81" spans="1:13" s="1010" customFormat="1" ht="15" customHeight="1" x14ac:dyDescent="0.2">
      <c r="A81" s="1011" t="s">
        <v>1503</v>
      </c>
      <c r="B81" s="1011"/>
      <c r="C81" s="2401" t="s">
        <v>1966</v>
      </c>
      <c r="D81" s="2420"/>
      <c r="E81" s="1498"/>
      <c r="F81" s="1498"/>
      <c r="G81" s="1002">
        <f>G89</f>
        <v>141700.24</v>
      </c>
      <c r="H81" s="694"/>
      <c r="I81" s="1009"/>
      <c r="J81" s="1504"/>
      <c r="K81" s="1504"/>
      <c r="L81" s="1505"/>
      <c r="M81" s="774"/>
    </row>
    <row r="82" spans="1:13" s="1010" customFormat="1" ht="15" customHeight="1" x14ac:dyDescent="0.2">
      <c r="A82" s="1011" t="s">
        <v>1504</v>
      </c>
      <c r="B82" s="1011"/>
      <c r="C82" s="2401" t="s">
        <v>1990</v>
      </c>
      <c r="D82" s="2420"/>
      <c r="E82" s="1498"/>
      <c r="F82" s="1498"/>
      <c r="G82" s="1498"/>
      <c r="H82" s="694"/>
      <c r="I82" s="1009"/>
      <c r="J82" s="1504"/>
      <c r="K82" s="1504"/>
      <c r="L82" s="1505"/>
      <c r="M82" s="774"/>
    </row>
    <row r="83" spans="1:13" s="1010" customFormat="1" x14ac:dyDescent="0.2">
      <c r="A83" s="1457" t="s">
        <v>1996</v>
      </c>
      <c r="B83" s="1457"/>
      <c r="C83" s="1457"/>
      <c r="D83" s="72"/>
      <c r="E83" s="72"/>
      <c r="F83" s="60"/>
      <c r="G83" s="90"/>
      <c r="H83" s="694"/>
      <c r="I83" s="1009"/>
      <c r="J83" s="1507"/>
      <c r="K83" s="1507"/>
      <c r="L83" s="1505"/>
      <c r="M83" s="774"/>
    </row>
    <row r="84" spans="1:13" s="1010" customFormat="1" ht="59.25" customHeight="1" x14ac:dyDescent="0.2">
      <c r="A84" s="1460" t="s">
        <v>8</v>
      </c>
      <c r="B84" s="2414" t="s">
        <v>35</v>
      </c>
      <c r="C84" s="2168"/>
      <c r="D84" s="2169"/>
      <c r="E84" s="1420" t="s">
        <v>1997</v>
      </c>
      <c r="F84" s="1420" t="s">
        <v>53</v>
      </c>
      <c r="G84" s="1420" t="s">
        <v>261</v>
      </c>
      <c r="H84" s="694"/>
      <c r="I84" s="1009"/>
      <c r="J84" s="1507"/>
      <c r="K84" s="1507"/>
      <c r="L84" s="1505"/>
      <c r="M84" s="774"/>
    </row>
    <row r="85" spans="1:13" s="1010" customFormat="1" x14ac:dyDescent="0.2">
      <c r="A85" s="1460">
        <v>1</v>
      </c>
      <c r="B85" s="2429" t="s">
        <v>1606</v>
      </c>
      <c r="C85" s="2163"/>
      <c r="D85" s="2244"/>
      <c r="E85" s="1121" t="s">
        <v>82</v>
      </c>
      <c r="F85" s="1122" t="s">
        <v>82</v>
      </c>
      <c r="G85" s="1124">
        <f>G86</f>
        <v>140761.82999999999</v>
      </c>
      <c r="H85" s="694"/>
      <c r="I85" s="1009"/>
      <c r="J85" s="1507"/>
      <c r="K85" s="1507"/>
      <c r="L85" s="1505"/>
      <c r="M85" s="774"/>
    </row>
    <row r="86" spans="1:13" s="1010" customFormat="1" ht="45" customHeight="1" x14ac:dyDescent="0.2">
      <c r="A86" s="1460" t="s">
        <v>1607</v>
      </c>
      <c r="B86" s="2429" t="s">
        <v>1608</v>
      </c>
      <c r="C86" s="2163"/>
      <c r="D86" s="2244"/>
      <c r="E86" s="1121">
        <f>G57</f>
        <v>469206.1</v>
      </c>
      <c r="F86" s="1122">
        <v>0.3</v>
      </c>
      <c r="G86" s="1420">
        <f>E86*F86</f>
        <v>140761.82999999999</v>
      </c>
      <c r="H86" s="694"/>
      <c r="I86" s="1009"/>
      <c r="J86" s="1507"/>
      <c r="K86" s="1507"/>
      <c r="L86" s="1505"/>
      <c r="M86" s="774"/>
    </row>
    <row r="87" spans="1:13" s="1010" customFormat="1" ht="44.25" customHeight="1" x14ac:dyDescent="0.2">
      <c r="A87" s="1460">
        <v>2</v>
      </c>
      <c r="B87" s="2429" t="s">
        <v>1609</v>
      </c>
      <c r="C87" s="2163"/>
      <c r="D87" s="2244"/>
      <c r="E87" s="1121" t="s">
        <v>82</v>
      </c>
      <c r="F87" s="1122" t="s">
        <v>82</v>
      </c>
      <c r="G87" s="1124">
        <f>G88</f>
        <v>938.41</v>
      </c>
      <c r="H87" s="694"/>
      <c r="I87" s="1009"/>
      <c r="J87" s="1507"/>
      <c r="K87" s="1507"/>
      <c r="L87" s="1505"/>
      <c r="M87" s="774"/>
    </row>
    <row r="88" spans="1:13" s="1010" customFormat="1" ht="45" customHeight="1" x14ac:dyDescent="0.2">
      <c r="A88" s="1460" t="s">
        <v>1607</v>
      </c>
      <c r="B88" s="2429" t="s">
        <v>1610</v>
      </c>
      <c r="C88" s="2163"/>
      <c r="D88" s="2244"/>
      <c r="E88" s="1121">
        <f>E86</f>
        <v>469206.1</v>
      </c>
      <c r="F88" s="1122">
        <v>2E-3</v>
      </c>
      <c r="G88" s="1420">
        <f>E88*F88</f>
        <v>938.41</v>
      </c>
      <c r="H88" s="694"/>
      <c r="I88" s="1009"/>
      <c r="J88" s="1507"/>
      <c r="K88" s="1507"/>
      <c r="L88" s="1505"/>
      <c r="M88" s="774"/>
    </row>
    <row r="89" spans="1:13" s="1010" customFormat="1" x14ac:dyDescent="0.2">
      <c r="A89" s="2417" t="s">
        <v>786</v>
      </c>
      <c r="B89" s="2418"/>
      <c r="C89" s="2418"/>
      <c r="D89" s="2418"/>
      <c r="E89" s="2418"/>
      <c r="F89" s="2419"/>
      <c r="G89" s="1500">
        <f>G85+G87</f>
        <v>141700.24</v>
      </c>
      <c r="H89" s="694"/>
      <c r="I89" s="1009"/>
      <c r="J89" s="1507"/>
      <c r="K89" s="1507"/>
      <c r="L89" s="1505"/>
      <c r="M89" s="774"/>
    </row>
    <row r="90" spans="1:13" s="1010" customFormat="1" x14ac:dyDescent="0.2">
      <c r="A90" s="1509"/>
      <c r="B90" s="1509"/>
      <c r="C90" s="1509"/>
      <c r="D90" s="1509"/>
      <c r="E90" s="1509"/>
      <c r="F90" s="1509"/>
      <c r="G90" s="1510"/>
      <c r="H90" s="694"/>
      <c r="I90" s="1009"/>
      <c r="J90" s="1507"/>
      <c r="K90" s="1507"/>
      <c r="L90" s="1505"/>
      <c r="M90" s="774"/>
    </row>
    <row r="91" spans="1:13" s="1010" customFormat="1" x14ac:dyDescent="0.2">
      <c r="A91" s="507" t="s">
        <v>26</v>
      </c>
      <c r="B91" s="507"/>
      <c r="C91" s="587" t="s">
        <v>1968</v>
      </c>
      <c r="D91" s="1449"/>
      <c r="E91" s="505"/>
      <c r="F91" s="506"/>
      <c r="G91" s="511">
        <f>G99</f>
        <v>36240</v>
      </c>
      <c r="H91" s="565"/>
      <c r="I91" s="565"/>
      <c r="J91" s="1504"/>
      <c r="K91" s="1504"/>
      <c r="L91" s="1505"/>
      <c r="M91" s="774"/>
    </row>
    <row r="92" spans="1:13" s="1010" customFormat="1" x14ac:dyDescent="0.2">
      <c r="A92" s="507" t="s">
        <v>27</v>
      </c>
      <c r="B92" s="507"/>
      <c r="C92" s="86" t="s">
        <v>1992</v>
      </c>
      <c r="D92" s="1449"/>
      <c r="E92" s="505"/>
      <c r="F92" s="506"/>
      <c r="G92" s="511"/>
      <c r="H92" s="1506"/>
      <c r="I92" s="565"/>
      <c r="J92" s="1504"/>
      <c r="K92" s="1504"/>
      <c r="L92" s="1505"/>
      <c r="M92" s="774"/>
    </row>
    <row r="93" spans="1:13" s="1010" customFormat="1" x14ac:dyDescent="0.2">
      <c r="A93" s="1443" t="s">
        <v>317</v>
      </c>
      <c r="B93" s="1449"/>
      <c r="C93" s="1449"/>
      <c r="D93" s="1449"/>
      <c r="E93" s="505"/>
      <c r="F93" s="505"/>
      <c r="G93" s="505"/>
      <c r="H93" s="508"/>
      <c r="I93" s="508"/>
      <c r="J93" s="1507"/>
      <c r="K93" s="1507"/>
      <c r="L93" s="1505"/>
      <c r="M93" s="774"/>
    </row>
    <row r="94" spans="1:13" s="1010" customFormat="1" ht="45" x14ac:dyDescent="0.2">
      <c r="A94" s="1410" t="s">
        <v>8</v>
      </c>
      <c r="B94" s="2193" t="s">
        <v>35</v>
      </c>
      <c r="C94" s="2168"/>
      <c r="D94" s="2169"/>
      <c r="E94" s="1420" t="s">
        <v>1997</v>
      </c>
      <c r="F94" s="1420" t="s">
        <v>53</v>
      </c>
      <c r="G94" s="1420" t="s">
        <v>261</v>
      </c>
      <c r="H94" s="754"/>
      <c r="I94" s="754"/>
      <c r="J94" s="1507"/>
      <c r="K94" s="1507"/>
      <c r="L94" s="1505"/>
      <c r="M94" s="774"/>
    </row>
    <row r="95" spans="1:13" s="1010" customFormat="1" x14ac:dyDescent="0.2">
      <c r="A95" s="1160" t="s">
        <v>244</v>
      </c>
      <c r="B95" s="2430" t="s">
        <v>1606</v>
      </c>
      <c r="C95" s="2163"/>
      <c r="D95" s="2244"/>
      <c r="E95" s="1121" t="s">
        <v>82</v>
      </c>
      <c r="F95" s="1122" t="s">
        <v>82</v>
      </c>
      <c r="G95" s="1124">
        <f>G96</f>
        <v>36000</v>
      </c>
      <c r="H95" s="508"/>
      <c r="I95" s="508"/>
      <c r="J95" s="1507"/>
      <c r="K95" s="1507"/>
      <c r="L95" s="1505"/>
      <c r="M95" s="774"/>
    </row>
    <row r="96" spans="1:13" s="1010" customFormat="1" ht="46.5" customHeight="1" x14ac:dyDescent="0.2">
      <c r="A96" s="1160" t="s">
        <v>1607</v>
      </c>
      <c r="B96" s="2430" t="s">
        <v>1608</v>
      </c>
      <c r="C96" s="2163"/>
      <c r="D96" s="2244"/>
      <c r="E96" s="1121">
        <f>G64</f>
        <v>120000</v>
      </c>
      <c r="F96" s="1122">
        <v>0.3</v>
      </c>
      <c r="G96" s="1420">
        <f>E96*F96</f>
        <v>36000</v>
      </c>
      <c r="H96" s="508"/>
      <c r="I96" s="508"/>
      <c r="J96" s="1507"/>
      <c r="K96" s="1507"/>
      <c r="L96" s="1505"/>
      <c r="M96" s="774"/>
    </row>
    <row r="97" spans="1:13" s="1010" customFormat="1" x14ac:dyDescent="0.2">
      <c r="A97" s="1160" t="s">
        <v>281</v>
      </c>
      <c r="B97" s="2430" t="s">
        <v>1609</v>
      </c>
      <c r="C97" s="2163"/>
      <c r="D97" s="2244"/>
      <c r="E97" s="1121" t="s">
        <v>82</v>
      </c>
      <c r="F97" s="1122" t="s">
        <v>82</v>
      </c>
      <c r="G97" s="1124">
        <f>G98</f>
        <v>240</v>
      </c>
      <c r="H97" s="508"/>
      <c r="I97" s="508"/>
      <c r="J97" s="1507"/>
      <c r="K97" s="1507"/>
      <c r="L97" s="1505"/>
      <c r="M97" s="774"/>
    </row>
    <row r="98" spans="1:13" s="1010" customFormat="1" ht="45.75" customHeight="1" x14ac:dyDescent="0.2">
      <c r="A98" s="1160" t="s">
        <v>1607</v>
      </c>
      <c r="B98" s="2430" t="s">
        <v>1610</v>
      </c>
      <c r="C98" s="2163"/>
      <c r="D98" s="2244"/>
      <c r="E98" s="1121">
        <f>E96</f>
        <v>120000</v>
      </c>
      <c r="F98" s="1122">
        <v>2E-3</v>
      </c>
      <c r="G98" s="1420">
        <f>E98*F98</f>
        <v>240</v>
      </c>
      <c r="H98" s="508"/>
      <c r="I98" s="508"/>
      <c r="J98" s="1507"/>
      <c r="K98" s="1507"/>
      <c r="L98" s="1505"/>
      <c r="M98" s="774"/>
    </row>
    <row r="99" spans="1:13" s="1010" customFormat="1" x14ac:dyDescent="0.25">
      <c r="A99" s="2278" t="s">
        <v>39</v>
      </c>
      <c r="B99" s="2278"/>
      <c r="C99" s="2278"/>
      <c r="D99" s="2278"/>
      <c r="E99" s="2278"/>
      <c r="F99" s="2278"/>
      <c r="G99" s="1511">
        <f>G95+G97</f>
        <v>36240</v>
      </c>
      <c r="H99" s="554"/>
      <c r="I99" s="554"/>
      <c r="J99" s="1512"/>
      <c r="K99" s="351"/>
      <c r="L99" s="1513"/>
      <c r="M99" s="774"/>
    </row>
    <row r="100" spans="1:13" s="1010" customFormat="1" x14ac:dyDescent="0.2">
      <c r="A100" s="1509"/>
      <c r="B100" s="1509"/>
      <c r="C100" s="1509"/>
      <c r="D100" s="1509"/>
      <c r="E100" s="1509"/>
      <c r="F100" s="1509"/>
      <c r="G100" s="1510"/>
      <c r="H100" s="694"/>
      <c r="I100" s="1009"/>
      <c r="J100" s="1507"/>
      <c r="K100" s="1507"/>
      <c r="L100" s="1505"/>
      <c r="M100" s="774"/>
    </row>
    <row r="101" spans="1:13" s="61" customFormat="1" x14ac:dyDescent="0.25">
      <c r="A101" s="1458" t="s">
        <v>1986</v>
      </c>
      <c r="B101" s="1457"/>
      <c r="C101" s="1497" t="s">
        <v>68</v>
      </c>
      <c r="D101" s="1458"/>
      <c r="E101" s="1457"/>
      <c r="F101" s="60"/>
      <c r="G101" s="1002">
        <f>G102</f>
        <v>240000</v>
      </c>
      <c r="H101" s="60"/>
      <c r="I101" s="85"/>
      <c r="J101" s="1452"/>
      <c r="K101" s="1452"/>
      <c r="L101" s="1452"/>
    </row>
    <row r="102" spans="1:13" s="61" customFormat="1" x14ac:dyDescent="0.25">
      <c r="A102" s="1458" t="s">
        <v>1987</v>
      </c>
      <c r="B102" s="1457"/>
      <c r="C102" s="1497" t="s">
        <v>73</v>
      </c>
      <c r="D102" s="394"/>
      <c r="E102" s="1457"/>
      <c r="F102" s="60"/>
      <c r="G102" s="1002">
        <f>G103</f>
        <v>240000</v>
      </c>
      <c r="H102" s="60"/>
      <c r="I102" s="85"/>
      <c r="J102" s="1452"/>
      <c r="K102" s="1452"/>
      <c r="L102" s="1452"/>
    </row>
    <row r="103" spans="1:13" s="1004" customFormat="1" x14ac:dyDescent="0.25">
      <c r="A103" s="1011" t="s">
        <v>1503</v>
      </c>
      <c r="B103" s="1011"/>
      <c r="C103" s="2401" t="s">
        <v>1967</v>
      </c>
      <c r="D103" s="2420"/>
      <c r="E103" s="1498"/>
      <c r="F103" s="1498"/>
      <c r="G103" s="1002">
        <f>G109</f>
        <v>240000</v>
      </c>
      <c r="H103" s="893"/>
      <c r="I103" s="1003"/>
      <c r="J103" s="1003"/>
      <c r="K103" s="1003"/>
    </row>
    <row r="104" spans="1:13" s="1004" customFormat="1" x14ac:dyDescent="0.25">
      <c r="A104" s="1011" t="s">
        <v>1504</v>
      </c>
      <c r="B104" s="1011"/>
      <c r="C104" s="2401" t="s">
        <v>1830</v>
      </c>
      <c r="D104" s="2420"/>
      <c r="E104" s="1498"/>
      <c r="F104" s="1498"/>
      <c r="G104" s="1498"/>
      <c r="H104" s="893"/>
      <c r="I104" s="1003"/>
      <c r="J104" s="1003"/>
      <c r="K104" s="1003"/>
    </row>
    <row r="105" spans="1:13" s="1010" customFormat="1" x14ac:dyDescent="0.25">
      <c r="A105" s="1514" t="s">
        <v>1998</v>
      </c>
      <c r="B105" s="1514"/>
      <c r="C105" s="1514"/>
      <c r="D105" s="1514"/>
      <c r="E105" s="1514"/>
      <c r="F105" s="1514"/>
      <c r="G105" s="1514"/>
      <c r="H105" s="1515"/>
      <c r="I105" s="1515"/>
      <c r="J105" s="1515"/>
      <c r="K105" s="849"/>
      <c r="L105" s="970"/>
      <c r="M105" s="774"/>
    </row>
    <row r="106" spans="1:13" s="1010" customFormat="1" ht="15" customHeight="1" x14ac:dyDescent="0.25">
      <c r="A106" s="2315" t="s">
        <v>8</v>
      </c>
      <c r="B106" s="2192" t="s">
        <v>49</v>
      </c>
      <c r="C106" s="2158"/>
      <c r="D106" s="2193" t="s">
        <v>2048</v>
      </c>
      <c r="E106" s="2168"/>
      <c r="F106" s="2168"/>
      <c r="G106" s="2168"/>
      <c r="H106" s="1009"/>
      <c r="I106" s="1009"/>
      <c r="J106" s="1009"/>
      <c r="K106" s="849"/>
      <c r="L106" s="970"/>
      <c r="M106" s="774"/>
    </row>
    <row r="107" spans="1:13" s="1010" customFormat="1" ht="30" x14ac:dyDescent="0.25">
      <c r="A107" s="2200"/>
      <c r="B107" s="2159"/>
      <c r="C107" s="2161"/>
      <c r="D107" s="1433" t="s">
        <v>1999</v>
      </c>
      <c r="E107" s="1419" t="s">
        <v>2000</v>
      </c>
      <c r="F107" s="1433" t="s">
        <v>2001</v>
      </c>
      <c r="G107" s="1413" t="s">
        <v>261</v>
      </c>
      <c r="H107" s="1009"/>
      <c r="I107" s="1009"/>
      <c r="J107" s="1009"/>
      <c r="K107" s="849"/>
      <c r="L107" s="970"/>
      <c r="M107" s="774"/>
    </row>
    <row r="108" spans="1:13" s="1010" customFormat="1" ht="33" customHeight="1" x14ac:dyDescent="0.25">
      <c r="A108" s="1127">
        <v>1</v>
      </c>
      <c r="B108" s="2243" t="s">
        <v>2002</v>
      </c>
      <c r="C108" s="2244"/>
      <c r="D108" s="1229">
        <v>1</v>
      </c>
      <c r="E108" s="1420">
        <v>20000</v>
      </c>
      <c r="F108" s="1229">
        <v>12</v>
      </c>
      <c r="G108" s="1420">
        <f>D108*E108*F108</f>
        <v>240000</v>
      </c>
      <c r="K108" s="849"/>
      <c r="L108" s="970"/>
      <c r="M108" s="774"/>
    </row>
    <row r="109" spans="1:13" s="1010" customFormat="1" x14ac:dyDescent="0.25">
      <c r="A109" s="2278" t="s">
        <v>39</v>
      </c>
      <c r="B109" s="2278"/>
      <c r="C109" s="2278"/>
      <c r="D109" s="2278"/>
      <c r="E109" s="2278"/>
      <c r="F109" s="2278"/>
      <c r="G109" s="1511">
        <f>SUM(G108:G108)</f>
        <v>240000</v>
      </c>
      <c r="H109" s="554"/>
      <c r="I109" s="554"/>
      <c r="J109" s="1512"/>
      <c r="K109" s="351"/>
      <c r="L109" s="1513"/>
      <c r="M109" s="774"/>
    </row>
    <row r="110" spans="1:13" x14ac:dyDescent="0.25">
      <c r="A110" s="752"/>
      <c r="B110" s="752"/>
      <c r="C110" s="752"/>
      <c r="D110" s="752"/>
      <c r="E110" s="752"/>
      <c r="F110" s="752"/>
      <c r="G110" s="64"/>
      <c r="H110" s="564"/>
      <c r="I110" s="739"/>
      <c r="J110" s="565"/>
    </row>
    <row r="111" spans="1:13" s="594" customFormat="1" x14ac:dyDescent="0.25">
      <c r="A111" s="2437" t="s">
        <v>1227</v>
      </c>
      <c r="B111" s="2437"/>
      <c r="C111" s="2437"/>
      <c r="D111" s="2437"/>
      <c r="E111" s="2437"/>
      <c r="F111" s="2437"/>
      <c r="G111" s="654">
        <f>G113</f>
        <v>0</v>
      </c>
    </row>
    <row r="112" spans="1:13" s="594" customFormat="1" hidden="1" x14ac:dyDescent="0.25">
      <c r="A112" s="1517"/>
      <c r="B112" s="1517"/>
      <c r="C112" s="1517"/>
      <c r="D112" s="1517"/>
      <c r="E112" s="1517"/>
      <c r="F112" s="1517"/>
      <c r="G112" s="654"/>
    </row>
    <row r="113" spans="1:13" s="1529" customFormat="1" hidden="1" x14ac:dyDescent="0.2">
      <c r="A113" s="1458" t="s">
        <v>1986</v>
      </c>
      <c r="B113" s="1457"/>
      <c r="C113" s="1497" t="s">
        <v>1704</v>
      </c>
      <c r="D113" s="1458"/>
      <c r="E113" s="1457"/>
      <c r="F113" s="60"/>
      <c r="G113" s="1002">
        <f>G114</f>
        <v>0</v>
      </c>
      <c r="H113" s="1007"/>
      <c r="I113" s="1525"/>
      <c r="J113" s="1526"/>
      <c r="K113" s="1526"/>
      <c r="L113" s="1527"/>
      <c r="M113" s="1528"/>
    </row>
    <row r="114" spans="1:13" s="1529" customFormat="1" hidden="1" x14ac:dyDescent="0.2">
      <c r="A114" s="1458" t="s">
        <v>1987</v>
      </c>
      <c r="B114" s="1457"/>
      <c r="C114" s="1497" t="s">
        <v>90</v>
      </c>
      <c r="D114" s="394"/>
      <c r="E114" s="1457"/>
      <c r="F114" s="60"/>
      <c r="G114" s="1002">
        <f>G115</f>
        <v>0</v>
      </c>
      <c r="H114" s="1007"/>
      <c r="I114" s="1525"/>
      <c r="J114" s="1526"/>
      <c r="K114" s="1526"/>
      <c r="L114" s="1527"/>
      <c r="M114" s="1528"/>
    </row>
    <row r="115" spans="1:13" s="1529" customFormat="1" hidden="1" x14ac:dyDescent="0.2">
      <c r="A115" s="1011" t="s">
        <v>1503</v>
      </c>
      <c r="B115" s="1011"/>
      <c r="C115" s="2401" t="s">
        <v>1964</v>
      </c>
      <c r="D115" s="2420"/>
      <c r="E115" s="1498"/>
      <c r="F115" s="1498"/>
      <c r="G115" s="1002">
        <f>G122</f>
        <v>0</v>
      </c>
      <c r="H115" s="1007"/>
      <c r="I115" s="1525"/>
      <c r="J115" s="1526"/>
      <c r="K115" s="1526"/>
      <c r="L115" s="1527"/>
      <c r="M115" s="1528"/>
    </row>
    <row r="116" spans="1:13" s="1529" customFormat="1" hidden="1" x14ac:dyDescent="0.2">
      <c r="A116" s="1011" t="s">
        <v>1504</v>
      </c>
      <c r="B116" s="1011"/>
      <c r="C116" s="2401" t="s">
        <v>1830</v>
      </c>
      <c r="D116" s="2420"/>
      <c r="E116" s="1498"/>
      <c r="F116" s="1498"/>
      <c r="G116" s="1498"/>
      <c r="H116" s="1007"/>
      <c r="I116" s="1525"/>
      <c r="J116" s="1526"/>
      <c r="K116" s="1526"/>
      <c r="L116" s="1527"/>
      <c r="M116" s="1528"/>
    </row>
    <row r="117" spans="1:13" s="1529" customFormat="1" hidden="1" x14ac:dyDescent="0.2">
      <c r="A117" s="1449" t="s">
        <v>1153</v>
      </c>
      <c r="B117" s="1457"/>
      <c r="C117" s="1457"/>
      <c r="D117" s="1457"/>
      <c r="E117" s="1457"/>
      <c r="F117" s="1457"/>
      <c r="G117" s="1457"/>
      <c r="H117" s="60"/>
      <c r="I117" s="69"/>
      <c r="J117" s="69"/>
      <c r="K117" s="1526"/>
      <c r="L117" s="1527"/>
      <c r="M117" s="1528"/>
    </row>
    <row r="118" spans="1:13" s="1529" customFormat="1" ht="15" hidden="1" customHeight="1" x14ac:dyDescent="0.2">
      <c r="A118" s="2024" t="s">
        <v>8</v>
      </c>
      <c r="B118" s="1926" t="s">
        <v>2003</v>
      </c>
      <c r="C118" s="2173"/>
      <c r="D118" s="2193" t="s">
        <v>1827</v>
      </c>
      <c r="E118" s="2168"/>
      <c r="F118" s="2168"/>
      <c r="G118" s="2168"/>
      <c r="K118" s="1526"/>
      <c r="L118" s="1527"/>
      <c r="M118" s="1528"/>
    </row>
    <row r="119" spans="1:13" s="1529" customFormat="1" ht="105" hidden="1" x14ac:dyDescent="0.2">
      <c r="A119" s="2053"/>
      <c r="B119" s="2173"/>
      <c r="C119" s="2173"/>
      <c r="D119" s="1120" t="s">
        <v>2004</v>
      </c>
      <c r="E119" s="1441" t="s">
        <v>2005</v>
      </c>
      <c r="F119" s="1441" t="s">
        <v>2006</v>
      </c>
      <c r="G119" s="1420" t="s">
        <v>256</v>
      </c>
      <c r="K119" s="1526"/>
      <c r="L119" s="1527"/>
      <c r="M119" s="1528"/>
    </row>
    <row r="120" spans="1:13" s="1529" customFormat="1" hidden="1" x14ac:dyDescent="0.2">
      <c r="A120" s="1141"/>
      <c r="B120" s="1530" t="s">
        <v>2007</v>
      </c>
      <c r="C120" s="1531"/>
      <c r="D120" s="1142"/>
      <c r="E120" s="1285"/>
      <c r="F120" s="1285"/>
      <c r="G120" s="1532">
        <f>G121</f>
        <v>0</v>
      </c>
      <c r="K120" s="1526"/>
      <c r="L120" s="1527"/>
      <c r="M120" s="1528"/>
    </row>
    <row r="121" spans="1:13" s="1529" customFormat="1" hidden="1" x14ac:dyDescent="0.2">
      <c r="A121" s="1079">
        <v>1</v>
      </c>
      <c r="B121" s="2003" t="s">
        <v>2008</v>
      </c>
      <c r="C121" s="2244"/>
      <c r="D121" s="1533"/>
      <c r="E121" s="1142"/>
      <c r="F121" s="1285">
        <v>2</v>
      </c>
      <c r="G121" s="1432">
        <f>D121*E121*F121</f>
        <v>0</v>
      </c>
      <c r="H121" s="1525"/>
      <c r="I121" s="1525"/>
      <c r="J121" s="1525"/>
      <c r="K121" s="1526"/>
      <c r="L121" s="1527"/>
      <c r="M121" s="1528"/>
    </row>
    <row r="122" spans="1:13" s="1010" customFormat="1" hidden="1" x14ac:dyDescent="0.25">
      <c r="A122" s="2278" t="s">
        <v>39</v>
      </c>
      <c r="B122" s="2278"/>
      <c r="C122" s="2278"/>
      <c r="D122" s="2278"/>
      <c r="E122" s="2278"/>
      <c r="F122" s="2278"/>
      <c r="G122" s="1511">
        <f>G120</f>
        <v>0</v>
      </c>
      <c r="H122" s="554"/>
      <c r="I122" s="554"/>
      <c r="J122" s="1512"/>
      <c r="K122" s="351"/>
      <c r="L122" s="1513"/>
      <c r="M122" s="774"/>
    </row>
    <row r="123" spans="1:13" s="594" customFormat="1" hidden="1" x14ac:dyDescent="0.25">
      <c r="A123" s="652"/>
      <c r="B123" s="652"/>
      <c r="C123" s="652"/>
      <c r="D123" s="653"/>
      <c r="E123" s="1516"/>
      <c r="F123" s="653"/>
      <c r="G123" s="654"/>
    </row>
    <row r="124" spans="1:13" s="594" customFormat="1" hidden="1" x14ac:dyDescent="0.25">
      <c r="A124" s="652" t="s">
        <v>63</v>
      </c>
      <c r="B124" s="652"/>
      <c r="C124" s="652"/>
      <c r="D124" s="653"/>
      <c r="E124" s="1516"/>
      <c r="F124" s="653"/>
      <c r="G124" s="654">
        <f>G125</f>
        <v>0</v>
      </c>
    </row>
    <row r="125" spans="1:13" s="594" customFormat="1" hidden="1" x14ac:dyDescent="0.25">
      <c r="A125" s="652" t="s">
        <v>26</v>
      </c>
      <c r="B125" s="652"/>
      <c r="C125" s="652"/>
      <c r="D125" s="653"/>
      <c r="E125" s="1516"/>
      <c r="F125" s="653"/>
      <c r="G125" s="654">
        <f>G126</f>
        <v>0</v>
      </c>
    </row>
    <row r="126" spans="1:13" s="594" customFormat="1" hidden="1" x14ac:dyDescent="0.25">
      <c r="A126" s="652" t="s">
        <v>27</v>
      </c>
      <c r="B126" s="652"/>
      <c r="C126" s="652"/>
      <c r="D126" s="653"/>
      <c r="E126" s="1516"/>
      <c r="F126" s="653"/>
      <c r="G126" s="654">
        <f>G133+G140</f>
        <v>0</v>
      </c>
    </row>
    <row r="127" spans="1:13" s="594" customFormat="1" hidden="1" x14ac:dyDescent="0.25">
      <c r="A127" s="2431" t="s">
        <v>763</v>
      </c>
      <c r="B127" s="2431"/>
      <c r="C127" s="2431"/>
      <c r="D127" s="2431"/>
      <c r="E127" s="2431"/>
      <c r="F127" s="2431"/>
      <c r="G127" s="2431"/>
    </row>
    <row r="128" spans="1:13" s="594" customFormat="1" hidden="1" x14ac:dyDescent="0.25">
      <c r="A128" s="2432" t="s">
        <v>8</v>
      </c>
      <c r="B128" s="2433" t="s">
        <v>35</v>
      </c>
      <c r="C128" s="2433"/>
      <c r="D128" s="2434" t="s">
        <v>735</v>
      </c>
      <c r="E128" s="2435"/>
      <c r="F128" s="2435"/>
      <c r="G128" s="2436"/>
    </row>
    <row r="129" spans="1:11" s="594" customFormat="1" ht="30" hidden="1" x14ac:dyDescent="0.25">
      <c r="A129" s="2432"/>
      <c r="B129" s="2433"/>
      <c r="C129" s="2433"/>
      <c r="D129" s="1518" t="s">
        <v>764</v>
      </c>
      <c r="E129" s="1518" t="s">
        <v>765</v>
      </c>
      <c r="F129" s="1518" t="s">
        <v>766</v>
      </c>
      <c r="G129" s="1518" t="s">
        <v>256</v>
      </c>
    </row>
    <row r="130" spans="1:11" s="594" customFormat="1" hidden="1" x14ac:dyDescent="0.25">
      <c r="A130" s="2438" t="s">
        <v>760</v>
      </c>
      <c r="B130" s="2439"/>
      <c r="C130" s="2439"/>
      <c r="D130" s="2439"/>
      <c r="E130" s="2439"/>
      <c r="F130" s="2439"/>
      <c r="G130" s="2440"/>
    </row>
    <row r="131" spans="1:11" s="594" customFormat="1" hidden="1" x14ac:dyDescent="0.25">
      <c r="A131" s="1518">
        <v>1</v>
      </c>
      <c r="B131" s="2441" t="s">
        <v>761</v>
      </c>
      <c r="C131" s="2442"/>
      <c r="D131" s="1519"/>
      <c r="E131" s="1518"/>
      <c r="F131" s="1518"/>
      <c r="G131" s="771">
        <f>D131*E131</f>
        <v>0</v>
      </c>
    </row>
    <row r="132" spans="1:11" s="594" customFormat="1" hidden="1" x14ac:dyDescent="0.25">
      <c r="A132" s="1518">
        <v>2</v>
      </c>
      <c r="B132" s="2441" t="s">
        <v>762</v>
      </c>
      <c r="C132" s="2442"/>
      <c r="D132" s="1519"/>
      <c r="E132" s="1518"/>
      <c r="F132" s="1518"/>
      <c r="G132" s="771">
        <f>D132*E132</f>
        <v>0</v>
      </c>
    </row>
    <row r="133" spans="1:11" s="594" customFormat="1" hidden="1" x14ac:dyDescent="0.25">
      <c r="A133" s="2433" t="s">
        <v>39</v>
      </c>
      <c r="B133" s="2433"/>
      <c r="C133" s="2433"/>
      <c r="D133" s="771" t="s">
        <v>5</v>
      </c>
      <c r="E133" s="772" t="s">
        <v>5</v>
      </c>
      <c r="F133" s="772" t="s">
        <v>5</v>
      </c>
      <c r="G133" s="771">
        <f>SUM(G131:G132)</f>
        <v>0</v>
      </c>
    </row>
    <row r="134" spans="1:11" s="594" customFormat="1" hidden="1" x14ac:dyDescent="0.25">
      <c r="A134" s="1520"/>
      <c r="B134" s="1520"/>
      <c r="C134" s="1520"/>
      <c r="D134" s="1520"/>
      <c r="E134" s="1521"/>
      <c r="F134" s="1521"/>
      <c r="G134" s="1522"/>
    </row>
    <row r="135" spans="1:11" s="594" customFormat="1" hidden="1" x14ac:dyDescent="0.25">
      <c r="A135" s="2431" t="s">
        <v>767</v>
      </c>
      <c r="B135" s="2431"/>
      <c r="C135" s="2431"/>
      <c r="D135" s="2431"/>
      <c r="E135" s="2431"/>
      <c r="F135" s="2431"/>
      <c r="G135" s="2431"/>
    </row>
    <row r="136" spans="1:11" s="594" customFormat="1" hidden="1" x14ac:dyDescent="0.25">
      <c r="A136" s="2432" t="s">
        <v>8</v>
      </c>
      <c r="B136" s="2433" t="s">
        <v>35</v>
      </c>
      <c r="C136" s="2433"/>
      <c r="D136" s="2434" t="s">
        <v>735</v>
      </c>
      <c r="E136" s="2435"/>
      <c r="F136" s="2435"/>
      <c r="G136" s="2436"/>
    </row>
    <row r="137" spans="1:11" s="594" customFormat="1" ht="45" hidden="1" x14ac:dyDescent="0.25">
      <c r="A137" s="2432"/>
      <c r="B137" s="2433"/>
      <c r="C137" s="2433"/>
      <c r="D137" s="1518" t="s">
        <v>768</v>
      </c>
      <c r="E137" s="1518" t="s">
        <v>765</v>
      </c>
      <c r="F137" s="1518" t="s">
        <v>36</v>
      </c>
      <c r="G137" s="1518" t="s">
        <v>256</v>
      </c>
    </row>
    <row r="138" spans="1:11" s="594" customFormat="1" hidden="1" x14ac:dyDescent="0.25">
      <c r="A138" s="2438" t="s">
        <v>760</v>
      </c>
      <c r="B138" s="2439"/>
      <c r="C138" s="2439"/>
      <c r="D138" s="2439"/>
      <c r="E138" s="2439"/>
      <c r="F138" s="2439"/>
      <c r="G138" s="2440"/>
    </row>
    <row r="139" spans="1:11" s="594" customFormat="1" hidden="1" x14ac:dyDescent="0.25">
      <c r="A139" s="1518">
        <v>1</v>
      </c>
      <c r="B139" s="2441" t="s">
        <v>120</v>
      </c>
      <c r="C139" s="2442"/>
      <c r="D139" s="1523"/>
      <c r="E139" s="1518"/>
      <c r="F139" s="1518"/>
      <c r="G139" s="771">
        <f>D139*E139*F139</f>
        <v>0</v>
      </c>
    </row>
    <row r="140" spans="1:11" s="594" customFormat="1" hidden="1" x14ac:dyDescent="0.25">
      <c r="A140" s="2433" t="s">
        <v>39</v>
      </c>
      <c r="B140" s="2433"/>
      <c r="C140" s="2433"/>
      <c r="D140" s="771" t="s">
        <v>5</v>
      </c>
      <c r="E140" s="772" t="s">
        <v>5</v>
      </c>
      <c r="F140" s="772" t="s">
        <v>5</v>
      </c>
      <c r="G140" s="771">
        <f>SUM(G139:G139)</f>
        <v>0</v>
      </c>
    </row>
    <row r="141" spans="1:11" s="594" customFormat="1" hidden="1" x14ac:dyDescent="0.25">
      <c r="A141" s="1517"/>
      <c r="B141" s="1517"/>
      <c r="C141" s="1517"/>
      <c r="D141" s="1517"/>
      <c r="E141" s="1517"/>
      <c r="F141" s="1517"/>
      <c r="G141" s="654"/>
    </row>
    <row r="142" spans="1:11" s="594" customFormat="1" x14ac:dyDescent="0.25">
      <c r="A142" s="652" t="s">
        <v>1228</v>
      </c>
      <c r="B142" s="652"/>
      <c r="C142" s="652"/>
      <c r="D142" s="652"/>
      <c r="E142" s="653"/>
      <c r="F142" s="654"/>
      <c r="G142" s="654">
        <v>0</v>
      </c>
    </row>
    <row r="143" spans="1:11" s="594" customFormat="1" x14ac:dyDescent="0.25">
      <c r="A143" s="652" t="s">
        <v>1229</v>
      </c>
      <c r="B143" s="652"/>
      <c r="C143" s="652"/>
      <c r="D143" s="652"/>
      <c r="E143" s="653"/>
      <c r="F143" s="654"/>
      <c r="G143" s="654">
        <v>0</v>
      </c>
    </row>
    <row r="144" spans="1:11" s="595" customFormat="1" x14ac:dyDescent="0.25">
      <c r="A144" s="652" t="s">
        <v>1230</v>
      </c>
      <c r="B144" s="652"/>
      <c r="C144" s="652"/>
      <c r="D144" s="652"/>
      <c r="E144" s="653"/>
      <c r="F144" s="653"/>
      <c r="G144" s="654">
        <v>0</v>
      </c>
      <c r="H144" s="1524"/>
      <c r="I144" s="1524"/>
      <c r="J144" s="1524"/>
      <c r="K144" s="1524"/>
    </row>
    <row r="145" spans="1:17" s="595" customFormat="1" x14ac:dyDescent="0.25">
      <c r="A145" s="652" t="s">
        <v>1231</v>
      </c>
      <c r="B145" s="652"/>
      <c r="C145" s="652"/>
      <c r="D145" s="652"/>
      <c r="E145" s="653"/>
      <c r="F145" s="653"/>
      <c r="G145" s="654">
        <f>G148</f>
        <v>37500</v>
      </c>
      <c r="H145" s="1524"/>
      <c r="I145" s="1524"/>
      <c r="J145" s="1524"/>
      <c r="K145" s="1524"/>
    </row>
    <row r="146" spans="1:17" hidden="1" x14ac:dyDescent="0.25">
      <c r="A146" s="1449" t="s">
        <v>823</v>
      </c>
      <c r="B146" s="557"/>
      <c r="C146" s="557"/>
      <c r="D146" s="557"/>
      <c r="E146" s="559"/>
      <c r="F146" s="559"/>
      <c r="G146" s="559"/>
      <c r="H146" s="600"/>
      <c r="I146" s="600"/>
      <c r="J146" s="600"/>
      <c r="K146" s="600"/>
      <c r="L146" s="565"/>
      <c r="M146" s="565"/>
      <c r="N146" s="565"/>
      <c r="O146" s="565"/>
      <c r="P146" s="565"/>
      <c r="Q146" s="565"/>
    </row>
    <row r="147" spans="1:17" x14ac:dyDescent="0.25">
      <c r="B147" s="557"/>
      <c r="C147" s="557"/>
      <c r="D147" s="557"/>
      <c r="E147" s="559"/>
      <c r="F147" s="559"/>
      <c r="G147" s="559"/>
      <c r="H147" s="600"/>
      <c r="I147" s="600"/>
      <c r="J147" s="600"/>
      <c r="K147" s="600"/>
      <c r="L147" s="565"/>
      <c r="M147" s="565"/>
      <c r="N147" s="565"/>
      <c r="O147" s="565"/>
      <c r="P147" s="565"/>
      <c r="Q147" s="565"/>
    </row>
    <row r="148" spans="1:17" x14ac:dyDescent="0.25">
      <c r="A148" s="507" t="s">
        <v>305</v>
      </c>
      <c r="B148" s="507"/>
      <c r="C148" s="587" t="s">
        <v>71</v>
      </c>
      <c r="D148" s="557"/>
      <c r="E148" s="559"/>
      <c r="F148" s="559"/>
      <c r="G148" s="554">
        <f>G150+G177+G216+G226+G236</f>
        <v>37500</v>
      </c>
      <c r="H148" s="600"/>
      <c r="I148" s="600"/>
      <c r="J148" s="600"/>
      <c r="K148" s="600"/>
      <c r="L148" s="565"/>
      <c r="M148" s="565"/>
      <c r="N148" s="565"/>
      <c r="O148" s="565"/>
      <c r="P148" s="565"/>
      <c r="Q148" s="565"/>
    </row>
    <row r="149" spans="1:17" x14ac:dyDescent="0.25">
      <c r="A149" s="507"/>
      <c r="B149" s="507"/>
      <c r="C149" s="587"/>
      <c r="D149" s="557"/>
      <c r="E149" s="559"/>
      <c r="F149" s="559"/>
      <c r="G149" s="554"/>
      <c r="H149" s="600"/>
      <c r="I149" s="600"/>
      <c r="J149" s="600"/>
      <c r="K149" s="600"/>
      <c r="L149" s="565"/>
      <c r="M149" s="565"/>
      <c r="N149" s="565"/>
      <c r="O149" s="565"/>
      <c r="P149" s="565"/>
      <c r="Q149" s="565"/>
    </row>
    <row r="150" spans="1:17" hidden="1" x14ac:dyDescent="0.25">
      <c r="A150" s="507" t="s">
        <v>63</v>
      </c>
      <c r="C150" s="563" t="s">
        <v>70</v>
      </c>
      <c r="D150" s="557"/>
      <c r="E150" s="559"/>
      <c r="F150" s="559"/>
      <c r="G150" s="554">
        <f>G151</f>
        <v>0</v>
      </c>
    </row>
    <row r="151" spans="1:17" s="1010" customFormat="1" hidden="1" x14ac:dyDescent="0.2">
      <c r="A151" s="507" t="s">
        <v>26</v>
      </c>
      <c r="B151" s="507"/>
      <c r="C151" s="587" t="s">
        <v>1969</v>
      </c>
      <c r="D151" s="1449"/>
      <c r="E151" s="505"/>
      <c r="F151" s="506"/>
      <c r="G151" s="511">
        <f>G158</f>
        <v>0</v>
      </c>
      <c r="H151" s="565"/>
      <c r="I151" s="565"/>
      <c r="J151" s="1504"/>
      <c r="K151" s="1504"/>
      <c r="L151" s="1505"/>
      <c r="M151" s="774"/>
    </row>
    <row r="152" spans="1:17" s="1010" customFormat="1" hidden="1" x14ac:dyDescent="0.2">
      <c r="A152" s="507" t="s">
        <v>27</v>
      </c>
      <c r="B152" s="507"/>
      <c r="C152" s="86" t="s">
        <v>1830</v>
      </c>
      <c r="D152" s="1449"/>
      <c r="E152" s="505"/>
      <c r="F152" s="506"/>
      <c r="G152" s="511"/>
      <c r="H152" s="1506"/>
      <c r="I152" s="565"/>
      <c r="J152" s="1504"/>
      <c r="K152" s="1504"/>
      <c r="L152" s="1505"/>
      <c r="M152" s="774"/>
    </row>
    <row r="153" spans="1:17" s="1004" customFormat="1" ht="15.75" hidden="1" customHeight="1" x14ac:dyDescent="0.25">
      <c r="A153" s="2443" t="s">
        <v>2009</v>
      </c>
      <c r="B153" s="2443"/>
      <c r="C153" s="2443"/>
      <c r="D153" s="2443"/>
      <c r="E153" s="2443"/>
      <c r="F153" s="2443"/>
      <c r="G153" s="2443"/>
      <c r="H153" s="893"/>
      <c r="I153" s="1003"/>
      <c r="J153" s="1003"/>
      <c r="K153" s="1003"/>
    </row>
    <row r="154" spans="1:17" s="1004" customFormat="1" ht="15.75" hidden="1" customHeight="1" x14ac:dyDescent="0.25">
      <c r="A154" s="2285" t="s">
        <v>8</v>
      </c>
      <c r="B154" s="2201" t="s">
        <v>35</v>
      </c>
      <c r="C154" s="2203"/>
      <c r="D154" s="2285" t="s">
        <v>61</v>
      </c>
      <c r="E154" s="2183" t="s">
        <v>1827</v>
      </c>
      <c r="F154" s="2183"/>
      <c r="G154" s="2183"/>
      <c r="H154" s="893"/>
      <c r="I154" s="1003"/>
      <c r="J154" s="1003"/>
      <c r="K154" s="1003"/>
    </row>
    <row r="155" spans="1:17" s="1004" customFormat="1" ht="30" hidden="1" x14ac:dyDescent="0.25">
      <c r="A155" s="2200"/>
      <c r="B155" s="2206"/>
      <c r="C155" s="2207"/>
      <c r="D155" s="2200"/>
      <c r="E155" s="1408" t="s">
        <v>248</v>
      </c>
      <c r="F155" s="1408" t="s">
        <v>264</v>
      </c>
      <c r="G155" s="1408" t="s">
        <v>256</v>
      </c>
      <c r="H155" s="1005"/>
      <c r="I155" s="1005"/>
      <c r="J155" s="1005"/>
      <c r="K155" s="1005"/>
      <c r="L155" s="1005"/>
    </row>
    <row r="156" spans="1:17" s="1004" customFormat="1" ht="33" hidden="1" customHeight="1" x14ac:dyDescent="0.25">
      <c r="A156" s="1175">
        <v>1</v>
      </c>
      <c r="B156" s="2444" t="s">
        <v>2010</v>
      </c>
      <c r="C156" s="2444"/>
      <c r="D156" s="2444"/>
      <c r="E156" s="1534"/>
      <c r="F156" s="1363"/>
      <c r="G156" s="1535">
        <f>E156*F156</f>
        <v>0</v>
      </c>
      <c r="H156" s="1536"/>
      <c r="I156" s="1003"/>
      <c r="J156" s="1003"/>
      <c r="K156" s="1003"/>
      <c r="L156" s="1003"/>
    </row>
    <row r="157" spans="1:17" s="1004" customFormat="1" ht="33" hidden="1" customHeight="1" x14ac:dyDescent="0.25">
      <c r="A157" s="1175">
        <v>1</v>
      </c>
      <c r="B157" s="2444" t="s">
        <v>2011</v>
      </c>
      <c r="C157" s="2444"/>
      <c r="D157" s="2444"/>
      <c r="E157" s="1534"/>
      <c r="F157" s="1363"/>
      <c r="G157" s="1535">
        <f>E157*F157</f>
        <v>0</v>
      </c>
      <c r="H157" s="1536"/>
      <c r="I157" s="1003"/>
      <c r="J157" s="1003"/>
      <c r="K157" s="1003"/>
      <c r="L157" s="1003"/>
    </row>
    <row r="158" spans="1:17" s="1004" customFormat="1" hidden="1" x14ac:dyDescent="0.25">
      <c r="A158" s="2407" t="s">
        <v>39</v>
      </c>
      <c r="B158" s="2384"/>
      <c r="C158" s="2384"/>
      <c r="D158" s="2384"/>
      <c r="E158" s="2384"/>
      <c r="F158" s="2385"/>
      <c r="G158" s="1537">
        <f>SUM(G156:G157)</f>
        <v>0</v>
      </c>
      <c r="H158" s="1008"/>
      <c r="I158" s="1003"/>
      <c r="J158" s="1003"/>
      <c r="K158" s="1003"/>
      <c r="L158" s="1003"/>
    </row>
    <row r="159" spans="1:17" hidden="1" x14ac:dyDescent="0.25">
      <c r="A159" s="507"/>
      <c r="C159" s="563"/>
      <c r="D159" s="557"/>
      <c r="E159" s="559"/>
      <c r="F159" s="559"/>
      <c r="G159" s="554"/>
    </row>
    <row r="160" spans="1:17" hidden="1" x14ac:dyDescent="0.25">
      <c r="A160" s="507" t="s">
        <v>26</v>
      </c>
      <c r="B160" s="507"/>
      <c r="C160" s="587" t="s">
        <v>770</v>
      </c>
      <c r="D160" s="1449"/>
      <c r="E160" s="505"/>
      <c r="F160" s="506"/>
      <c r="G160" s="511">
        <f>G174</f>
        <v>0</v>
      </c>
    </row>
    <row r="161" spans="1:17" hidden="1" x14ac:dyDescent="0.25">
      <c r="A161" s="507" t="s">
        <v>27</v>
      </c>
      <c r="B161" s="507"/>
      <c r="C161" s="587" t="s">
        <v>1499</v>
      </c>
      <c r="D161" s="1449"/>
      <c r="E161" s="505"/>
      <c r="F161" s="506"/>
      <c r="G161" s="511"/>
    </row>
    <row r="162" spans="1:17" hidden="1" x14ac:dyDescent="0.25">
      <c r="A162" s="1449" t="s">
        <v>310</v>
      </c>
      <c r="B162" s="504"/>
      <c r="C162" s="504"/>
      <c r="D162" s="504"/>
      <c r="E162" s="557"/>
      <c r="F162" s="557"/>
      <c r="G162" s="557"/>
      <c r="H162" s="600"/>
      <c r="I162" s="600"/>
      <c r="J162" s="600"/>
      <c r="K162" s="600"/>
      <c r="L162" s="565"/>
      <c r="M162" s="565"/>
      <c r="N162" s="565"/>
      <c r="O162" s="565"/>
      <c r="P162" s="565"/>
      <c r="Q162" s="565"/>
    </row>
    <row r="163" spans="1:17" hidden="1" x14ac:dyDescent="0.25">
      <c r="A163" s="2183" t="s">
        <v>8</v>
      </c>
      <c r="B163" s="2183" t="s">
        <v>35</v>
      </c>
      <c r="C163" s="2183"/>
      <c r="D163" s="2183" t="s">
        <v>61</v>
      </c>
      <c r="E163" s="2183" t="s">
        <v>1476</v>
      </c>
      <c r="F163" s="2183"/>
      <c r="G163" s="2183"/>
      <c r="H163" s="600"/>
      <c r="I163" s="600"/>
      <c r="J163" s="600"/>
      <c r="K163" s="600"/>
      <c r="L163" s="565"/>
      <c r="M163" s="565"/>
      <c r="N163" s="565"/>
      <c r="O163" s="565"/>
      <c r="P163" s="565"/>
      <c r="Q163" s="565"/>
    </row>
    <row r="164" spans="1:17" ht="32.25" hidden="1" customHeight="1" x14ac:dyDescent="0.25">
      <c r="A164" s="2183"/>
      <c r="B164" s="2183"/>
      <c r="C164" s="2183"/>
      <c r="D164" s="2183"/>
      <c r="E164" s="1408" t="s">
        <v>248</v>
      </c>
      <c r="F164" s="1408" t="s">
        <v>264</v>
      </c>
      <c r="G164" s="1408" t="s">
        <v>256</v>
      </c>
      <c r="H164" s="600"/>
      <c r="I164" s="600"/>
      <c r="J164" s="600"/>
      <c r="K164" s="600"/>
      <c r="L164" s="565"/>
      <c r="M164" s="565"/>
      <c r="N164" s="565"/>
      <c r="O164" s="565"/>
      <c r="P164" s="565"/>
      <c r="Q164" s="565"/>
    </row>
    <row r="165" spans="1:17" ht="34.5" hidden="1" customHeight="1" x14ac:dyDescent="0.25">
      <c r="A165" s="755">
        <v>1</v>
      </c>
      <c r="B165" s="2210" t="s">
        <v>649</v>
      </c>
      <c r="C165" s="2212"/>
      <c r="D165" s="756"/>
      <c r="E165" s="757"/>
      <c r="F165" s="676"/>
      <c r="G165" s="676"/>
      <c r="H165" s="600"/>
      <c r="I165" s="600"/>
      <c r="J165" s="600"/>
      <c r="K165" s="600"/>
      <c r="L165" s="565"/>
      <c r="M165" s="565"/>
      <c r="N165" s="565"/>
      <c r="O165" s="565"/>
      <c r="P165" s="565"/>
      <c r="Q165" s="565"/>
    </row>
    <row r="166" spans="1:17" ht="61.9" hidden="1" customHeight="1" x14ac:dyDescent="0.25">
      <c r="A166" s="755">
        <v>2</v>
      </c>
      <c r="B166" s="2210" t="s">
        <v>757</v>
      </c>
      <c r="C166" s="2212"/>
      <c r="D166" s="756"/>
      <c r="E166" s="757"/>
      <c r="F166" s="676"/>
      <c r="G166" s="676"/>
      <c r="H166" s="600"/>
      <c r="I166" s="600"/>
      <c r="J166" s="600"/>
      <c r="K166" s="600"/>
      <c r="L166" s="565"/>
      <c r="M166" s="565"/>
      <c r="N166" s="565"/>
      <c r="O166" s="565"/>
      <c r="P166" s="565"/>
      <c r="Q166" s="565"/>
    </row>
    <row r="167" spans="1:17" hidden="1" x14ac:dyDescent="0.25">
      <c r="A167" s="2181" t="s">
        <v>39</v>
      </c>
      <c r="B167" s="2181"/>
      <c r="C167" s="2181"/>
      <c r="D167" s="2181"/>
      <c r="E167" s="677" t="s">
        <v>82</v>
      </c>
      <c r="F167" s="677" t="s">
        <v>5</v>
      </c>
      <c r="G167" s="677">
        <f>SUM(G165:G166)</f>
        <v>0</v>
      </c>
      <c r="H167" s="600"/>
      <c r="I167" s="600"/>
      <c r="J167" s="600"/>
      <c r="K167" s="600"/>
      <c r="L167" s="565"/>
      <c r="M167" s="565"/>
      <c r="N167" s="565"/>
      <c r="O167" s="565"/>
      <c r="P167" s="565"/>
      <c r="Q167" s="565"/>
    </row>
    <row r="168" spans="1:17" hidden="1" x14ac:dyDescent="0.25">
      <c r="B168" s="557"/>
      <c r="C168" s="557"/>
      <c r="D168" s="557"/>
      <c r="E168" s="559"/>
      <c r="F168" s="559"/>
      <c r="G168" s="559"/>
      <c r="H168" s="600"/>
      <c r="I168" s="600"/>
      <c r="J168" s="600"/>
      <c r="K168" s="600"/>
      <c r="L168" s="565"/>
      <c r="M168" s="565"/>
      <c r="N168" s="565"/>
      <c r="O168" s="565"/>
      <c r="P168" s="565"/>
      <c r="Q168" s="565"/>
    </row>
    <row r="169" spans="1:17" hidden="1" x14ac:dyDescent="0.25">
      <c r="A169" s="1449" t="s">
        <v>1501</v>
      </c>
      <c r="D169" s="1449"/>
      <c r="E169" s="505"/>
    </row>
    <row r="170" spans="1:17" hidden="1" x14ac:dyDescent="0.25">
      <c r="A170" s="2285" t="s">
        <v>8</v>
      </c>
      <c r="B170" s="2201" t="s">
        <v>35</v>
      </c>
      <c r="C170" s="2203"/>
      <c r="D170" s="2285" t="s">
        <v>61</v>
      </c>
      <c r="E170" s="2183" t="s">
        <v>1476</v>
      </c>
      <c r="F170" s="2183"/>
      <c r="G170" s="2183"/>
    </row>
    <row r="171" spans="1:17" ht="30" hidden="1" x14ac:dyDescent="0.25">
      <c r="A171" s="2200"/>
      <c r="B171" s="2206"/>
      <c r="C171" s="2207"/>
      <c r="D171" s="2200"/>
      <c r="E171" s="1408" t="s">
        <v>248</v>
      </c>
      <c r="F171" s="1408" t="s">
        <v>264</v>
      </c>
      <c r="G171" s="1408" t="s">
        <v>256</v>
      </c>
    </row>
    <row r="172" spans="1:17" hidden="1" x14ac:dyDescent="0.25">
      <c r="A172" s="2445" t="s">
        <v>1498</v>
      </c>
      <c r="B172" s="2446"/>
      <c r="C172" s="2446"/>
      <c r="D172" s="2446"/>
      <c r="E172" s="2446"/>
      <c r="F172" s="2446"/>
      <c r="G172" s="2447"/>
    </row>
    <row r="173" spans="1:17" hidden="1" x14ac:dyDescent="0.25">
      <c r="A173" s="1419">
        <v>1</v>
      </c>
      <c r="B173" s="2448" t="s">
        <v>1502</v>
      </c>
      <c r="C173" s="2449"/>
      <c r="D173" s="1419" t="s">
        <v>399</v>
      </c>
      <c r="E173" s="1408"/>
      <c r="F173" s="676"/>
      <c r="G173" s="676">
        <f>E173*F173</f>
        <v>0</v>
      </c>
    </row>
    <row r="174" spans="1:17" hidden="1" x14ac:dyDescent="0.25">
      <c r="A174" s="2174" t="s">
        <v>39</v>
      </c>
      <c r="B174" s="2175"/>
      <c r="C174" s="2175"/>
      <c r="D174" s="2177"/>
      <c r="E174" s="677" t="s">
        <v>5</v>
      </c>
      <c r="F174" s="677" t="s">
        <v>5</v>
      </c>
      <c r="G174" s="101">
        <f>SUM(G173:G173)</f>
        <v>0</v>
      </c>
    </row>
    <row r="175" spans="1:17" hidden="1" x14ac:dyDescent="0.25">
      <c r="B175" s="557"/>
      <c r="C175" s="557"/>
      <c r="D175" s="557"/>
      <c r="E175" s="559"/>
      <c r="F175" s="559"/>
      <c r="G175" s="559"/>
      <c r="H175" s="600"/>
      <c r="I175" s="600"/>
      <c r="J175" s="600"/>
      <c r="K175" s="600"/>
      <c r="L175" s="565"/>
      <c r="M175" s="565"/>
      <c r="N175" s="565"/>
      <c r="O175" s="565"/>
      <c r="P175" s="565"/>
      <c r="Q175" s="565"/>
    </row>
    <row r="176" spans="1:17" s="556" customFormat="1" ht="14.25" hidden="1" x14ac:dyDescent="0.25">
      <c r="A176" s="507" t="s">
        <v>769</v>
      </c>
      <c r="B176" s="574"/>
      <c r="C176" s="574"/>
      <c r="D176" s="574"/>
      <c r="E176" s="574"/>
      <c r="F176" s="574"/>
      <c r="G176" s="575"/>
      <c r="H176" s="605"/>
      <c r="I176" s="605"/>
      <c r="J176" s="605"/>
      <c r="K176" s="605"/>
      <c r="L176" s="579"/>
      <c r="M176" s="579"/>
      <c r="N176" s="579"/>
      <c r="O176" s="579"/>
      <c r="P176" s="579"/>
    </row>
    <row r="177" spans="1:13" x14ac:dyDescent="0.25">
      <c r="A177" s="507" t="s">
        <v>63</v>
      </c>
      <c r="C177" s="563" t="s">
        <v>80</v>
      </c>
      <c r="D177" s="557"/>
      <c r="E177" s="559"/>
      <c r="F177" s="559"/>
      <c r="G177" s="554">
        <f>G197+G188+G179</f>
        <v>13900</v>
      </c>
    </row>
    <row r="178" spans="1:13" x14ac:dyDescent="0.25">
      <c r="A178" s="507"/>
      <c r="C178" s="563"/>
      <c r="D178" s="557"/>
      <c r="E178" s="559"/>
      <c r="F178" s="559"/>
      <c r="G178" s="554"/>
    </row>
    <row r="179" spans="1:13" s="1010" customFormat="1" hidden="1" x14ac:dyDescent="0.2">
      <c r="A179" s="507" t="s">
        <v>26</v>
      </c>
      <c r="B179" s="507"/>
      <c r="C179" s="587" t="s">
        <v>1969</v>
      </c>
      <c r="D179" s="1449"/>
      <c r="E179" s="505"/>
      <c r="F179" s="506"/>
      <c r="G179" s="511">
        <f>G186</f>
        <v>0</v>
      </c>
      <c r="H179" s="565"/>
      <c r="I179" s="565"/>
      <c r="J179" s="1504"/>
      <c r="K179" s="1504"/>
      <c r="L179" s="1505"/>
      <c r="M179" s="774"/>
    </row>
    <row r="180" spans="1:13" s="1010" customFormat="1" hidden="1" x14ac:dyDescent="0.2">
      <c r="A180" s="507" t="s">
        <v>27</v>
      </c>
      <c r="B180" s="507"/>
      <c r="C180" s="86" t="s">
        <v>1830</v>
      </c>
      <c r="D180" s="1449"/>
      <c r="E180" s="505"/>
      <c r="F180" s="506"/>
      <c r="G180" s="511"/>
      <c r="H180" s="1506"/>
      <c r="I180" s="565"/>
      <c r="J180" s="1504"/>
      <c r="K180" s="1504"/>
      <c r="L180" s="1505"/>
      <c r="M180" s="774"/>
    </row>
    <row r="181" spans="1:13" s="1004" customFormat="1" hidden="1" x14ac:dyDescent="0.25">
      <c r="A181" s="2443" t="s">
        <v>2012</v>
      </c>
      <c r="B181" s="2443"/>
      <c r="C181" s="2443"/>
      <c r="D181" s="2443"/>
      <c r="E181" s="2443"/>
      <c r="F181" s="2443"/>
      <c r="G181" s="2443"/>
      <c r="H181" s="893"/>
      <c r="I181" s="1003"/>
      <c r="J181" s="1003"/>
      <c r="K181" s="1003"/>
    </row>
    <row r="182" spans="1:13" s="1004" customFormat="1" hidden="1" x14ac:dyDescent="0.25">
      <c r="A182" s="2285" t="s">
        <v>8</v>
      </c>
      <c r="B182" s="2201" t="s">
        <v>35</v>
      </c>
      <c r="C182" s="2203"/>
      <c r="D182" s="2285" t="s">
        <v>61</v>
      </c>
      <c r="E182" s="2183" t="s">
        <v>1827</v>
      </c>
      <c r="F182" s="2183"/>
      <c r="G182" s="2183"/>
      <c r="H182" s="893"/>
      <c r="I182" s="1003"/>
      <c r="J182" s="1003"/>
      <c r="K182" s="1003"/>
    </row>
    <row r="183" spans="1:13" s="1004" customFormat="1" ht="33.75" hidden="1" customHeight="1" x14ac:dyDescent="0.25">
      <c r="A183" s="2200"/>
      <c r="B183" s="2206"/>
      <c r="C183" s="2207"/>
      <c r="D183" s="2200"/>
      <c r="E183" s="1408" t="s">
        <v>248</v>
      </c>
      <c r="F183" s="1408" t="s">
        <v>264</v>
      </c>
      <c r="G183" s="1408" t="s">
        <v>256</v>
      </c>
      <c r="H183" s="1005"/>
      <c r="I183" s="1005"/>
      <c r="J183" s="1005"/>
      <c r="K183" s="1005"/>
      <c r="L183" s="1005"/>
    </row>
    <row r="184" spans="1:13" s="1004" customFormat="1" ht="33" hidden="1" customHeight="1" x14ac:dyDescent="0.25">
      <c r="A184" s="1175">
        <v>1</v>
      </c>
      <c r="B184" s="2444" t="s">
        <v>2013</v>
      </c>
      <c r="C184" s="2444"/>
      <c r="D184" s="2444"/>
      <c r="E184" s="1534"/>
      <c r="F184" s="1363"/>
      <c r="G184" s="1535">
        <f>E184*F184</f>
        <v>0</v>
      </c>
      <c r="H184" s="1536"/>
      <c r="I184" s="1003"/>
      <c r="J184" s="1003"/>
      <c r="K184" s="1003"/>
      <c r="L184" s="1003"/>
    </row>
    <row r="185" spans="1:13" s="1004" customFormat="1" ht="33" hidden="1" customHeight="1" x14ac:dyDescent="0.25">
      <c r="A185" s="1175">
        <v>1</v>
      </c>
      <c r="B185" s="2444" t="s">
        <v>2014</v>
      </c>
      <c r="C185" s="2444"/>
      <c r="D185" s="2444"/>
      <c r="E185" s="1534"/>
      <c r="F185" s="1363"/>
      <c r="G185" s="1535">
        <f>E185*F185</f>
        <v>0</v>
      </c>
      <c r="H185" s="1536"/>
      <c r="I185" s="1003"/>
      <c r="J185" s="1003"/>
      <c r="K185" s="1003"/>
      <c r="L185" s="1003"/>
    </row>
    <row r="186" spans="1:13" s="1004" customFormat="1" ht="15.75" hidden="1" customHeight="1" x14ac:dyDescent="0.25">
      <c r="A186" s="2407" t="s">
        <v>39</v>
      </c>
      <c r="B186" s="2384"/>
      <c r="C186" s="2384"/>
      <c r="D186" s="2384"/>
      <c r="E186" s="2384"/>
      <c r="F186" s="2385"/>
      <c r="G186" s="1537">
        <f>SUM(G184:G185)</f>
        <v>0</v>
      </c>
      <c r="H186" s="1008"/>
      <c r="I186" s="1003"/>
      <c r="J186" s="1003"/>
      <c r="K186" s="1003"/>
      <c r="L186" s="1003"/>
    </row>
    <row r="187" spans="1:13" hidden="1" x14ac:dyDescent="0.25">
      <c r="A187" s="507"/>
      <c r="C187" s="563"/>
      <c r="D187" s="557"/>
      <c r="E187" s="559"/>
      <c r="F187" s="559"/>
      <c r="G187" s="554"/>
    </row>
    <row r="188" spans="1:13" s="1010" customFormat="1" ht="15.75" customHeight="1" x14ac:dyDescent="0.2">
      <c r="A188" s="1011" t="s">
        <v>1503</v>
      </c>
      <c r="B188" s="1011"/>
      <c r="C188" s="587" t="s">
        <v>770</v>
      </c>
      <c r="D188" s="1011"/>
      <c r="E188" s="1011"/>
      <c r="F188" s="1011"/>
      <c r="G188" s="1002">
        <f>G195</f>
        <v>13900</v>
      </c>
      <c r="H188" s="694"/>
      <c r="I188" s="1009"/>
      <c r="J188" s="1009"/>
      <c r="K188" s="1009"/>
      <c r="L188" s="1009"/>
    </row>
    <row r="189" spans="1:13" s="1010" customFormat="1" ht="15.75" customHeight="1" x14ac:dyDescent="0.2">
      <c r="A189" s="1011" t="s">
        <v>1504</v>
      </c>
      <c r="B189" s="1011"/>
      <c r="C189" s="86" t="s">
        <v>2018</v>
      </c>
      <c r="D189" s="1011"/>
      <c r="E189" s="1011"/>
      <c r="F189" s="1011"/>
      <c r="G189" s="1011"/>
      <c r="H189" s="694"/>
      <c r="I189" s="1009"/>
      <c r="J189" s="1009"/>
      <c r="K189" s="1009"/>
    </row>
    <row r="190" spans="1:13" s="1004" customFormat="1" x14ac:dyDescent="0.25">
      <c r="A190" s="2443" t="s">
        <v>1719</v>
      </c>
      <c r="B190" s="2443"/>
      <c r="C190" s="2443"/>
      <c r="D190" s="2443"/>
      <c r="E190" s="2443"/>
      <c r="F190" s="2443"/>
      <c r="G190" s="2443"/>
      <c r="H190" s="893"/>
      <c r="I190" s="1003"/>
      <c r="J190" s="1003"/>
      <c r="K190" s="1003"/>
    </row>
    <row r="191" spans="1:13" s="1004" customFormat="1" x14ac:dyDescent="0.25">
      <c r="A191" s="2285" t="s">
        <v>8</v>
      </c>
      <c r="B191" s="2201" t="s">
        <v>35</v>
      </c>
      <c r="C191" s="2203"/>
      <c r="D191" s="2285" t="s">
        <v>61</v>
      </c>
      <c r="E191" s="2183" t="s">
        <v>2048</v>
      </c>
      <c r="F191" s="2183"/>
      <c r="G191" s="2183"/>
      <c r="H191" s="893"/>
      <c r="I191" s="1003"/>
      <c r="J191" s="1003"/>
      <c r="K191" s="1003"/>
    </row>
    <row r="192" spans="1:13" s="1004" customFormat="1" ht="30" x14ac:dyDescent="0.25">
      <c r="A192" s="2200"/>
      <c r="B192" s="2206"/>
      <c r="C192" s="2207"/>
      <c r="D192" s="2200"/>
      <c r="E192" s="1408" t="s">
        <v>248</v>
      </c>
      <c r="F192" s="1408" t="s">
        <v>264</v>
      </c>
      <c r="G192" s="1408" t="s">
        <v>256</v>
      </c>
      <c r="H192" s="1005"/>
      <c r="I192" s="1005"/>
      <c r="J192" s="1005"/>
      <c r="K192" s="1005"/>
      <c r="L192" s="1005"/>
    </row>
    <row r="193" spans="1:12" x14ac:dyDescent="0.25">
      <c r="A193" s="2445" t="s">
        <v>1498</v>
      </c>
      <c r="B193" s="2446"/>
      <c r="C193" s="2446"/>
      <c r="D193" s="2446"/>
      <c r="E193" s="2446"/>
      <c r="F193" s="2446"/>
      <c r="G193" s="2447"/>
    </row>
    <row r="194" spans="1:12" s="1004" customFormat="1" x14ac:dyDescent="0.25">
      <c r="A194" s="541">
        <v>1</v>
      </c>
      <c r="B194" s="2450" t="s">
        <v>2020</v>
      </c>
      <c r="C194" s="2451"/>
      <c r="D194" s="1419" t="s">
        <v>245</v>
      </c>
      <c r="E194" s="1006">
        <v>1</v>
      </c>
      <c r="F194" s="386">
        <v>13900</v>
      </c>
      <c r="G194" s="711">
        <f>E194*F194</f>
        <v>13900</v>
      </c>
      <c r="H194" s="1007"/>
      <c r="I194" s="1003"/>
      <c r="J194" s="1003"/>
      <c r="K194" s="1003"/>
      <c r="L194" s="1003"/>
    </row>
    <row r="195" spans="1:12" s="1004" customFormat="1" ht="15.75" customHeight="1" x14ac:dyDescent="0.25">
      <c r="A195" s="2383" t="s">
        <v>39</v>
      </c>
      <c r="B195" s="2384"/>
      <c r="C195" s="2384"/>
      <c r="D195" s="2384"/>
      <c r="E195" s="2384"/>
      <c r="F195" s="2385"/>
      <c r="G195" s="1252">
        <f>SUM(G194:G194)</f>
        <v>13900</v>
      </c>
      <c r="H195" s="1008"/>
      <c r="I195" s="1071"/>
      <c r="J195" s="1003"/>
      <c r="K195" s="1003"/>
      <c r="L195" s="1003"/>
    </row>
    <row r="196" spans="1:12" x14ac:dyDescent="0.25">
      <c r="A196" s="507"/>
      <c r="C196" s="563"/>
      <c r="D196" s="557"/>
      <c r="E196" s="559"/>
      <c r="F196" s="559"/>
      <c r="G196" s="554"/>
    </row>
    <row r="197" spans="1:12" s="1010" customFormat="1" ht="15.75" hidden="1" customHeight="1" x14ac:dyDescent="0.2">
      <c r="A197" s="1011" t="s">
        <v>1503</v>
      </c>
      <c r="B197" s="1011"/>
      <c r="C197" s="1011" t="s">
        <v>1497</v>
      </c>
      <c r="D197" s="1011"/>
      <c r="E197" s="1011"/>
      <c r="F197" s="1011"/>
      <c r="G197" s="1002">
        <f>G206</f>
        <v>0</v>
      </c>
      <c r="H197" s="694"/>
      <c r="I197" s="1009"/>
      <c r="J197" s="1009"/>
      <c r="K197" s="1009"/>
      <c r="L197" s="1009"/>
    </row>
    <row r="198" spans="1:12" s="1010" customFormat="1" ht="15.75" hidden="1" customHeight="1" x14ac:dyDescent="0.2">
      <c r="A198" s="1011" t="s">
        <v>1504</v>
      </c>
      <c r="B198" s="1011"/>
      <c r="C198" s="86" t="s">
        <v>1830</v>
      </c>
      <c r="D198" s="1011"/>
      <c r="E198" s="1011"/>
      <c r="F198" s="1011"/>
      <c r="G198" s="1011"/>
      <c r="H198" s="694"/>
      <c r="I198" s="1009"/>
      <c r="J198" s="1009"/>
      <c r="K198" s="1009"/>
    </row>
    <row r="199" spans="1:12" s="1004" customFormat="1" hidden="1" x14ac:dyDescent="0.25">
      <c r="A199" s="2443" t="s">
        <v>1535</v>
      </c>
      <c r="B199" s="2443"/>
      <c r="C199" s="2443"/>
      <c r="D199" s="2443"/>
      <c r="E199" s="2443"/>
      <c r="F199" s="2443"/>
      <c r="G199" s="2443"/>
      <c r="H199" s="893"/>
      <c r="I199" s="1003"/>
      <c r="J199" s="1003"/>
      <c r="K199" s="1003"/>
    </row>
    <row r="200" spans="1:12" s="1004" customFormat="1" hidden="1" x14ac:dyDescent="0.25">
      <c r="A200" s="2285" t="s">
        <v>8</v>
      </c>
      <c r="B200" s="2201" t="s">
        <v>35</v>
      </c>
      <c r="C200" s="2203"/>
      <c r="D200" s="2285" t="s">
        <v>61</v>
      </c>
      <c r="E200" s="2183" t="s">
        <v>1827</v>
      </c>
      <c r="F200" s="2183"/>
      <c r="G200" s="2183"/>
      <c r="H200" s="893"/>
      <c r="I200" s="1003"/>
      <c r="J200" s="1003"/>
      <c r="K200" s="1003"/>
    </row>
    <row r="201" spans="1:12" s="1004" customFormat="1" ht="30" hidden="1" x14ac:dyDescent="0.25">
      <c r="A201" s="2200"/>
      <c r="B201" s="2206"/>
      <c r="C201" s="2207"/>
      <c r="D201" s="2200"/>
      <c r="E201" s="1408" t="s">
        <v>248</v>
      </c>
      <c r="F201" s="1408" t="s">
        <v>264</v>
      </c>
      <c r="G201" s="1408" t="s">
        <v>256</v>
      </c>
      <c r="H201" s="1005"/>
      <c r="I201" s="1005"/>
      <c r="J201" s="1005"/>
      <c r="K201" s="1005"/>
      <c r="L201" s="1005"/>
    </row>
    <row r="202" spans="1:12" s="1004" customFormat="1" hidden="1" x14ac:dyDescent="0.25">
      <c r="A202" s="541">
        <v>1</v>
      </c>
      <c r="B202" s="2452" t="s">
        <v>2015</v>
      </c>
      <c r="C202" s="2453"/>
      <c r="D202" s="1419" t="s">
        <v>245</v>
      </c>
      <c r="E202" s="1006"/>
      <c r="F202" s="386"/>
      <c r="G202" s="711">
        <f>E202*F202</f>
        <v>0</v>
      </c>
      <c r="H202" s="1007"/>
      <c r="I202" s="1003"/>
      <c r="J202" s="1003"/>
      <c r="K202" s="1003"/>
      <c r="L202" s="1003"/>
    </row>
    <row r="203" spans="1:12" s="1004" customFormat="1" hidden="1" x14ac:dyDescent="0.25">
      <c r="A203" s="541">
        <v>2</v>
      </c>
      <c r="B203" s="2452" t="s">
        <v>2016</v>
      </c>
      <c r="C203" s="2453"/>
      <c r="D203" s="1419" t="s">
        <v>245</v>
      </c>
      <c r="E203" s="1006"/>
      <c r="F203" s="386"/>
      <c r="G203" s="711">
        <f>E203*F203</f>
        <v>0</v>
      </c>
      <c r="H203" s="1007"/>
      <c r="I203" s="1003"/>
      <c r="J203" s="1003"/>
      <c r="K203" s="1003"/>
      <c r="L203" s="1003"/>
    </row>
    <row r="204" spans="1:12" s="1004" customFormat="1" hidden="1" x14ac:dyDescent="0.25">
      <c r="A204" s="541">
        <v>2</v>
      </c>
      <c r="B204" s="2452" t="s">
        <v>2017</v>
      </c>
      <c r="C204" s="2453"/>
      <c r="D204" s="1419" t="s">
        <v>245</v>
      </c>
      <c r="E204" s="1006"/>
      <c r="F204" s="386"/>
      <c r="G204" s="711">
        <f>E204*F204</f>
        <v>0</v>
      </c>
      <c r="H204" s="1007"/>
      <c r="I204" s="1003"/>
      <c r="J204" s="1003"/>
      <c r="K204" s="1003"/>
      <c r="L204" s="1003"/>
    </row>
    <row r="205" spans="1:12" s="1004" customFormat="1" ht="15.75" hidden="1" x14ac:dyDescent="0.25">
      <c r="A205" s="2376" t="s">
        <v>1506</v>
      </c>
      <c r="B205" s="2454"/>
      <c r="C205" s="2454"/>
      <c r="D205" s="2454"/>
      <c r="E205" s="2454"/>
      <c r="F205" s="2455"/>
      <c r="G205" s="1072">
        <f>1278-1278</f>
        <v>0</v>
      </c>
      <c r="H205" s="1007"/>
      <c r="I205" s="1003"/>
      <c r="J205" s="1003"/>
      <c r="K205" s="1003"/>
      <c r="L205" s="1003"/>
    </row>
    <row r="206" spans="1:12" s="1004" customFormat="1" ht="15.75" hidden="1" customHeight="1" x14ac:dyDescent="0.25">
      <c r="A206" s="2383" t="s">
        <v>39</v>
      </c>
      <c r="B206" s="2384"/>
      <c r="C206" s="2384"/>
      <c r="D206" s="2384"/>
      <c r="E206" s="2384"/>
      <c r="F206" s="2385"/>
      <c r="G206" s="1252">
        <f>SUM(G202:G205)</f>
        <v>0</v>
      </c>
      <c r="H206" s="1008"/>
      <c r="I206" s="1071"/>
      <c r="J206" s="1003"/>
      <c r="K206" s="1003"/>
      <c r="L206" s="1003"/>
    </row>
    <row r="207" spans="1:12" hidden="1" x14ac:dyDescent="0.25">
      <c r="A207" s="507"/>
      <c r="C207" s="563"/>
      <c r="D207" s="557"/>
      <c r="E207" s="559"/>
      <c r="F207" s="559"/>
      <c r="G207" s="554"/>
    </row>
    <row r="208" spans="1:12" hidden="1" x14ac:dyDescent="0.25">
      <c r="A208" s="507" t="s">
        <v>26</v>
      </c>
      <c r="B208" s="507"/>
      <c r="C208" s="587" t="s">
        <v>1369</v>
      </c>
      <c r="D208" s="1449"/>
      <c r="E208" s="505"/>
      <c r="F208" s="506"/>
      <c r="G208" s="511">
        <f>G215</f>
        <v>0</v>
      </c>
    </row>
    <row r="209" spans="1:12" hidden="1" x14ac:dyDescent="0.25">
      <c r="A209" s="507" t="s">
        <v>27</v>
      </c>
      <c r="B209" s="507"/>
      <c r="C209" s="587" t="s">
        <v>1370</v>
      </c>
      <c r="D209" s="1449"/>
      <c r="E209" s="505"/>
      <c r="F209" s="506"/>
      <c r="G209" s="511"/>
    </row>
    <row r="210" spans="1:12" hidden="1" x14ac:dyDescent="0.25">
      <c r="A210" s="1449" t="s">
        <v>771</v>
      </c>
      <c r="D210" s="1449"/>
      <c r="E210" s="505"/>
    </row>
    <row r="211" spans="1:12" hidden="1" x14ac:dyDescent="0.25">
      <c r="A211" s="2285" t="s">
        <v>8</v>
      </c>
      <c r="B211" s="2201" t="s">
        <v>35</v>
      </c>
      <c r="C211" s="2203"/>
      <c r="D211" s="2285" t="s">
        <v>61</v>
      </c>
      <c r="E211" s="2183" t="s">
        <v>735</v>
      </c>
      <c r="F211" s="2183"/>
      <c r="G211" s="2183"/>
    </row>
    <row r="212" spans="1:12" ht="30" hidden="1" x14ac:dyDescent="0.25">
      <c r="A212" s="2200"/>
      <c r="B212" s="2206"/>
      <c r="C212" s="2207"/>
      <c r="D212" s="2200"/>
      <c r="E212" s="1408" t="s">
        <v>248</v>
      </c>
      <c r="F212" s="1408" t="s">
        <v>264</v>
      </c>
      <c r="G212" s="1408" t="s">
        <v>256</v>
      </c>
    </row>
    <row r="213" spans="1:12" hidden="1" x14ac:dyDescent="0.25">
      <c r="A213" s="2445" t="s">
        <v>1371</v>
      </c>
      <c r="B213" s="2446"/>
      <c r="C213" s="2446"/>
      <c r="D213" s="2446"/>
      <c r="E213" s="2446"/>
      <c r="F213" s="2446"/>
      <c r="G213" s="2447"/>
    </row>
    <row r="214" spans="1:12" hidden="1" x14ac:dyDescent="0.25">
      <c r="A214" s="1419">
        <v>1</v>
      </c>
      <c r="B214" s="2448" t="s">
        <v>772</v>
      </c>
      <c r="C214" s="2449"/>
      <c r="D214" s="1419" t="s">
        <v>245</v>
      </c>
      <c r="E214" s="1408"/>
      <c r="F214" s="676"/>
      <c r="G214" s="676">
        <f>E214*F214</f>
        <v>0</v>
      </c>
    </row>
    <row r="215" spans="1:12" hidden="1" x14ac:dyDescent="0.25">
      <c r="A215" s="2174" t="s">
        <v>39</v>
      </c>
      <c r="B215" s="2175"/>
      <c r="C215" s="2175"/>
      <c r="D215" s="2177"/>
      <c r="E215" s="677" t="s">
        <v>5</v>
      </c>
      <c r="F215" s="677" t="s">
        <v>5</v>
      </c>
      <c r="G215" s="101">
        <f>SUM(G214:G214)</f>
        <v>0</v>
      </c>
    </row>
    <row r="216" spans="1:12" hidden="1" x14ac:dyDescent="0.25">
      <c r="A216" s="507" t="s">
        <v>63</v>
      </c>
      <c r="C216" s="563" t="s">
        <v>1505</v>
      </c>
      <c r="D216" s="557"/>
      <c r="E216" s="559"/>
      <c r="F216" s="559"/>
      <c r="G216" s="554">
        <f>G217</f>
        <v>0</v>
      </c>
    </row>
    <row r="217" spans="1:12" s="1010" customFormat="1" ht="15.75" hidden="1" customHeight="1" x14ac:dyDescent="0.2">
      <c r="A217" s="1011" t="s">
        <v>1503</v>
      </c>
      <c r="B217" s="1011"/>
      <c r="C217" s="1011" t="s">
        <v>1497</v>
      </c>
      <c r="D217" s="1011"/>
      <c r="E217" s="1011"/>
      <c r="F217" s="1011"/>
      <c r="G217" s="1002">
        <f>G224</f>
        <v>0</v>
      </c>
      <c r="H217" s="694"/>
      <c r="I217" s="1009"/>
      <c r="J217" s="1009"/>
      <c r="K217" s="1009"/>
      <c r="L217" s="1009"/>
    </row>
    <row r="218" spans="1:12" s="1010" customFormat="1" ht="15.75" hidden="1" customHeight="1" x14ac:dyDescent="0.2">
      <c r="A218" s="1011" t="s">
        <v>1504</v>
      </c>
      <c r="B218" s="1011"/>
      <c r="C218" s="86" t="s">
        <v>1830</v>
      </c>
      <c r="D218" s="1011"/>
      <c r="E218" s="1011"/>
      <c r="F218" s="1011"/>
      <c r="G218" s="1011"/>
      <c r="H218" s="694"/>
      <c r="I218" s="1009"/>
      <c r="J218" s="1009"/>
      <c r="K218" s="1009"/>
    </row>
    <row r="219" spans="1:12" s="1004" customFormat="1" hidden="1" x14ac:dyDescent="0.25">
      <c r="A219" s="2443" t="s">
        <v>1535</v>
      </c>
      <c r="B219" s="2443"/>
      <c r="C219" s="2443"/>
      <c r="D219" s="2443"/>
      <c r="E219" s="2443"/>
      <c r="F219" s="2443"/>
      <c r="G219" s="2443"/>
      <c r="H219" s="893"/>
      <c r="I219" s="1003"/>
      <c r="J219" s="1003"/>
      <c r="K219" s="1003"/>
    </row>
    <row r="220" spans="1:12" s="1004" customFormat="1" hidden="1" x14ac:dyDescent="0.25">
      <c r="A220" s="2285" t="s">
        <v>8</v>
      </c>
      <c r="B220" s="2201" t="s">
        <v>35</v>
      </c>
      <c r="C220" s="2203"/>
      <c r="D220" s="2285" t="s">
        <v>61</v>
      </c>
      <c r="E220" s="2183" t="s">
        <v>1827</v>
      </c>
      <c r="F220" s="2183"/>
      <c r="G220" s="2183"/>
      <c r="H220" s="893"/>
      <c r="I220" s="1003"/>
      <c r="J220" s="1003"/>
      <c r="K220" s="1003"/>
    </row>
    <row r="221" spans="1:12" s="1004" customFormat="1" ht="30" hidden="1" x14ac:dyDescent="0.25">
      <c r="A221" s="2200"/>
      <c r="B221" s="2206"/>
      <c r="C221" s="2207"/>
      <c r="D221" s="2200"/>
      <c r="E221" s="1408" t="s">
        <v>248</v>
      </c>
      <c r="F221" s="1408" t="s">
        <v>264</v>
      </c>
      <c r="G221" s="1408" t="s">
        <v>256</v>
      </c>
      <c r="H221" s="1005"/>
      <c r="I221" s="1005"/>
      <c r="J221" s="1005"/>
      <c r="K221" s="1005"/>
      <c r="L221" s="1005"/>
    </row>
    <row r="222" spans="1:12" s="1004" customFormat="1" ht="15" hidden="1" customHeight="1" x14ac:dyDescent="0.25">
      <c r="A222" s="541">
        <v>1</v>
      </c>
      <c r="B222" s="2452" t="s">
        <v>2019</v>
      </c>
      <c r="C222" s="2453"/>
      <c r="D222" s="1419" t="s">
        <v>724</v>
      </c>
      <c r="E222" s="1006"/>
      <c r="F222" s="386"/>
      <c r="G222" s="711">
        <f>E222*F222</f>
        <v>0</v>
      </c>
      <c r="H222" s="1007"/>
      <c r="I222" s="1003"/>
      <c r="J222" s="1003"/>
      <c r="K222" s="1003"/>
      <c r="L222" s="1003"/>
    </row>
    <row r="223" spans="1:12" s="1004" customFormat="1" ht="15.75" hidden="1" x14ac:dyDescent="0.25">
      <c r="A223" s="2376" t="s">
        <v>1506</v>
      </c>
      <c r="B223" s="2454"/>
      <c r="C223" s="2454"/>
      <c r="D223" s="2454"/>
      <c r="E223" s="2454"/>
      <c r="F223" s="2455"/>
      <c r="G223" s="1072">
        <f>1000-1000</f>
        <v>0</v>
      </c>
      <c r="H223" s="1007"/>
      <c r="I223" s="1003"/>
      <c r="J223" s="1003"/>
      <c r="K223" s="1003"/>
      <c r="L223" s="1003"/>
    </row>
    <row r="224" spans="1:12" s="1004" customFormat="1" ht="15.75" hidden="1" customHeight="1" x14ac:dyDescent="0.25">
      <c r="A224" s="2383" t="s">
        <v>39</v>
      </c>
      <c r="B224" s="2384"/>
      <c r="C224" s="2384"/>
      <c r="D224" s="2384"/>
      <c r="E224" s="2384"/>
      <c r="F224" s="2385"/>
      <c r="G224" s="1252">
        <f>SUM(G222:G223)</f>
        <v>0</v>
      </c>
      <c r="H224" s="1008"/>
      <c r="I224" s="1071"/>
      <c r="J224" s="1003"/>
      <c r="K224" s="1003"/>
      <c r="L224" s="1003"/>
    </row>
    <row r="225" spans="1:7" hidden="1" x14ac:dyDescent="0.25">
      <c r="A225" s="560"/>
      <c r="B225" s="560"/>
      <c r="C225" s="560"/>
      <c r="D225" s="560"/>
      <c r="E225" s="748"/>
      <c r="F225" s="748"/>
      <c r="G225" s="92"/>
    </row>
    <row r="226" spans="1:7" hidden="1" x14ac:dyDescent="0.25">
      <c r="A226" s="507" t="s">
        <v>63</v>
      </c>
      <c r="C226" s="563" t="s">
        <v>81</v>
      </c>
      <c r="D226" s="557"/>
      <c r="E226" s="559"/>
      <c r="F226" s="559"/>
      <c r="G226" s="554">
        <f>G227</f>
        <v>0</v>
      </c>
    </row>
    <row r="227" spans="1:7" hidden="1" x14ac:dyDescent="0.25">
      <c r="A227" s="507" t="s">
        <v>26</v>
      </c>
      <c r="B227" s="507"/>
      <c r="C227" s="587" t="s">
        <v>770</v>
      </c>
      <c r="D227" s="1449"/>
      <c r="E227" s="505"/>
      <c r="F227" s="506"/>
      <c r="G227" s="511">
        <f>G234</f>
        <v>0</v>
      </c>
    </row>
    <row r="228" spans="1:7" hidden="1" x14ac:dyDescent="0.25">
      <c r="A228" s="507" t="s">
        <v>27</v>
      </c>
      <c r="B228" s="507"/>
      <c r="C228" s="587" t="s">
        <v>1499</v>
      </c>
      <c r="D228" s="1449"/>
      <c r="E228" s="505"/>
      <c r="F228" s="506"/>
      <c r="G228" s="511"/>
    </row>
    <row r="229" spans="1:7" hidden="1" x14ac:dyDescent="0.25">
      <c r="A229" s="1449" t="s">
        <v>1804</v>
      </c>
      <c r="D229" s="1449"/>
      <c r="E229" s="505"/>
    </row>
    <row r="230" spans="1:7" hidden="1" x14ac:dyDescent="0.25">
      <c r="A230" s="2285" t="s">
        <v>8</v>
      </c>
      <c r="B230" s="2201" t="s">
        <v>35</v>
      </c>
      <c r="C230" s="2203"/>
      <c r="D230" s="2285" t="s">
        <v>61</v>
      </c>
      <c r="E230" s="2183" t="s">
        <v>1476</v>
      </c>
      <c r="F230" s="2183"/>
      <c r="G230" s="2183"/>
    </row>
    <row r="231" spans="1:7" ht="31.5" hidden="1" customHeight="1" x14ac:dyDescent="0.25">
      <c r="A231" s="2200"/>
      <c r="B231" s="2206"/>
      <c r="C231" s="2207"/>
      <c r="D231" s="2200"/>
      <c r="E231" s="1408" t="s">
        <v>248</v>
      </c>
      <c r="F231" s="1408" t="s">
        <v>264</v>
      </c>
      <c r="G231" s="1408" t="s">
        <v>256</v>
      </c>
    </row>
    <row r="232" spans="1:7" hidden="1" x14ac:dyDescent="0.25">
      <c r="A232" s="2445" t="s">
        <v>1498</v>
      </c>
      <c r="B232" s="2446"/>
      <c r="C232" s="2446"/>
      <c r="D232" s="2446"/>
      <c r="E232" s="2446"/>
      <c r="F232" s="2446"/>
      <c r="G232" s="2447"/>
    </row>
    <row r="233" spans="1:7" ht="15" hidden="1" customHeight="1" x14ac:dyDescent="0.25">
      <c r="A233" s="1419">
        <v>1</v>
      </c>
      <c r="B233" s="2448" t="s">
        <v>1806</v>
      </c>
      <c r="C233" s="2449"/>
      <c r="D233" s="1419" t="s">
        <v>399</v>
      </c>
      <c r="E233" s="1408"/>
      <c r="F233" s="676"/>
      <c r="G233" s="676">
        <f>E233*F233</f>
        <v>0</v>
      </c>
    </row>
    <row r="234" spans="1:7" hidden="1" x14ac:dyDescent="0.25">
      <c r="A234" s="2174" t="s">
        <v>39</v>
      </c>
      <c r="B234" s="2175"/>
      <c r="C234" s="2175"/>
      <c r="D234" s="2177"/>
      <c r="E234" s="677" t="s">
        <v>5</v>
      </c>
      <c r="F234" s="677" t="s">
        <v>5</v>
      </c>
      <c r="G234" s="101">
        <f>SUM(G233:G233)</f>
        <v>0</v>
      </c>
    </row>
    <row r="235" spans="1:7" hidden="1" x14ac:dyDescent="0.25">
      <c r="A235" s="752"/>
      <c r="B235" s="752"/>
      <c r="C235" s="752"/>
      <c r="D235" s="752"/>
      <c r="E235" s="753"/>
      <c r="F235" s="753"/>
      <c r="G235" s="554"/>
    </row>
    <row r="236" spans="1:7" x14ac:dyDescent="0.25">
      <c r="A236" s="507" t="s">
        <v>63</v>
      </c>
      <c r="C236" s="563" t="s">
        <v>98</v>
      </c>
      <c r="D236" s="557"/>
      <c r="E236" s="559"/>
      <c r="F236" s="559"/>
      <c r="G236" s="554">
        <f>G255+G238</f>
        <v>23600</v>
      </c>
    </row>
    <row r="237" spans="1:7" hidden="1" x14ac:dyDescent="0.25">
      <c r="A237" s="507"/>
      <c r="C237" s="563"/>
      <c r="D237" s="557"/>
      <c r="E237" s="559"/>
      <c r="F237" s="559"/>
      <c r="G237" s="554"/>
    </row>
    <row r="238" spans="1:7" hidden="1" x14ac:dyDescent="0.25">
      <c r="A238" s="507" t="s">
        <v>26</v>
      </c>
      <c r="B238" s="507"/>
      <c r="C238" s="1011" t="s">
        <v>1369</v>
      </c>
      <c r="D238" s="1449"/>
      <c r="E238" s="505"/>
      <c r="F238" s="506"/>
      <c r="G238" s="511">
        <f>G245+G253</f>
        <v>0</v>
      </c>
    </row>
    <row r="239" spans="1:7" hidden="1" x14ac:dyDescent="0.25">
      <c r="A239" s="507" t="s">
        <v>27</v>
      </c>
      <c r="B239" s="507"/>
      <c r="C239" s="1011" t="s">
        <v>115</v>
      </c>
      <c r="D239" s="1449"/>
      <c r="E239" s="505"/>
      <c r="F239" s="506"/>
      <c r="G239" s="511"/>
    </row>
    <row r="240" spans="1:7" hidden="1" x14ac:dyDescent="0.25">
      <c r="A240" s="1449" t="s">
        <v>773</v>
      </c>
      <c r="D240" s="1449"/>
      <c r="E240" s="505"/>
    </row>
    <row r="241" spans="1:7" hidden="1" x14ac:dyDescent="0.25">
      <c r="A241" s="2285" t="s">
        <v>8</v>
      </c>
      <c r="B241" s="2201" t="s">
        <v>35</v>
      </c>
      <c r="C241" s="2203"/>
      <c r="D241" s="2285" t="s">
        <v>61</v>
      </c>
      <c r="E241" s="2183" t="s">
        <v>1476</v>
      </c>
      <c r="F241" s="2183"/>
      <c r="G241" s="2183"/>
    </row>
    <row r="242" spans="1:7" ht="30" hidden="1" x14ac:dyDescent="0.25">
      <c r="A242" s="2200"/>
      <c r="B242" s="2206"/>
      <c r="C242" s="2207"/>
      <c r="D242" s="2200"/>
      <c r="E242" s="1408" t="s">
        <v>248</v>
      </c>
      <c r="F242" s="1408" t="s">
        <v>264</v>
      </c>
      <c r="G242" s="1408" t="s">
        <v>256</v>
      </c>
    </row>
    <row r="243" spans="1:7" hidden="1" x14ac:dyDescent="0.25">
      <c r="A243" s="2445" t="s">
        <v>1734</v>
      </c>
      <c r="B243" s="2446"/>
      <c r="C243" s="2446"/>
      <c r="D243" s="2446"/>
      <c r="E243" s="2446"/>
      <c r="F243" s="2446"/>
      <c r="G243" s="2447"/>
    </row>
    <row r="244" spans="1:7" hidden="1" x14ac:dyDescent="0.25">
      <c r="A244" s="1413">
        <v>1</v>
      </c>
      <c r="B244" s="2456" t="s">
        <v>1500</v>
      </c>
      <c r="C244" s="2457"/>
      <c r="D244" s="758" t="s">
        <v>245</v>
      </c>
      <c r="E244" s="759"/>
      <c r="F244" s="884"/>
      <c r="G244" s="676">
        <f>E244*F244</f>
        <v>0</v>
      </c>
    </row>
    <row r="245" spans="1:7" hidden="1" x14ac:dyDescent="0.25">
      <c r="A245" s="2174" t="s">
        <v>39</v>
      </c>
      <c r="B245" s="2175"/>
      <c r="C245" s="2175"/>
      <c r="D245" s="2177"/>
      <c r="E245" s="677" t="s">
        <v>5</v>
      </c>
      <c r="F245" s="677" t="s">
        <v>5</v>
      </c>
      <c r="G245" s="101">
        <f>SUM(G244:G244)</f>
        <v>0</v>
      </c>
    </row>
    <row r="246" spans="1:7" hidden="1" x14ac:dyDescent="0.25">
      <c r="A246" s="560"/>
      <c r="B246" s="560"/>
      <c r="C246" s="560"/>
      <c r="D246" s="560"/>
      <c r="E246" s="748"/>
      <c r="F246" s="748"/>
      <c r="G246" s="92"/>
    </row>
    <row r="247" spans="1:7" s="61" customFormat="1" hidden="1" x14ac:dyDescent="0.25">
      <c r="A247" s="1457" t="s">
        <v>773</v>
      </c>
      <c r="B247" s="1457"/>
      <c r="C247" s="1457"/>
      <c r="D247" s="1457"/>
      <c r="E247" s="60"/>
      <c r="F247" s="60"/>
      <c r="G247" s="60"/>
    </row>
    <row r="248" spans="1:7" hidden="1" x14ac:dyDescent="0.25">
      <c r="A248" s="2285" t="s">
        <v>8</v>
      </c>
      <c r="B248" s="2201" t="s">
        <v>35</v>
      </c>
      <c r="C248" s="2203"/>
      <c r="D248" s="2285" t="s">
        <v>61</v>
      </c>
      <c r="E248" s="2183" t="s">
        <v>1476</v>
      </c>
      <c r="F248" s="2183"/>
      <c r="G248" s="2183"/>
    </row>
    <row r="249" spans="1:7" ht="30" hidden="1" x14ac:dyDescent="0.25">
      <c r="A249" s="2200"/>
      <c r="B249" s="2206"/>
      <c r="C249" s="2207"/>
      <c r="D249" s="2200"/>
      <c r="E249" s="1408" t="s">
        <v>248</v>
      </c>
      <c r="F249" s="1408" t="s">
        <v>264</v>
      </c>
      <c r="G249" s="1408" t="s">
        <v>256</v>
      </c>
    </row>
    <row r="250" spans="1:7" hidden="1" x14ac:dyDescent="0.25">
      <c r="A250" s="2373" t="s">
        <v>1799</v>
      </c>
      <c r="B250" s="2374"/>
      <c r="C250" s="2374"/>
      <c r="D250" s="2374"/>
      <c r="E250" s="2374"/>
      <c r="F250" s="2374"/>
      <c r="G250" s="2375"/>
    </row>
    <row r="251" spans="1:7" hidden="1" x14ac:dyDescent="0.25">
      <c r="A251" s="1413">
        <v>1</v>
      </c>
      <c r="B251" s="2456" t="s">
        <v>1720</v>
      </c>
      <c r="C251" s="2457"/>
      <c r="D251" s="758" t="s">
        <v>245</v>
      </c>
      <c r="E251" s="759"/>
      <c r="F251" s="884"/>
      <c r="G251" s="676">
        <f>E251*F251</f>
        <v>0</v>
      </c>
    </row>
    <row r="252" spans="1:7" s="61" customFormat="1" hidden="1" x14ac:dyDescent="0.25">
      <c r="A252" s="1407">
        <v>2</v>
      </c>
      <c r="B252" s="2456" t="s">
        <v>1721</v>
      </c>
      <c r="C252" s="2457"/>
      <c r="D252" s="758" t="s">
        <v>245</v>
      </c>
      <c r="E252" s="759"/>
      <c r="F252" s="884"/>
      <c r="G252" s="393">
        <f>E252*F252</f>
        <v>0</v>
      </c>
    </row>
    <row r="253" spans="1:7" hidden="1" x14ac:dyDescent="0.25">
      <c r="A253" s="2174" t="s">
        <v>39</v>
      </c>
      <c r="B253" s="2175"/>
      <c r="C253" s="2175"/>
      <c r="D253" s="2177"/>
      <c r="E253" s="677" t="s">
        <v>5</v>
      </c>
      <c r="F253" s="677" t="s">
        <v>5</v>
      </c>
      <c r="G253" s="101">
        <f>SUM(G251:G252)</f>
        <v>0</v>
      </c>
    </row>
    <row r="254" spans="1:7" hidden="1" x14ac:dyDescent="0.25">
      <c r="A254" s="560"/>
      <c r="B254" s="560"/>
      <c r="C254" s="560"/>
      <c r="D254" s="560"/>
      <c r="E254" s="748"/>
      <c r="F254" s="748"/>
      <c r="G254" s="92"/>
    </row>
    <row r="255" spans="1:7" x14ac:dyDescent="0.25">
      <c r="A255" s="507" t="s">
        <v>26</v>
      </c>
      <c r="B255" s="507"/>
      <c r="C255" s="587" t="s">
        <v>770</v>
      </c>
      <c r="D255" s="1449"/>
      <c r="E255" s="505"/>
      <c r="F255" s="506"/>
      <c r="G255" s="511">
        <f>G263</f>
        <v>23600</v>
      </c>
    </row>
    <row r="256" spans="1:7" x14ac:dyDescent="0.25">
      <c r="A256" s="507" t="s">
        <v>27</v>
      </c>
      <c r="B256" s="507"/>
      <c r="C256" s="86" t="s">
        <v>2018</v>
      </c>
      <c r="D256" s="1449"/>
      <c r="E256" s="505"/>
      <c r="F256" s="506"/>
      <c r="G256" s="511"/>
    </row>
    <row r="257" spans="1:7" x14ac:dyDescent="0.25">
      <c r="A257" s="1449" t="s">
        <v>773</v>
      </c>
      <c r="D257" s="1449"/>
      <c r="E257" s="505"/>
    </row>
    <row r="258" spans="1:7" x14ac:dyDescent="0.25">
      <c r="A258" s="2285" t="s">
        <v>8</v>
      </c>
      <c r="B258" s="2201" t="s">
        <v>35</v>
      </c>
      <c r="C258" s="2203"/>
      <c r="D258" s="2285" t="s">
        <v>61</v>
      </c>
      <c r="E258" s="2183" t="s">
        <v>2048</v>
      </c>
      <c r="F258" s="2183"/>
      <c r="G258" s="2183"/>
    </row>
    <row r="259" spans="1:7" ht="30" x14ac:dyDescent="0.25">
      <c r="A259" s="2200"/>
      <c r="B259" s="2206"/>
      <c r="C259" s="2207"/>
      <c r="D259" s="2200"/>
      <c r="E259" s="1408" t="s">
        <v>248</v>
      </c>
      <c r="F259" s="1408" t="s">
        <v>264</v>
      </c>
      <c r="G259" s="1408" t="s">
        <v>256</v>
      </c>
    </row>
    <row r="260" spans="1:7" x14ac:dyDescent="0.25">
      <c r="A260" s="2445" t="s">
        <v>1498</v>
      </c>
      <c r="B260" s="2446"/>
      <c r="C260" s="2446"/>
      <c r="D260" s="2446"/>
      <c r="E260" s="2446"/>
      <c r="F260" s="2446"/>
      <c r="G260" s="2447"/>
    </row>
    <row r="261" spans="1:7" x14ac:dyDescent="0.25">
      <c r="A261" s="1413">
        <v>1</v>
      </c>
      <c r="B261" s="2456" t="s">
        <v>1500</v>
      </c>
      <c r="C261" s="2457"/>
      <c r="D261" s="758" t="s">
        <v>245</v>
      </c>
      <c r="E261" s="759">
        <v>20</v>
      </c>
      <c r="F261" s="884">
        <v>80</v>
      </c>
      <c r="G261" s="676">
        <f>E261*F261</f>
        <v>1600</v>
      </c>
    </row>
    <row r="262" spans="1:7" x14ac:dyDescent="0.25">
      <c r="A262" s="1419">
        <v>2</v>
      </c>
      <c r="B262" s="2448" t="s">
        <v>1807</v>
      </c>
      <c r="C262" s="2449"/>
      <c r="D262" s="1419" t="s">
        <v>245</v>
      </c>
      <c r="E262" s="1408">
        <v>20</v>
      </c>
      <c r="F262" s="676">
        <v>1100</v>
      </c>
      <c r="G262" s="676">
        <f>E262*F262</f>
        <v>22000</v>
      </c>
    </row>
    <row r="263" spans="1:7" x14ac:dyDescent="0.25">
      <c r="A263" s="2174" t="s">
        <v>39</v>
      </c>
      <c r="B263" s="2175"/>
      <c r="C263" s="2175"/>
      <c r="D263" s="2177"/>
      <c r="E263" s="677" t="s">
        <v>5</v>
      </c>
      <c r="F263" s="677" t="s">
        <v>5</v>
      </c>
      <c r="G263" s="101">
        <f>SUM(G261:G262)</f>
        <v>23600</v>
      </c>
    </row>
    <row r="264" spans="1:7" x14ac:dyDescent="0.25">
      <c r="A264" s="752"/>
      <c r="B264" s="752"/>
      <c r="C264" s="752"/>
      <c r="D264" s="752"/>
      <c r="E264" s="753"/>
      <c r="F264" s="753"/>
      <c r="G264" s="554"/>
    </row>
    <row r="265" spans="1:7" hidden="1" x14ac:dyDescent="0.25">
      <c r="A265" s="507" t="s">
        <v>27</v>
      </c>
      <c r="B265" s="507"/>
      <c r="C265" s="587" t="s">
        <v>1366</v>
      </c>
      <c r="D265" s="1449"/>
      <c r="E265" s="505"/>
      <c r="F265" s="506"/>
      <c r="G265" s="511">
        <f>G272</f>
        <v>0</v>
      </c>
    </row>
    <row r="266" spans="1:7" hidden="1" x14ac:dyDescent="0.25">
      <c r="A266" s="1449" t="s">
        <v>773</v>
      </c>
      <c r="D266" s="1449"/>
      <c r="E266" s="505"/>
    </row>
    <row r="267" spans="1:7" hidden="1" x14ac:dyDescent="0.25">
      <c r="A267" s="2285" t="s">
        <v>8</v>
      </c>
      <c r="B267" s="2201" t="s">
        <v>35</v>
      </c>
      <c r="C267" s="2203"/>
      <c r="D267" s="2285" t="s">
        <v>61</v>
      </c>
      <c r="E267" s="2183" t="s">
        <v>735</v>
      </c>
      <c r="F267" s="2183"/>
      <c r="G267" s="2183"/>
    </row>
    <row r="268" spans="1:7" ht="30" hidden="1" x14ac:dyDescent="0.25">
      <c r="A268" s="2200"/>
      <c r="B268" s="2206"/>
      <c r="C268" s="2207"/>
      <c r="D268" s="2200"/>
      <c r="E268" s="1408" t="s">
        <v>248</v>
      </c>
      <c r="F268" s="1408" t="s">
        <v>264</v>
      </c>
      <c r="G268" s="1408" t="s">
        <v>256</v>
      </c>
    </row>
    <row r="269" spans="1:7" ht="15" hidden="1" customHeight="1" x14ac:dyDescent="0.25">
      <c r="A269" s="2445" t="s">
        <v>1420</v>
      </c>
      <c r="B269" s="2446"/>
      <c r="C269" s="2446"/>
      <c r="D269" s="2446"/>
      <c r="E269" s="2446"/>
      <c r="F269" s="2446"/>
      <c r="G269" s="2447"/>
    </row>
    <row r="270" spans="1:7" hidden="1" x14ac:dyDescent="0.25">
      <c r="A270" s="1419">
        <v>1</v>
      </c>
      <c r="B270" s="2456" t="s">
        <v>1367</v>
      </c>
      <c r="C270" s="2457"/>
      <c r="D270" s="758" t="s">
        <v>245</v>
      </c>
      <c r="E270" s="759"/>
      <c r="F270" s="885">
        <v>1170</v>
      </c>
      <c r="G270" s="676">
        <f>E270*F270</f>
        <v>0</v>
      </c>
    </row>
    <row r="271" spans="1:7" hidden="1" x14ac:dyDescent="0.25">
      <c r="A271" s="1413">
        <v>2</v>
      </c>
      <c r="B271" s="2456" t="s">
        <v>1368</v>
      </c>
      <c r="C271" s="2457"/>
      <c r="D271" s="758" t="s">
        <v>245</v>
      </c>
      <c r="E271" s="759"/>
      <c r="F271" s="884">
        <v>80</v>
      </c>
      <c r="G271" s="676">
        <f>E271*F271</f>
        <v>0</v>
      </c>
    </row>
    <row r="272" spans="1:7" hidden="1" x14ac:dyDescent="0.25">
      <c r="A272" s="2174" t="s">
        <v>39</v>
      </c>
      <c r="B272" s="2175"/>
      <c r="C272" s="2175"/>
      <c r="D272" s="2177"/>
      <c r="E272" s="677" t="s">
        <v>5</v>
      </c>
      <c r="F272" s="677" t="s">
        <v>5</v>
      </c>
      <c r="G272" s="101">
        <f>SUM(G270:G271)</f>
        <v>0</v>
      </c>
    </row>
    <row r="273" spans="1:8" hidden="1" x14ac:dyDescent="0.25">
      <c r="A273" s="752"/>
      <c r="B273" s="752"/>
      <c r="C273" s="752"/>
      <c r="D273" s="752"/>
      <c r="E273" s="753"/>
      <c r="F273" s="753"/>
      <c r="G273" s="554"/>
    </row>
    <row r="274" spans="1:8" ht="18.75" x14ac:dyDescent="0.25">
      <c r="A274" s="2370" t="s">
        <v>118</v>
      </c>
      <c r="B274" s="2370"/>
      <c r="C274" s="2370"/>
      <c r="D274" s="2370"/>
      <c r="E274" s="2370"/>
      <c r="F274" s="2370"/>
      <c r="G274" s="737">
        <f>G263+G224+G206+G195+G186+G158+G122+G109+G99+G89+G79+G64+G57+G49</f>
        <v>14845846.34</v>
      </c>
      <c r="H274" s="551" t="b">
        <f>G274=G6</f>
        <v>1</v>
      </c>
    </row>
    <row r="275" spans="1:8" x14ac:dyDescent="0.25">
      <c r="F275" s="760"/>
      <c r="G275" s="760"/>
      <c r="H275" s="565"/>
    </row>
    <row r="276" spans="1:8" x14ac:dyDescent="0.25">
      <c r="A276" s="738" t="s">
        <v>610</v>
      </c>
      <c r="D276" s="1449"/>
      <c r="E276" s="505"/>
      <c r="F276" s="2368" t="s">
        <v>357</v>
      </c>
      <c r="G276" s="2368"/>
    </row>
    <row r="277" spans="1:8" x14ac:dyDescent="0.25">
      <c r="A277" s="738"/>
      <c r="D277" s="1449"/>
      <c r="E277" s="505"/>
      <c r="F277" s="506"/>
      <c r="G277" s="742"/>
    </row>
    <row r="278" spans="1:8" x14ac:dyDescent="0.25">
      <c r="A278" s="738" t="s">
        <v>156</v>
      </c>
      <c r="D278" s="1449"/>
      <c r="E278" s="505"/>
      <c r="F278" s="1936" t="s">
        <v>729</v>
      </c>
      <c r="G278" s="1936"/>
    </row>
    <row r="279" spans="1:8" x14ac:dyDescent="0.25">
      <c r="A279" s="738"/>
      <c r="D279" s="1449"/>
      <c r="E279" s="505"/>
      <c r="F279" s="506"/>
      <c r="G279" s="1414"/>
    </row>
    <row r="280" spans="1:8" x14ac:dyDescent="0.25">
      <c r="A280" s="738" t="s">
        <v>117</v>
      </c>
      <c r="D280" s="1449"/>
      <c r="E280" s="505"/>
      <c r="F280" s="506"/>
      <c r="G280" s="1414"/>
    </row>
    <row r="281" spans="1:8" x14ac:dyDescent="0.25">
      <c r="A281" s="738" t="s">
        <v>1681</v>
      </c>
      <c r="D281" s="1449"/>
      <c r="E281" s="1449"/>
      <c r="F281" s="1449"/>
      <c r="G281" s="1414" t="s">
        <v>243</v>
      </c>
      <c r="H281" s="1414"/>
    </row>
  </sheetData>
  <sheetProtection insertRows="0" deleteRows="0" autoFilter="0"/>
  <dataConsolidate/>
  <mergeCells count="195">
    <mergeCell ref="F278:G278"/>
    <mergeCell ref="A269:G269"/>
    <mergeCell ref="B270:C270"/>
    <mergeCell ref="B271:C271"/>
    <mergeCell ref="A272:D272"/>
    <mergeCell ref="A274:F274"/>
    <mergeCell ref="F276:G276"/>
    <mergeCell ref="A260:G260"/>
    <mergeCell ref="B261:C261"/>
    <mergeCell ref="B262:C262"/>
    <mergeCell ref="A263:D263"/>
    <mergeCell ref="A267:A268"/>
    <mergeCell ref="B267:C268"/>
    <mergeCell ref="D267:D268"/>
    <mergeCell ref="E267:G267"/>
    <mergeCell ref="A250:G250"/>
    <mergeCell ref="B251:C251"/>
    <mergeCell ref="B252:C252"/>
    <mergeCell ref="A253:D253"/>
    <mergeCell ref="A258:A259"/>
    <mergeCell ref="B258:C259"/>
    <mergeCell ref="D258:D259"/>
    <mergeCell ref="E258:G258"/>
    <mergeCell ref="A243:G243"/>
    <mergeCell ref="B244:C244"/>
    <mergeCell ref="A245:D245"/>
    <mergeCell ref="A248:A249"/>
    <mergeCell ref="B248:C249"/>
    <mergeCell ref="D248:D249"/>
    <mergeCell ref="E248:G248"/>
    <mergeCell ref="A232:G232"/>
    <mergeCell ref="B233:C233"/>
    <mergeCell ref="A234:D234"/>
    <mergeCell ref="A241:A242"/>
    <mergeCell ref="B241:C242"/>
    <mergeCell ref="D241:D242"/>
    <mergeCell ref="E241:G241"/>
    <mergeCell ref="B222:C222"/>
    <mergeCell ref="A223:F223"/>
    <mergeCell ref="A224:F224"/>
    <mergeCell ref="A230:A231"/>
    <mergeCell ref="B230:C231"/>
    <mergeCell ref="D230:D231"/>
    <mergeCell ref="E230:G230"/>
    <mergeCell ref="A213:G213"/>
    <mergeCell ref="B214:C214"/>
    <mergeCell ref="A215:D215"/>
    <mergeCell ref="A219:G219"/>
    <mergeCell ref="A220:A221"/>
    <mergeCell ref="B220:C221"/>
    <mergeCell ref="D220:D221"/>
    <mergeCell ref="E220:G220"/>
    <mergeCell ref="B202:C202"/>
    <mergeCell ref="B203:C203"/>
    <mergeCell ref="B204:C204"/>
    <mergeCell ref="A205:F205"/>
    <mergeCell ref="A206:F206"/>
    <mergeCell ref="A211:A212"/>
    <mergeCell ref="B211:C212"/>
    <mergeCell ref="D211:D212"/>
    <mergeCell ref="E211:G211"/>
    <mergeCell ref="B194:C194"/>
    <mergeCell ref="A195:F195"/>
    <mergeCell ref="A199:G199"/>
    <mergeCell ref="A200:A201"/>
    <mergeCell ref="B200:C201"/>
    <mergeCell ref="D200:D201"/>
    <mergeCell ref="E200:G200"/>
    <mergeCell ref="B184:D184"/>
    <mergeCell ref="B185:D185"/>
    <mergeCell ref="A186:F186"/>
    <mergeCell ref="A190:G190"/>
    <mergeCell ref="A191:A192"/>
    <mergeCell ref="B191:C192"/>
    <mergeCell ref="D191:D192"/>
    <mergeCell ref="E191:G191"/>
    <mergeCell ref="A172:G172"/>
    <mergeCell ref="B173:C173"/>
    <mergeCell ref="A174:D174"/>
    <mergeCell ref="A181:G181"/>
    <mergeCell ref="A182:A183"/>
    <mergeCell ref="B182:C183"/>
    <mergeCell ref="D182:D183"/>
    <mergeCell ref="E182:G182"/>
    <mergeCell ref="A193:G193"/>
    <mergeCell ref="B165:C165"/>
    <mergeCell ref="B166:C166"/>
    <mergeCell ref="A167:D167"/>
    <mergeCell ref="A170:A171"/>
    <mergeCell ref="B170:C171"/>
    <mergeCell ref="D170:D171"/>
    <mergeCell ref="B156:D156"/>
    <mergeCell ref="B157:D157"/>
    <mergeCell ref="A158:F158"/>
    <mergeCell ref="A163:A164"/>
    <mergeCell ref="B163:C164"/>
    <mergeCell ref="D163:D164"/>
    <mergeCell ref="E163:G163"/>
    <mergeCell ref="E170:G170"/>
    <mergeCell ref="B139:C139"/>
    <mergeCell ref="A140:C140"/>
    <mergeCell ref="A153:G153"/>
    <mergeCell ref="A154:A155"/>
    <mergeCell ref="B154:C155"/>
    <mergeCell ref="D154:D155"/>
    <mergeCell ref="E154:G154"/>
    <mergeCell ref="A133:C133"/>
    <mergeCell ref="A135:G135"/>
    <mergeCell ref="A136:A137"/>
    <mergeCell ref="B136:C137"/>
    <mergeCell ref="D136:G136"/>
    <mergeCell ref="A138:G138"/>
    <mergeCell ref="A128:A129"/>
    <mergeCell ref="B128:C129"/>
    <mergeCell ref="D128:G128"/>
    <mergeCell ref="A130:G130"/>
    <mergeCell ref="B131:C131"/>
    <mergeCell ref="B132:C132"/>
    <mergeCell ref="A118:A119"/>
    <mergeCell ref="B118:C119"/>
    <mergeCell ref="D118:G118"/>
    <mergeCell ref="B121:C121"/>
    <mergeCell ref="A122:F122"/>
    <mergeCell ref="A127:G127"/>
    <mergeCell ref="B108:C108"/>
    <mergeCell ref="A109:F109"/>
    <mergeCell ref="A111:F111"/>
    <mergeCell ref="C115:D115"/>
    <mergeCell ref="C116:D116"/>
    <mergeCell ref="A99:F99"/>
    <mergeCell ref="C103:D103"/>
    <mergeCell ref="C104:D104"/>
    <mergeCell ref="A106:A107"/>
    <mergeCell ref="B106:C107"/>
    <mergeCell ref="D106:G106"/>
    <mergeCell ref="A89:F89"/>
    <mergeCell ref="B94:D94"/>
    <mergeCell ref="B95:D95"/>
    <mergeCell ref="B96:D96"/>
    <mergeCell ref="B97:D97"/>
    <mergeCell ref="B98:D98"/>
    <mergeCell ref="C82:D82"/>
    <mergeCell ref="B84:D84"/>
    <mergeCell ref="B85:D85"/>
    <mergeCell ref="B86:D86"/>
    <mergeCell ref="B87:D87"/>
    <mergeCell ref="B88:D88"/>
    <mergeCell ref="B75:D75"/>
    <mergeCell ref="B76:D76"/>
    <mergeCell ref="B77:D77"/>
    <mergeCell ref="B78:D78"/>
    <mergeCell ref="A79:F79"/>
    <mergeCell ref="C81:D81"/>
    <mergeCell ref="B63:F63"/>
    <mergeCell ref="A64:F64"/>
    <mergeCell ref="A66:G66"/>
    <mergeCell ref="C71:D71"/>
    <mergeCell ref="C72:D72"/>
    <mergeCell ref="B74:D74"/>
    <mergeCell ref="B54:F54"/>
    <mergeCell ref="B55:F55"/>
    <mergeCell ref="B56:F56"/>
    <mergeCell ref="A57:F57"/>
    <mergeCell ref="A61:G61"/>
    <mergeCell ref="B62:F62"/>
    <mergeCell ref="B47:F47"/>
    <mergeCell ref="B48:F48"/>
    <mergeCell ref="A49:F49"/>
    <mergeCell ref="C51:D51"/>
    <mergeCell ref="C52:D52"/>
    <mergeCell ref="A53:G53"/>
    <mergeCell ref="A25:F25"/>
    <mergeCell ref="A26:F26"/>
    <mergeCell ref="A27:F27"/>
    <mergeCell ref="C44:D44"/>
    <mergeCell ref="C45:D45"/>
    <mergeCell ref="A46:G46"/>
    <mergeCell ref="A19:F19"/>
    <mergeCell ref="A20:F20"/>
    <mergeCell ref="A21:F21"/>
    <mergeCell ref="A22:F22"/>
    <mergeCell ref="A23:F23"/>
    <mergeCell ref="A24:F24"/>
    <mergeCell ref="A13:F13"/>
    <mergeCell ref="A14:F14"/>
    <mergeCell ref="A15:F15"/>
    <mergeCell ref="A16:F16"/>
    <mergeCell ref="A17:F17"/>
    <mergeCell ref="A18:F18"/>
    <mergeCell ref="A1:G1"/>
    <mergeCell ref="A2:G2"/>
    <mergeCell ref="A8:F8"/>
    <mergeCell ref="A10:F10"/>
    <mergeCell ref="A11:F11"/>
    <mergeCell ref="A12:F12"/>
  </mergeCells>
  <printOptions horizontalCentered="1"/>
  <pageMargins left="0.78740157480314965" right="0.19685039370078741" top="0.19685039370078741" bottom="0.19685039370078741" header="0" footer="0"/>
  <pageSetup paperSize="9" scale="6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14"/>
  <sheetViews>
    <sheetView view="pageBreakPreview" topLeftCell="A781" zoomScale="80" zoomScaleNormal="80" zoomScaleSheetLayoutView="80" workbookViewId="0">
      <selection activeCell="G822" sqref="G822"/>
    </sheetView>
  </sheetViews>
  <sheetFormatPr defaultColWidth="8.7109375" defaultRowHeight="15" x14ac:dyDescent="0.25"/>
  <cols>
    <col min="1" max="1" width="4.140625" style="1644" customWidth="1"/>
    <col min="2" max="2" width="19.5703125" style="1644" customWidth="1"/>
    <col min="3" max="3" width="8.28515625" style="1644" customWidth="1"/>
    <col min="4" max="4" width="15.140625" style="1644" customWidth="1"/>
    <col min="5" max="5" width="14.42578125" style="1644" customWidth="1"/>
    <col min="6" max="6" width="15.28515625" style="1644" customWidth="1"/>
    <col min="7" max="7" width="17.85546875" style="1644" customWidth="1"/>
    <col min="8" max="8" width="15.42578125" style="60" customWidth="1"/>
    <col min="9" max="9" width="15.140625" style="60" customWidth="1"/>
    <col min="10" max="10" width="17.28515625" style="60" customWidth="1"/>
    <col min="11" max="11" width="16.7109375" style="75" bestFit="1" customWidth="1"/>
    <col min="12" max="12" width="18.85546875" style="75" customWidth="1"/>
    <col min="13" max="13" width="17.28515625" style="75" customWidth="1"/>
    <col min="14" max="14" width="11.7109375" style="75" customWidth="1"/>
    <col min="15" max="15" width="14.7109375" style="61" customWidth="1"/>
    <col min="16" max="16" width="13.140625" style="61" customWidth="1"/>
    <col min="17" max="17" width="10.85546875" style="61" bestFit="1" customWidth="1"/>
    <col min="18" max="20" width="8.7109375" style="61"/>
    <col min="21" max="21" width="19.140625" style="61" customWidth="1"/>
    <col min="22" max="22" width="34.140625" style="61" customWidth="1"/>
    <col min="23" max="24" width="8.7109375" style="61"/>
    <col min="25" max="25" width="8.85546875" style="61" bestFit="1" customWidth="1"/>
    <col min="26" max="29" width="8.7109375" style="61"/>
    <col min="30" max="30" width="24.140625" style="61" customWidth="1"/>
    <col min="31" max="31" width="16.28515625" style="61" customWidth="1"/>
    <col min="32" max="32" width="12.7109375" style="61" customWidth="1"/>
    <col min="33" max="33" width="14.5703125" style="61" customWidth="1"/>
    <col min="34" max="34" width="16.5703125" style="61" customWidth="1"/>
    <col min="35" max="35" width="14.140625" style="61" customWidth="1"/>
    <col min="36" max="36" width="10.85546875" style="61" bestFit="1" customWidth="1"/>
    <col min="37" max="16384" width="8.7109375" style="61"/>
  </cols>
  <sheetData>
    <row r="1" spans="1:14" ht="18.75" x14ac:dyDescent="0.25">
      <c r="A1" s="2386" t="s">
        <v>2021</v>
      </c>
      <c r="B1" s="2386"/>
      <c r="C1" s="2386"/>
      <c r="D1" s="2386"/>
      <c r="E1" s="2386"/>
      <c r="F1" s="2386"/>
      <c r="G1" s="2386"/>
      <c r="H1" s="2386"/>
      <c r="I1" s="2386"/>
      <c r="J1" s="2386"/>
      <c r="K1" s="1147" t="s">
        <v>1265</v>
      </c>
      <c r="L1" s="1148">
        <f>J10+J64+J69+J89+J94</f>
        <v>1489548.22</v>
      </c>
      <c r="M1" s="1148">
        <f>L1+'Остатки 2024'!J8</f>
        <v>15439300.439999999</v>
      </c>
    </row>
    <row r="2" spans="1:14" ht="18.75" x14ac:dyDescent="0.25">
      <c r="A2" s="1642"/>
      <c r="B2" s="1642"/>
      <c r="C2" s="1642"/>
      <c r="D2" s="1642"/>
      <c r="E2" s="1642"/>
      <c r="F2" s="1642"/>
      <c r="G2" s="1642"/>
      <c r="H2" s="1642"/>
      <c r="I2" s="1642"/>
      <c r="J2" s="1642"/>
      <c r="L2" s="79">
        <f>J22+J65+J70+J90+J95</f>
        <v>15593821.869999999</v>
      </c>
      <c r="M2" s="79">
        <f>L2+'5 (2025)'!M12+'4 (2025)'!L8</f>
        <v>424536796.41000003</v>
      </c>
    </row>
    <row r="3" spans="1:14" ht="18.75" x14ac:dyDescent="0.25">
      <c r="A3" s="1967" t="s">
        <v>703</v>
      </c>
      <c r="B3" s="2386"/>
      <c r="C3" s="2386"/>
      <c r="D3" s="2386"/>
      <c r="E3" s="2386"/>
      <c r="F3" s="2386"/>
      <c r="G3" s="2386"/>
      <c r="H3" s="2386"/>
      <c r="I3" s="2386"/>
      <c r="J3" s="2386"/>
    </row>
    <row r="4" spans="1:14" x14ac:dyDescent="0.25">
      <c r="A4" s="60"/>
      <c r="B4" s="60"/>
      <c r="C4" s="60"/>
      <c r="D4" s="60"/>
      <c r="E4" s="60"/>
      <c r="F4" s="60"/>
      <c r="G4" s="60"/>
    </row>
    <row r="6" spans="1:14" ht="15.75" x14ac:dyDescent="0.25">
      <c r="A6" s="2507" t="s">
        <v>774</v>
      </c>
      <c r="B6" s="2507"/>
      <c r="C6" s="2507"/>
      <c r="D6" s="2507"/>
      <c r="E6" s="2507"/>
      <c r="F6" s="2507"/>
      <c r="G6" s="2507"/>
      <c r="H6" s="2507"/>
      <c r="I6" s="2507"/>
      <c r="J6" s="806">
        <f>J9+J68+J73+J83+J88+J94+J63</f>
        <v>17083370.09</v>
      </c>
      <c r="K6" s="108" t="b">
        <f>J6=J804</f>
        <v>1</v>
      </c>
      <c r="L6" s="108"/>
      <c r="M6" s="776"/>
    </row>
    <row r="7" spans="1:14" ht="15.75" x14ac:dyDescent="0.25">
      <c r="A7" s="1643"/>
      <c r="B7" s="1643"/>
      <c r="C7" s="1643"/>
      <c r="D7" s="1643"/>
      <c r="E7" s="1643"/>
      <c r="F7" s="1643"/>
      <c r="G7" s="1643"/>
      <c r="H7" s="1643"/>
      <c r="I7" s="1643"/>
      <c r="J7" s="105"/>
      <c r="K7" s="88"/>
      <c r="L7" s="88"/>
      <c r="M7" s="88"/>
    </row>
    <row r="8" spans="1:14" ht="18.75" x14ac:dyDescent="0.25">
      <c r="A8" s="2508" t="s">
        <v>775</v>
      </c>
      <c r="B8" s="2508"/>
      <c r="C8" s="2508"/>
      <c r="D8" s="2508"/>
      <c r="E8" s="2508"/>
      <c r="F8" s="2508"/>
      <c r="G8" s="2508"/>
      <c r="H8" s="2508"/>
      <c r="I8" s="2508"/>
      <c r="K8" s="785"/>
      <c r="L8" s="785"/>
      <c r="M8" s="785"/>
    </row>
    <row r="9" spans="1:14" x14ac:dyDescent="0.25">
      <c r="A9" s="1645" t="s">
        <v>776</v>
      </c>
      <c r="J9" s="1795">
        <f>J10+J22</f>
        <v>8358596.7199999997</v>
      </c>
      <c r="K9" s="70">
        <f>J138+J151+J160+J175+J187+J198+J206+J219+J228+J235+J249+J261+J279+J313+J328+J522+J618+J660+J681+J748+J242+J605+J674+J737</f>
        <v>8358596.7199999997</v>
      </c>
      <c r="L9" s="108" t="b">
        <f>J9=K9</f>
        <v>1</v>
      </c>
      <c r="M9" s="1685">
        <f>K9-J10</f>
        <v>7114860</v>
      </c>
      <c r="N9" s="1806"/>
    </row>
    <row r="10" spans="1:14" x14ac:dyDescent="0.25">
      <c r="A10" s="2471" t="s">
        <v>835</v>
      </c>
      <c r="B10" s="1985"/>
      <c r="C10" s="1985"/>
      <c r="D10" s="1985"/>
      <c r="J10" s="1795">
        <v>1243736.72</v>
      </c>
      <c r="K10" s="108">
        <f>J9-K9</f>
        <v>0</v>
      </c>
      <c r="L10" s="88"/>
      <c r="M10" s="88"/>
    </row>
    <row r="11" spans="1:14" x14ac:dyDescent="0.25">
      <c r="A11" s="72" t="s">
        <v>778</v>
      </c>
      <c r="J11" s="763"/>
    </row>
    <row r="12" spans="1:14" ht="15" customHeight="1" x14ac:dyDescent="0.25">
      <c r="A12" s="2503" t="s">
        <v>8</v>
      </c>
      <c r="B12" s="2509" t="s">
        <v>779</v>
      </c>
      <c r="C12" s="2510"/>
      <c r="D12" s="1898" t="s">
        <v>1827</v>
      </c>
      <c r="E12" s="1898"/>
      <c r="F12" s="1898"/>
      <c r="G12" s="1898"/>
      <c r="H12" s="1898"/>
      <c r="I12" s="1898"/>
      <c r="J12" s="1898"/>
    </row>
    <row r="13" spans="1:14" s="765" customFormat="1" ht="48" customHeight="1" x14ac:dyDescent="0.25">
      <c r="A13" s="2503"/>
      <c r="B13" s="2511"/>
      <c r="C13" s="2512"/>
      <c r="D13" s="386" t="s">
        <v>780</v>
      </c>
      <c r="E13" s="1639" t="s">
        <v>781</v>
      </c>
      <c r="F13" s="1639" t="s">
        <v>782</v>
      </c>
      <c r="G13" s="1639" t="s">
        <v>783</v>
      </c>
      <c r="H13" s="386" t="s">
        <v>784</v>
      </c>
      <c r="I13" s="1639" t="s">
        <v>785</v>
      </c>
      <c r="J13" s="386" t="s">
        <v>258</v>
      </c>
      <c r="K13" s="1603"/>
      <c r="L13" s="1603"/>
      <c r="M13" s="1603"/>
      <c r="N13" s="1603"/>
    </row>
    <row r="14" spans="1:14" ht="46.5" customHeight="1" x14ac:dyDescent="0.25">
      <c r="A14" s="1637">
        <v>1</v>
      </c>
      <c r="B14" s="2513" t="s">
        <v>358</v>
      </c>
      <c r="C14" s="2514"/>
      <c r="D14" s="711">
        <v>226</v>
      </c>
      <c r="E14" s="766">
        <v>10</v>
      </c>
      <c r="F14" s="767">
        <v>5</v>
      </c>
      <c r="G14" s="766">
        <v>9</v>
      </c>
      <c r="H14" s="386">
        <f t="shared" ref="H14:H21" si="0">D14*E14*F14*G14</f>
        <v>101700</v>
      </c>
      <c r="I14" s="1639">
        <v>9</v>
      </c>
      <c r="J14" s="386">
        <f t="shared" ref="J14:J19" si="1">H14*I14</f>
        <v>915300</v>
      </c>
      <c r="K14" s="79"/>
      <c r="L14" s="79"/>
    </row>
    <row r="15" spans="1:14" ht="43.5" customHeight="1" x14ac:dyDescent="0.25">
      <c r="A15" s="1637">
        <v>2</v>
      </c>
      <c r="B15" s="2513" t="s">
        <v>359</v>
      </c>
      <c r="C15" s="2514"/>
      <c r="D15" s="711">
        <v>226</v>
      </c>
      <c r="E15" s="766">
        <v>10</v>
      </c>
      <c r="F15" s="767">
        <v>5</v>
      </c>
      <c r="G15" s="766">
        <v>9</v>
      </c>
      <c r="H15" s="386">
        <f t="shared" si="0"/>
        <v>101700</v>
      </c>
      <c r="I15" s="1639">
        <v>9</v>
      </c>
      <c r="J15" s="386">
        <f t="shared" si="1"/>
        <v>915300</v>
      </c>
      <c r="K15" s="79"/>
      <c r="L15" s="79"/>
    </row>
    <row r="16" spans="1:14" ht="43.5" customHeight="1" x14ac:dyDescent="0.25">
      <c r="A16" s="1637">
        <v>3</v>
      </c>
      <c r="B16" s="2513" t="s">
        <v>360</v>
      </c>
      <c r="C16" s="2514"/>
      <c r="D16" s="711">
        <v>226</v>
      </c>
      <c r="E16" s="766">
        <v>10</v>
      </c>
      <c r="F16" s="767">
        <v>5</v>
      </c>
      <c r="G16" s="766">
        <v>9</v>
      </c>
      <c r="H16" s="386">
        <f t="shared" si="0"/>
        <v>101700</v>
      </c>
      <c r="I16" s="1639">
        <v>9</v>
      </c>
      <c r="J16" s="386">
        <f t="shared" si="1"/>
        <v>915300</v>
      </c>
      <c r="K16" s="79"/>
      <c r="L16" s="79"/>
    </row>
    <row r="17" spans="1:29" ht="45" customHeight="1" x14ac:dyDescent="0.25">
      <c r="A17" s="1637">
        <v>4</v>
      </c>
      <c r="B17" s="2513" t="s">
        <v>361</v>
      </c>
      <c r="C17" s="2514"/>
      <c r="D17" s="711">
        <v>226</v>
      </c>
      <c r="E17" s="766">
        <v>10</v>
      </c>
      <c r="F17" s="767">
        <v>5</v>
      </c>
      <c r="G17" s="766">
        <v>10</v>
      </c>
      <c r="H17" s="386">
        <f t="shared" si="0"/>
        <v>113000</v>
      </c>
      <c r="I17" s="1639">
        <v>9</v>
      </c>
      <c r="J17" s="386">
        <f t="shared" si="1"/>
        <v>1017000</v>
      </c>
      <c r="K17" s="79"/>
      <c r="L17" s="79"/>
    </row>
    <row r="18" spans="1:29" ht="48" customHeight="1" x14ac:dyDescent="0.25">
      <c r="A18" s="1637">
        <v>5</v>
      </c>
      <c r="B18" s="2513" t="s">
        <v>830</v>
      </c>
      <c r="C18" s="2514"/>
      <c r="D18" s="711">
        <v>226</v>
      </c>
      <c r="E18" s="766">
        <v>10</v>
      </c>
      <c r="F18" s="767">
        <v>5</v>
      </c>
      <c r="G18" s="766">
        <v>9</v>
      </c>
      <c r="H18" s="386">
        <f t="shared" si="0"/>
        <v>101700</v>
      </c>
      <c r="I18" s="1639">
        <v>9</v>
      </c>
      <c r="J18" s="386">
        <f t="shared" si="1"/>
        <v>915300</v>
      </c>
      <c r="K18" s="79"/>
      <c r="L18" s="79"/>
    </row>
    <row r="19" spans="1:29" ht="45.75" customHeight="1" x14ac:dyDescent="0.25">
      <c r="A19" s="1637">
        <v>6</v>
      </c>
      <c r="B19" s="2513" t="s">
        <v>831</v>
      </c>
      <c r="C19" s="2514"/>
      <c r="D19" s="711">
        <v>226</v>
      </c>
      <c r="E19" s="766">
        <v>10</v>
      </c>
      <c r="F19" s="767">
        <v>5</v>
      </c>
      <c r="G19" s="766">
        <v>9</v>
      </c>
      <c r="H19" s="386">
        <f t="shared" si="0"/>
        <v>101700</v>
      </c>
      <c r="I19" s="1639">
        <v>9</v>
      </c>
      <c r="J19" s="386">
        <f t="shared" si="1"/>
        <v>915300</v>
      </c>
      <c r="K19" s="79"/>
      <c r="L19" s="79"/>
    </row>
    <row r="20" spans="1:29" ht="45.75" customHeight="1" x14ac:dyDescent="0.25">
      <c r="A20" s="1637">
        <v>7</v>
      </c>
      <c r="B20" s="2513" t="s">
        <v>1258</v>
      </c>
      <c r="C20" s="2514"/>
      <c r="D20" s="711">
        <v>190</v>
      </c>
      <c r="E20" s="766">
        <v>10</v>
      </c>
      <c r="F20" s="767">
        <v>5</v>
      </c>
      <c r="G20" s="766">
        <v>4</v>
      </c>
      <c r="H20" s="386">
        <f t="shared" si="0"/>
        <v>38000</v>
      </c>
      <c r="I20" s="1639">
        <v>9</v>
      </c>
      <c r="J20" s="386">
        <f>H20*I20</f>
        <v>342000</v>
      </c>
      <c r="K20" s="79"/>
      <c r="L20" s="79"/>
      <c r="N20" s="804"/>
    </row>
    <row r="21" spans="1:29" ht="45.75" customHeight="1" x14ac:dyDescent="0.25">
      <c r="A21" s="836">
        <v>8</v>
      </c>
      <c r="B21" s="2513" t="s">
        <v>1290</v>
      </c>
      <c r="C21" s="2514"/>
      <c r="D21" s="837">
        <v>273</v>
      </c>
      <c r="E21" s="766">
        <v>10</v>
      </c>
      <c r="F21" s="767">
        <v>6</v>
      </c>
      <c r="G21" s="766">
        <v>8</v>
      </c>
      <c r="H21" s="386">
        <f t="shared" si="0"/>
        <v>131040</v>
      </c>
      <c r="I21" s="1807">
        <v>9</v>
      </c>
      <c r="J21" s="386">
        <f>H21*I21</f>
        <v>1179360</v>
      </c>
      <c r="K21" s="79"/>
      <c r="L21" s="79"/>
      <c r="M21" s="79"/>
      <c r="N21" s="804"/>
      <c r="Q21" s="968"/>
    </row>
    <row r="22" spans="1:29" s="75" customFormat="1" x14ac:dyDescent="0.25">
      <c r="A22" s="2499" t="s">
        <v>786</v>
      </c>
      <c r="B22" s="2500"/>
      <c r="C22" s="2501"/>
      <c r="D22" s="2500"/>
      <c r="E22" s="2500"/>
      <c r="F22" s="2500"/>
      <c r="G22" s="2500"/>
      <c r="H22" s="2500"/>
      <c r="I22" s="2502"/>
      <c r="J22" s="768">
        <f>SUM(J14:J21)</f>
        <v>7114860</v>
      </c>
      <c r="K22" s="351">
        <v>0</v>
      </c>
      <c r="L22" s="83">
        <f>K22/6.5*8.5</f>
        <v>0</v>
      </c>
      <c r="M22" s="79">
        <f>J22-L22</f>
        <v>7114860</v>
      </c>
      <c r="N22" s="79"/>
      <c r="O22" s="70"/>
      <c r="P22" s="70"/>
      <c r="Q22" s="70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 s="75" customFormat="1" x14ac:dyDescent="0.25">
      <c r="A23" s="1646"/>
      <c r="B23" s="1646"/>
      <c r="C23" s="1646"/>
      <c r="D23" s="1646"/>
      <c r="E23" s="1646"/>
      <c r="F23" s="1646"/>
      <c r="G23" s="1646"/>
      <c r="H23" s="1646"/>
      <c r="I23" s="1646"/>
      <c r="J23" s="769"/>
    </row>
    <row r="24" spans="1:29" ht="19.5" hidden="1" customHeight="1" x14ac:dyDescent="0.25">
      <c r="A24" s="2515" t="s">
        <v>787</v>
      </c>
      <c r="B24" s="2515"/>
      <c r="C24" s="2515"/>
      <c r="D24" s="2515"/>
      <c r="E24" s="2515"/>
      <c r="F24" s="2515"/>
      <c r="G24" s="2515"/>
      <c r="H24" s="2515"/>
      <c r="I24" s="2515"/>
      <c r="J24" s="2515"/>
    </row>
    <row r="25" spans="1:29" ht="19.5" hidden="1" customHeight="1" x14ac:dyDescent="0.25">
      <c r="A25" s="1645" t="s">
        <v>788</v>
      </c>
      <c r="J25" s="763">
        <f>J26+J32</f>
        <v>0</v>
      </c>
    </row>
    <row r="26" spans="1:29" ht="19.5" hidden="1" customHeight="1" x14ac:dyDescent="0.25">
      <c r="A26" s="1645" t="s">
        <v>777</v>
      </c>
      <c r="J26" s="763"/>
    </row>
    <row r="27" spans="1:29" ht="19.5" hidden="1" customHeight="1" x14ac:dyDescent="0.25">
      <c r="A27" s="71" t="s">
        <v>778</v>
      </c>
      <c r="J27" s="763"/>
    </row>
    <row r="28" spans="1:29" ht="19.5" hidden="1" customHeight="1" x14ac:dyDescent="0.25">
      <c r="A28" s="2503" t="s">
        <v>8</v>
      </c>
      <c r="B28" s="2503" t="s">
        <v>22</v>
      </c>
      <c r="C28" s="2503"/>
      <c r="D28" s="2503"/>
      <c r="E28" s="2503"/>
      <c r="F28" s="2503"/>
      <c r="G28" s="1898" t="s">
        <v>735</v>
      </c>
      <c r="H28" s="1898"/>
      <c r="I28" s="1898"/>
      <c r="J28" s="1898"/>
    </row>
    <row r="29" spans="1:29" s="765" customFormat="1" ht="64.150000000000006" hidden="1" customHeight="1" x14ac:dyDescent="0.25">
      <c r="A29" s="2503"/>
      <c r="B29" s="2503"/>
      <c r="C29" s="2503"/>
      <c r="D29" s="2503"/>
      <c r="E29" s="2503"/>
      <c r="F29" s="2503"/>
      <c r="G29" s="1639" t="s">
        <v>789</v>
      </c>
      <c r="H29" s="386" t="s">
        <v>790</v>
      </c>
      <c r="I29" s="386" t="s">
        <v>791</v>
      </c>
      <c r="J29" s="386" t="s">
        <v>258</v>
      </c>
      <c r="M29" s="1603"/>
      <c r="N29" s="1603"/>
    </row>
    <row r="30" spans="1:29" ht="25.9" hidden="1" customHeight="1" x14ac:dyDescent="0.25">
      <c r="A30" s="770">
        <v>1</v>
      </c>
      <c r="B30" s="2469"/>
      <c r="C30" s="2469"/>
      <c r="D30" s="2469"/>
      <c r="E30" s="2469"/>
      <c r="F30" s="2469"/>
      <c r="G30" s="1808"/>
      <c r="H30" s="393"/>
      <c r="I30" s="93"/>
      <c r="J30" s="393"/>
      <c r="K30" s="61"/>
      <c r="L30" s="61"/>
    </row>
    <row r="31" spans="1:29" ht="32.450000000000003" hidden="1" customHeight="1" x14ac:dyDescent="0.25">
      <c r="A31" s="770">
        <f>A30+1</f>
        <v>2</v>
      </c>
      <c r="B31" s="2469"/>
      <c r="C31" s="2469"/>
      <c r="D31" s="2469"/>
      <c r="E31" s="2469"/>
      <c r="F31" s="2469"/>
      <c r="G31" s="1808"/>
      <c r="H31" s="393"/>
      <c r="I31" s="93"/>
      <c r="J31" s="393"/>
      <c r="K31" s="61"/>
      <c r="L31" s="61"/>
    </row>
    <row r="32" spans="1:29" s="75" customFormat="1" ht="18.75" hidden="1" customHeight="1" x14ac:dyDescent="0.25">
      <c r="A32" s="2499" t="s">
        <v>786</v>
      </c>
      <c r="B32" s="2500"/>
      <c r="C32" s="2501"/>
      <c r="D32" s="2500"/>
      <c r="E32" s="2500"/>
      <c r="F32" s="2500"/>
      <c r="G32" s="2500"/>
      <c r="H32" s="2500"/>
      <c r="I32" s="2502" t="s">
        <v>82</v>
      </c>
      <c r="J32" s="768">
        <f>SUM(J30:J31)</f>
        <v>0</v>
      </c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29" s="75" customFormat="1" ht="18.75" hidden="1" customHeight="1" x14ac:dyDescent="0.25">
      <c r="A33" s="1615"/>
      <c r="B33" s="1615"/>
      <c r="C33" s="1615"/>
      <c r="D33" s="1615"/>
      <c r="E33" s="1615"/>
      <c r="F33" s="1615"/>
      <c r="G33" s="1615"/>
      <c r="H33" s="1615"/>
      <c r="I33" s="1615"/>
      <c r="J33" s="76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29" s="75" customFormat="1" ht="18.75" hidden="1" customHeight="1" x14ac:dyDescent="0.25">
      <c r="A34" s="2496" t="s">
        <v>792</v>
      </c>
      <c r="B34" s="2496"/>
      <c r="C34" s="2496"/>
      <c r="D34" s="2496"/>
      <c r="E34" s="2496"/>
      <c r="F34" s="2496"/>
      <c r="G34" s="2496"/>
      <c r="H34" s="2496"/>
      <c r="I34" s="1647"/>
      <c r="J34" s="9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29" s="75" customFormat="1" ht="18.75" hidden="1" customHeight="1" x14ac:dyDescent="0.25">
      <c r="A35" s="2496" t="s">
        <v>793</v>
      </c>
      <c r="B35" s="2496"/>
      <c r="C35" s="2496"/>
      <c r="D35" s="2496"/>
      <c r="E35" s="2496"/>
      <c r="F35" s="2496"/>
      <c r="G35" s="2496"/>
      <c r="H35" s="2496"/>
      <c r="I35" s="1647"/>
      <c r="J35" s="1809">
        <f>J36+J42</f>
        <v>0</v>
      </c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</row>
    <row r="36" spans="1:29" s="75" customFormat="1" ht="18.75" hidden="1" customHeight="1" x14ac:dyDescent="0.25">
      <c r="A36" s="2474" t="s">
        <v>777</v>
      </c>
      <c r="B36" s="2474"/>
      <c r="C36" s="2474"/>
      <c r="D36" s="2474"/>
      <c r="E36" s="2474"/>
      <c r="F36" s="2474"/>
      <c r="G36" s="2474"/>
      <c r="H36" s="2474"/>
      <c r="I36" s="1647"/>
      <c r="J36" s="1809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1:29" s="75" customFormat="1" ht="18.75" hidden="1" customHeight="1" x14ac:dyDescent="0.25">
      <c r="A37" s="71" t="s">
        <v>778</v>
      </c>
      <c r="B37" s="1638"/>
      <c r="C37" s="1638"/>
      <c r="D37" s="1638"/>
      <c r="E37" s="1638"/>
      <c r="F37" s="1638"/>
      <c r="G37" s="1638"/>
      <c r="H37" s="1638"/>
      <c r="I37" s="1647"/>
      <c r="J37" s="1809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pans="1:29" s="75" customFormat="1" ht="41.45" hidden="1" customHeight="1" x14ac:dyDescent="0.25">
      <c r="A38" s="2504" t="s">
        <v>8</v>
      </c>
      <c r="B38" s="2504" t="s">
        <v>794</v>
      </c>
      <c r="C38" s="2504"/>
      <c r="D38" s="2504"/>
      <c r="E38" s="2504"/>
      <c r="F38" s="2504"/>
      <c r="G38" s="2504"/>
      <c r="H38" s="2504"/>
      <c r="I38" s="1898" t="s">
        <v>735</v>
      </c>
      <c r="J38" s="1898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</row>
    <row r="39" spans="1:29" s="75" customFormat="1" ht="37.9" hidden="1" customHeight="1" x14ac:dyDescent="0.25">
      <c r="A39" s="2504"/>
      <c r="B39" s="2504"/>
      <c r="C39" s="2504"/>
      <c r="D39" s="2504"/>
      <c r="E39" s="2504"/>
      <c r="F39" s="2504"/>
      <c r="G39" s="2504"/>
      <c r="H39" s="2504"/>
      <c r="I39" s="1639" t="s">
        <v>795</v>
      </c>
      <c r="J39" s="386" t="s">
        <v>258</v>
      </c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</row>
    <row r="40" spans="1:29" s="75" customFormat="1" ht="31.15" hidden="1" customHeight="1" x14ac:dyDescent="0.25">
      <c r="A40" s="1639">
        <v>1</v>
      </c>
      <c r="B40" s="2505"/>
      <c r="C40" s="2505"/>
      <c r="D40" s="2505"/>
      <c r="E40" s="2505"/>
      <c r="F40" s="2505"/>
      <c r="G40" s="2505"/>
      <c r="H40" s="2505"/>
      <c r="I40" s="541"/>
      <c r="J40" s="711">
        <f>H40*I40</f>
        <v>0</v>
      </c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</row>
    <row r="41" spans="1:29" s="75" customFormat="1" ht="32.450000000000003" hidden="1" customHeight="1" x14ac:dyDescent="0.25">
      <c r="A41" s="1639">
        <v>2</v>
      </c>
      <c r="B41" s="2505"/>
      <c r="C41" s="2505"/>
      <c r="D41" s="2505"/>
      <c r="E41" s="2505"/>
      <c r="F41" s="2505"/>
      <c r="G41" s="2505"/>
      <c r="H41" s="2505"/>
      <c r="I41" s="541"/>
      <c r="J41" s="711">
        <f>H41*I41</f>
        <v>0</v>
      </c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</row>
    <row r="42" spans="1:29" s="75" customFormat="1" ht="18.75" hidden="1" customHeight="1" x14ac:dyDescent="0.25">
      <c r="A42" s="2498" t="s">
        <v>786</v>
      </c>
      <c r="B42" s="2498"/>
      <c r="C42" s="2498"/>
      <c r="D42" s="2498"/>
      <c r="E42" s="2498"/>
      <c r="F42" s="2498"/>
      <c r="G42" s="2498"/>
      <c r="H42" s="2498"/>
      <c r="I42" s="2498"/>
      <c r="J42" s="621">
        <f>SUM(J40:J41)</f>
        <v>0</v>
      </c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1:29" s="75" customFormat="1" ht="18.75" hidden="1" customHeight="1" x14ac:dyDescent="0.25">
      <c r="A43" s="1615"/>
      <c r="B43" s="1615"/>
      <c r="C43" s="1615"/>
      <c r="D43" s="1615"/>
      <c r="E43" s="1615"/>
      <c r="F43" s="1615"/>
      <c r="G43" s="1615"/>
      <c r="H43" s="1615"/>
      <c r="I43" s="1615"/>
      <c r="J43" s="74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s="75" customFormat="1" ht="18.75" hidden="1" customHeight="1" x14ac:dyDescent="0.25">
      <c r="A44" s="2496" t="s">
        <v>796</v>
      </c>
      <c r="B44" s="2496"/>
      <c r="C44" s="2496"/>
      <c r="D44" s="2496"/>
      <c r="E44" s="2496"/>
      <c r="F44" s="2496"/>
      <c r="G44" s="2496"/>
      <c r="H44" s="2496"/>
      <c r="I44" s="1647"/>
      <c r="J44" s="99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</row>
    <row r="45" spans="1:29" s="75" customFormat="1" ht="18.75" hidden="1" customHeight="1" x14ac:dyDescent="0.25">
      <c r="A45" s="2496" t="s">
        <v>797</v>
      </c>
      <c r="B45" s="2496"/>
      <c r="C45" s="2496"/>
      <c r="D45" s="2496"/>
      <c r="E45" s="2496"/>
      <c r="F45" s="2496"/>
      <c r="G45" s="2496"/>
      <c r="H45" s="2496"/>
      <c r="I45" s="1647"/>
      <c r="J45" s="1809">
        <f>J46+J52</f>
        <v>0</v>
      </c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s="75" customFormat="1" ht="18.75" hidden="1" customHeight="1" x14ac:dyDescent="0.25">
      <c r="A46" s="2474" t="s">
        <v>777</v>
      </c>
      <c r="B46" s="2474"/>
      <c r="C46" s="2474"/>
      <c r="D46" s="2474"/>
      <c r="E46" s="2474"/>
      <c r="F46" s="2474"/>
      <c r="G46" s="2474"/>
      <c r="H46" s="2474"/>
      <c r="I46" s="1647"/>
      <c r="J46" s="1809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s="75" customFormat="1" ht="18.75" hidden="1" customHeight="1" x14ac:dyDescent="0.25">
      <c r="A47" s="71" t="s">
        <v>778</v>
      </c>
      <c r="B47" s="1638"/>
      <c r="C47" s="1638"/>
      <c r="D47" s="1638"/>
      <c r="E47" s="1638"/>
      <c r="F47" s="1638"/>
      <c r="G47" s="1638"/>
      <c r="H47" s="1638"/>
      <c r="I47" s="1647"/>
      <c r="J47" s="1809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s="75" customFormat="1" ht="41.45" hidden="1" customHeight="1" x14ac:dyDescent="0.25">
      <c r="A48" s="2504" t="s">
        <v>8</v>
      </c>
      <c r="B48" s="2504" t="s">
        <v>794</v>
      </c>
      <c r="C48" s="2504"/>
      <c r="D48" s="2504"/>
      <c r="E48" s="2504"/>
      <c r="F48" s="2504"/>
      <c r="G48" s="2504"/>
      <c r="H48" s="2504"/>
      <c r="I48" s="1898" t="s">
        <v>735</v>
      </c>
      <c r="J48" s="1898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s="75" customFormat="1" ht="37.9" hidden="1" customHeight="1" x14ac:dyDescent="0.25">
      <c r="A49" s="2504"/>
      <c r="B49" s="2504"/>
      <c r="C49" s="2504"/>
      <c r="D49" s="2504"/>
      <c r="E49" s="2504"/>
      <c r="F49" s="2504"/>
      <c r="G49" s="2504"/>
      <c r="H49" s="2504"/>
      <c r="I49" s="1639" t="s">
        <v>795</v>
      </c>
      <c r="J49" s="386" t="s">
        <v>258</v>
      </c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s="75" customFormat="1" ht="32.450000000000003" hidden="1" customHeight="1" x14ac:dyDescent="0.25">
      <c r="A50" s="1639">
        <v>1</v>
      </c>
      <c r="B50" s="2505"/>
      <c r="C50" s="2505"/>
      <c r="D50" s="2505"/>
      <c r="E50" s="2505"/>
      <c r="F50" s="2505"/>
      <c r="G50" s="2505"/>
      <c r="H50" s="2505"/>
      <c r="I50" s="541"/>
      <c r="J50" s="711">
        <f>H50*I50</f>
        <v>0</v>
      </c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s="75" customFormat="1" ht="30.6" hidden="1" customHeight="1" x14ac:dyDescent="0.25">
      <c r="A51" s="1639">
        <v>2</v>
      </c>
      <c r="B51" s="2505"/>
      <c r="C51" s="2505"/>
      <c r="D51" s="2505"/>
      <c r="E51" s="2505"/>
      <c r="F51" s="2505"/>
      <c r="G51" s="2505"/>
      <c r="H51" s="2505"/>
      <c r="I51" s="541"/>
      <c r="J51" s="711">
        <f>H51*I51</f>
        <v>0</v>
      </c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s="75" customFormat="1" ht="28.9" hidden="1" customHeight="1" x14ac:dyDescent="0.25">
      <c r="A52" s="2498" t="s">
        <v>786</v>
      </c>
      <c r="B52" s="2498"/>
      <c r="C52" s="2498"/>
      <c r="D52" s="2498"/>
      <c r="E52" s="2498"/>
      <c r="F52" s="2498"/>
      <c r="G52" s="2498"/>
      <c r="H52" s="2498"/>
      <c r="I52" s="2498"/>
      <c r="J52" s="621">
        <f>SUM(J50:J51)</f>
        <v>0</v>
      </c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s="75" customFormat="1" ht="18.75" hidden="1" customHeight="1" x14ac:dyDescent="0.25">
      <c r="A53" s="1615"/>
      <c r="B53" s="1615"/>
      <c r="C53" s="1615"/>
      <c r="D53" s="1615"/>
      <c r="E53" s="1615"/>
      <c r="F53" s="1615"/>
      <c r="G53" s="1615"/>
      <c r="H53" s="1615"/>
      <c r="I53" s="1615"/>
      <c r="J53" s="769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ht="19.5" hidden="1" customHeight="1" x14ac:dyDescent="0.25">
      <c r="A54" s="2496" t="s">
        <v>501</v>
      </c>
      <c r="B54" s="2496"/>
      <c r="C54" s="2496"/>
      <c r="D54" s="2496"/>
      <c r="E54" s="2496"/>
      <c r="F54" s="2496"/>
      <c r="G54" s="2496"/>
      <c r="J54" s="85"/>
    </row>
    <row r="55" spans="1:29" ht="19.5" hidden="1" customHeight="1" x14ac:dyDescent="0.25">
      <c r="A55" s="2520" t="s">
        <v>798</v>
      </c>
      <c r="B55" s="2520"/>
      <c r="C55" s="2520"/>
      <c r="D55" s="2520"/>
      <c r="E55" s="2520"/>
      <c r="F55" s="2520"/>
      <c r="G55" s="2520"/>
      <c r="H55" s="2520"/>
      <c r="I55" s="2520"/>
      <c r="J55" s="85">
        <f>J61+J56</f>
        <v>0</v>
      </c>
    </row>
    <row r="56" spans="1:29" ht="19.5" hidden="1" customHeight="1" x14ac:dyDescent="0.25">
      <c r="A56" s="1645" t="s">
        <v>777</v>
      </c>
      <c r="B56" s="1646"/>
      <c r="C56" s="1646"/>
      <c r="D56" s="1646"/>
      <c r="E56" s="1646"/>
      <c r="F56" s="1646"/>
      <c r="G56" s="1646"/>
      <c r="H56" s="1646"/>
      <c r="I56" s="1646"/>
      <c r="J56" s="85"/>
    </row>
    <row r="57" spans="1:29" ht="19.5" hidden="1" customHeight="1" x14ac:dyDescent="0.25">
      <c r="A57" s="71" t="s">
        <v>778</v>
      </c>
      <c r="B57" s="1646"/>
      <c r="C57" s="1646"/>
      <c r="D57" s="1646"/>
      <c r="E57" s="1646"/>
      <c r="F57" s="1646"/>
      <c r="G57" s="1646"/>
      <c r="H57" s="1646"/>
      <c r="I57" s="1646"/>
      <c r="J57" s="85"/>
    </row>
    <row r="58" spans="1:29" s="765" customFormat="1" ht="23.45" hidden="1" customHeight="1" x14ac:dyDescent="0.25">
      <c r="A58" s="2092" t="s">
        <v>8</v>
      </c>
      <c r="B58" s="1914" t="s">
        <v>799</v>
      </c>
      <c r="C58" s="1916"/>
      <c r="D58" s="1915"/>
      <c r="E58" s="1915"/>
      <c r="F58" s="1898" t="s">
        <v>735</v>
      </c>
      <c r="G58" s="1898"/>
      <c r="H58" s="1898"/>
      <c r="I58" s="1898"/>
      <c r="J58" s="1898"/>
      <c r="K58" s="1603"/>
      <c r="L58" s="1602"/>
      <c r="M58" s="1602"/>
      <c r="N58" s="1602"/>
      <c r="O58" s="1796"/>
      <c r="P58" s="1602"/>
    </row>
    <row r="59" spans="1:29" ht="115.15" hidden="1" customHeight="1" x14ac:dyDescent="0.25">
      <c r="A59" s="2053"/>
      <c r="B59" s="1918"/>
      <c r="C59" s="1919"/>
      <c r="D59" s="1919"/>
      <c r="E59" s="1919"/>
      <c r="F59" s="1639" t="s">
        <v>800</v>
      </c>
      <c r="G59" s="1639" t="s">
        <v>801</v>
      </c>
      <c r="H59" s="1639" t="s">
        <v>1069</v>
      </c>
      <c r="I59" s="1797" t="s">
        <v>802</v>
      </c>
      <c r="J59" s="1639" t="s">
        <v>803</v>
      </c>
    </row>
    <row r="60" spans="1:29" ht="24.6" hidden="1" customHeight="1" x14ac:dyDescent="0.25">
      <c r="A60" s="1630">
        <v>1</v>
      </c>
      <c r="B60" s="2516" t="s">
        <v>804</v>
      </c>
      <c r="C60" s="2517"/>
      <c r="D60" s="2518"/>
      <c r="E60" s="2519"/>
      <c r="F60" s="1810" t="s">
        <v>231</v>
      </c>
      <c r="G60" s="1811"/>
      <c r="H60" s="711"/>
      <c r="I60" s="361"/>
      <c r="J60" s="711">
        <f>I60*H60*G60</f>
        <v>0</v>
      </c>
    </row>
    <row r="61" spans="1:29" s="87" customFormat="1" ht="19.5" hidden="1" customHeight="1" x14ac:dyDescent="0.25">
      <c r="A61" s="1895" t="s">
        <v>786</v>
      </c>
      <c r="B61" s="1895"/>
      <c r="C61" s="1895"/>
      <c r="D61" s="1895"/>
      <c r="E61" s="1895"/>
      <c r="F61" s="1895"/>
      <c r="G61" s="1895"/>
      <c r="H61" s="1895"/>
      <c r="I61" s="1895"/>
      <c r="J61" s="101">
        <f>SUM(J60)</f>
        <v>0</v>
      </c>
      <c r="K61" s="773"/>
      <c r="L61" s="773"/>
      <c r="M61" s="773"/>
      <c r="N61" s="773"/>
    </row>
    <row r="62" spans="1:29" ht="18.75" x14ac:dyDescent="0.25">
      <c r="A62" s="1644" t="s">
        <v>1240</v>
      </c>
      <c r="K62" s="344"/>
      <c r="L62" s="785"/>
      <c r="M62" s="785"/>
      <c r="N62" s="785"/>
      <c r="O62" s="785"/>
      <c r="P62" s="70"/>
    </row>
    <row r="63" spans="1:29" ht="30.75" customHeight="1" x14ac:dyDescent="0.25">
      <c r="A63" s="2506" t="s">
        <v>2150</v>
      </c>
      <c r="B63" s="2506"/>
      <c r="C63" s="2506"/>
      <c r="D63" s="2506"/>
      <c r="E63" s="2506"/>
      <c r="F63" s="2506"/>
      <c r="G63" s="2506"/>
      <c r="H63" s="2506"/>
      <c r="I63" s="2506"/>
      <c r="J63" s="85">
        <f>J64+J65</f>
        <v>45811.5</v>
      </c>
      <c r="K63" s="344"/>
      <c r="L63" s="785"/>
      <c r="M63" s="785"/>
      <c r="N63" s="785"/>
      <c r="O63" s="785"/>
      <c r="P63" s="70"/>
    </row>
    <row r="64" spans="1:29" ht="18.75" x14ac:dyDescent="0.25">
      <c r="A64" s="2490" t="s">
        <v>2038</v>
      </c>
      <c r="B64" s="2490"/>
      <c r="C64" s="2490"/>
      <c r="D64" s="2490"/>
      <c r="E64" s="2490"/>
      <c r="F64" s="2490"/>
      <c r="G64" s="2490"/>
      <c r="H64" s="2490"/>
      <c r="I64" s="2490"/>
      <c r="J64" s="98">
        <v>45811.5</v>
      </c>
      <c r="K64" s="344"/>
      <c r="L64" s="785"/>
      <c r="M64" s="785"/>
      <c r="N64" s="785"/>
      <c r="O64" s="785"/>
      <c r="P64" s="70"/>
    </row>
    <row r="65" spans="1:19" ht="18.75" x14ac:dyDescent="0.25">
      <c r="A65" s="2491" t="s">
        <v>1241</v>
      </c>
      <c r="B65" s="2491"/>
      <c r="C65" s="2491"/>
      <c r="D65" s="2491"/>
      <c r="E65" s="2491"/>
      <c r="F65" s="2491"/>
      <c r="G65" s="2491"/>
      <c r="H65" s="2491"/>
      <c r="I65" s="2491"/>
      <c r="J65" s="98">
        <v>0</v>
      </c>
      <c r="K65" s="344"/>
      <c r="L65" s="785"/>
      <c r="M65" s="785"/>
      <c r="N65" s="785"/>
      <c r="O65" s="785"/>
      <c r="P65" s="70"/>
    </row>
    <row r="66" spans="1:19" s="87" customFormat="1" ht="14.25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92"/>
      <c r="K66" s="773"/>
      <c r="L66" s="773"/>
      <c r="M66" s="773"/>
      <c r="N66" s="773"/>
    </row>
    <row r="67" spans="1:19" ht="18.75" x14ac:dyDescent="0.25">
      <c r="A67" s="1644" t="s">
        <v>1238</v>
      </c>
      <c r="K67" s="785"/>
      <c r="L67" s="785"/>
      <c r="M67" s="785"/>
      <c r="N67" s="785"/>
      <c r="O67" s="785"/>
      <c r="P67" s="70"/>
    </row>
    <row r="68" spans="1:19" ht="18.75" x14ac:dyDescent="0.25">
      <c r="A68" s="2474" t="s">
        <v>2037</v>
      </c>
      <c r="B68" s="2474"/>
      <c r="C68" s="2474"/>
      <c r="D68" s="2474"/>
      <c r="E68" s="2474"/>
      <c r="F68" s="2474"/>
      <c r="G68" s="2474"/>
      <c r="H68" s="2474"/>
      <c r="I68" s="2474"/>
      <c r="J68" s="85">
        <f>J70+J69</f>
        <v>8463961.8699999992</v>
      </c>
      <c r="K68" s="1656">
        <f>J314+J749+J511</f>
        <v>8509773.3699999992</v>
      </c>
      <c r="L68" s="1656" t="b">
        <f>J68+J63=K68</f>
        <v>1</v>
      </c>
      <c r="M68" s="1812">
        <v>909</v>
      </c>
      <c r="N68" s="1813" t="s">
        <v>2151</v>
      </c>
      <c r="O68" s="785"/>
    </row>
    <row r="69" spans="1:19" ht="18.75" x14ac:dyDescent="0.25">
      <c r="A69" s="2490" t="s">
        <v>2038</v>
      </c>
      <c r="B69" s="2490"/>
      <c r="C69" s="2490"/>
      <c r="D69" s="2490"/>
      <c r="E69" s="2490"/>
      <c r="F69" s="2490"/>
      <c r="G69" s="2490"/>
      <c r="H69" s="2490"/>
      <c r="I69" s="2490"/>
      <c r="J69" s="69">
        <v>0</v>
      </c>
      <c r="K69" s="344"/>
      <c r="L69" s="1656"/>
      <c r="M69" s="1656"/>
      <c r="N69" s="785"/>
      <c r="O69" s="785"/>
    </row>
    <row r="70" spans="1:19" ht="18.75" x14ac:dyDescent="0.25">
      <c r="A70" s="2491" t="s">
        <v>1241</v>
      </c>
      <c r="B70" s="2491"/>
      <c r="C70" s="2491"/>
      <c r="D70" s="2491"/>
      <c r="E70" s="2491"/>
      <c r="F70" s="2491"/>
      <c r="G70" s="2491"/>
      <c r="H70" s="2491"/>
      <c r="I70" s="2491"/>
      <c r="J70" s="98">
        <v>8463961.8699999992</v>
      </c>
      <c r="K70" s="785"/>
      <c r="L70" s="785"/>
      <c r="M70" s="785"/>
      <c r="N70" s="785"/>
      <c r="O70" s="785"/>
    </row>
    <row r="71" spans="1:19" s="1647" customFormat="1" ht="14.25" x14ac:dyDescent="0.25">
      <c r="A71" s="1638"/>
      <c r="B71" s="1638"/>
      <c r="C71" s="1638"/>
      <c r="D71" s="1638"/>
      <c r="E71" s="1638"/>
      <c r="F71" s="1638"/>
      <c r="G71" s="1638"/>
      <c r="H71" s="1638"/>
      <c r="J71" s="1809"/>
      <c r="K71" s="1814"/>
      <c r="L71" s="1814"/>
      <c r="M71" s="1814"/>
      <c r="N71" s="1814"/>
      <c r="O71" s="1814"/>
      <c r="P71" s="1814"/>
      <c r="Q71" s="1814"/>
      <c r="R71" s="1814"/>
      <c r="S71" s="1814"/>
    </row>
    <row r="72" spans="1:19" s="1647" customFormat="1" hidden="1" x14ac:dyDescent="0.25">
      <c r="A72" s="2495" t="s">
        <v>1240</v>
      </c>
      <c r="B72" s="2495"/>
      <c r="C72" s="2495"/>
      <c r="D72" s="2495"/>
      <c r="E72" s="2495"/>
      <c r="F72" s="2495"/>
      <c r="G72" s="2495"/>
      <c r="H72" s="2495"/>
      <c r="I72" s="2495"/>
      <c r="J72" s="2495"/>
      <c r="K72" s="1814"/>
      <c r="L72" s="1814"/>
      <c r="M72" s="1814"/>
      <c r="N72" s="1814"/>
      <c r="O72" s="1814"/>
      <c r="P72" s="1814"/>
      <c r="Q72" s="1814"/>
      <c r="R72" s="1814"/>
      <c r="S72" s="1814"/>
    </row>
    <row r="73" spans="1:19" s="1647" customFormat="1" ht="31.5" hidden="1" customHeight="1" x14ac:dyDescent="0.25">
      <c r="A73" s="2506" t="s">
        <v>1239</v>
      </c>
      <c r="B73" s="2506"/>
      <c r="C73" s="2506"/>
      <c r="D73" s="2506"/>
      <c r="E73" s="2506"/>
      <c r="F73" s="2506"/>
      <c r="G73" s="2506"/>
      <c r="H73" s="2506"/>
      <c r="I73" s="2111"/>
      <c r="J73" s="1815">
        <f>J74+J80</f>
        <v>0</v>
      </c>
      <c r="K73" s="70">
        <v>0</v>
      </c>
      <c r="L73" s="108" t="b">
        <f>J73=K73</f>
        <v>1</v>
      </c>
      <c r="M73" s="1812">
        <v>909</v>
      </c>
      <c r="N73" s="1806">
        <v>346</v>
      </c>
      <c r="O73" s="1814"/>
      <c r="P73" s="1814"/>
      <c r="Q73" s="1814"/>
      <c r="R73" s="1814"/>
      <c r="S73" s="1814"/>
    </row>
    <row r="74" spans="1:19" s="1647" customFormat="1" hidden="1" x14ac:dyDescent="0.25">
      <c r="A74" s="2497" t="s">
        <v>835</v>
      </c>
      <c r="B74" s="2497"/>
      <c r="C74" s="2497"/>
      <c r="D74" s="2497"/>
      <c r="E74" s="2497"/>
      <c r="F74" s="2497"/>
      <c r="G74" s="2497"/>
      <c r="H74" s="2497"/>
      <c r="I74" s="1648"/>
      <c r="J74" s="1816">
        <v>0</v>
      </c>
      <c r="K74" s="108"/>
      <c r="L74" s="88"/>
      <c r="M74" s="1814"/>
      <c r="N74" s="1814"/>
      <c r="O74" s="1814"/>
      <c r="P74" s="1814"/>
      <c r="Q74" s="1814"/>
      <c r="R74" s="1814"/>
      <c r="S74" s="1814"/>
    </row>
    <row r="75" spans="1:19" ht="15.75" hidden="1" x14ac:dyDescent="0.25">
      <c r="A75" s="72" t="s">
        <v>1241</v>
      </c>
      <c r="B75" s="639"/>
      <c r="C75" s="639"/>
      <c r="D75" s="639"/>
      <c r="E75" s="639"/>
      <c r="F75" s="639"/>
      <c r="G75" s="639"/>
      <c r="H75" s="643"/>
      <c r="I75" s="643"/>
      <c r="J75" s="1816">
        <v>0</v>
      </c>
      <c r="K75" s="774"/>
      <c r="L75" s="774"/>
      <c r="O75" s="75"/>
      <c r="P75" s="75"/>
      <c r="Q75" s="75"/>
      <c r="R75" s="75"/>
      <c r="S75" s="75"/>
    </row>
    <row r="76" spans="1:19" ht="32.450000000000003" hidden="1" customHeight="1" x14ac:dyDescent="0.25">
      <c r="A76" s="2475" t="s">
        <v>8</v>
      </c>
      <c r="B76" s="2475" t="s">
        <v>794</v>
      </c>
      <c r="C76" s="2475"/>
      <c r="D76" s="2475"/>
      <c r="E76" s="2475"/>
      <c r="F76" s="2475"/>
      <c r="G76" s="2475"/>
      <c r="H76" s="2475"/>
      <c r="I76" s="2476" t="s">
        <v>735</v>
      </c>
      <c r="J76" s="2476"/>
      <c r="K76" s="774"/>
      <c r="L76" s="774"/>
      <c r="O76" s="75"/>
      <c r="P76" s="75"/>
      <c r="Q76" s="75"/>
      <c r="R76" s="75"/>
      <c r="S76" s="75"/>
    </row>
    <row r="77" spans="1:19" s="1647" customFormat="1" ht="39.6" hidden="1" customHeight="1" x14ac:dyDescent="0.25">
      <c r="A77" s="2475"/>
      <c r="B77" s="2475"/>
      <c r="C77" s="2475"/>
      <c r="D77" s="2475"/>
      <c r="E77" s="2475"/>
      <c r="F77" s="2475"/>
      <c r="G77" s="2475"/>
      <c r="H77" s="2475"/>
      <c r="I77" s="1631" t="s">
        <v>795</v>
      </c>
      <c r="J77" s="1817" t="s">
        <v>258</v>
      </c>
      <c r="K77" s="1814"/>
      <c r="L77" s="1814"/>
      <c r="M77" s="1814"/>
      <c r="N77" s="1814"/>
      <c r="O77" s="1814"/>
      <c r="P77" s="1814"/>
      <c r="Q77" s="1814"/>
      <c r="R77" s="1814"/>
      <c r="S77" s="1814"/>
    </row>
    <row r="78" spans="1:19" s="1647" customFormat="1" ht="15.75" hidden="1" x14ac:dyDescent="0.25">
      <c r="A78" s="1631">
        <v>1</v>
      </c>
      <c r="B78" s="2472"/>
      <c r="C78" s="2472"/>
      <c r="D78" s="2472"/>
      <c r="E78" s="2472"/>
      <c r="F78" s="2472"/>
      <c r="G78" s="2472"/>
      <c r="H78" s="2472"/>
      <c r="I78" s="641"/>
      <c r="J78" s="124">
        <f>H78*I78</f>
        <v>0</v>
      </c>
      <c r="K78" s="1814"/>
      <c r="L78" s="1814"/>
      <c r="M78" s="1814"/>
      <c r="N78" s="1814"/>
      <c r="O78" s="1814"/>
      <c r="P78" s="1814"/>
      <c r="Q78" s="1814"/>
      <c r="R78" s="1814"/>
      <c r="S78" s="1814"/>
    </row>
    <row r="79" spans="1:19" s="1647" customFormat="1" ht="15.75" hidden="1" x14ac:dyDescent="0.25">
      <c r="A79" s="1631">
        <v>2</v>
      </c>
      <c r="B79" s="2472"/>
      <c r="C79" s="2472"/>
      <c r="D79" s="2472"/>
      <c r="E79" s="2472"/>
      <c r="F79" s="2472"/>
      <c r="G79" s="2472"/>
      <c r="H79" s="2472"/>
      <c r="I79" s="641"/>
      <c r="J79" s="124">
        <f>H79*I79</f>
        <v>0</v>
      </c>
      <c r="K79" s="1814"/>
      <c r="L79" s="1814"/>
      <c r="M79" s="1814"/>
      <c r="N79" s="1814"/>
      <c r="O79" s="1814"/>
      <c r="P79" s="1814"/>
      <c r="Q79" s="1814"/>
      <c r="R79" s="1814"/>
      <c r="S79" s="1814"/>
    </row>
    <row r="80" spans="1:19" s="1647" customFormat="1" ht="13.9" hidden="1" customHeight="1" x14ac:dyDescent="0.25">
      <c r="A80" s="2473" t="s">
        <v>786</v>
      </c>
      <c r="B80" s="2473"/>
      <c r="C80" s="2473"/>
      <c r="D80" s="2473"/>
      <c r="E80" s="2473"/>
      <c r="F80" s="2473"/>
      <c r="G80" s="2473"/>
      <c r="H80" s="2473"/>
      <c r="I80" s="2473"/>
      <c r="J80" s="642">
        <f>SUM(J78:J79)</f>
        <v>0</v>
      </c>
      <c r="K80" s="1814"/>
      <c r="L80" s="1814"/>
      <c r="M80" s="1814"/>
      <c r="N80" s="1814"/>
      <c r="O80" s="1814"/>
      <c r="P80" s="1814"/>
      <c r="Q80" s="1814"/>
      <c r="R80" s="1814"/>
      <c r="S80" s="1814"/>
    </row>
    <row r="81" spans="1:19" s="1647" customFormat="1" ht="14.25" hidden="1" x14ac:dyDescent="0.25">
      <c r="A81" s="1638"/>
      <c r="B81" s="1638"/>
      <c r="C81" s="1638"/>
      <c r="D81" s="1638"/>
      <c r="E81" s="1638"/>
      <c r="F81" s="1638"/>
      <c r="G81" s="1638"/>
      <c r="H81" s="1638"/>
      <c r="J81" s="1809"/>
      <c r="K81" s="1814"/>
      <c r="L81" s="1814"/>
      <c r="M81" s="1814"/>
      <c r="N81" s="1814"/>
      <c r="O81" s="1814"/>
      <c r="P81" s="1814"/>
      <c r="Q81" s="1814"/>
      <c r="R81" s="1814"/>
      <c r="S81" s="1814"/>
    </row>
    <row r="82" spans="1:19" ht="18.75" hidden="1" x14ac:dyDescent="0.25">
      <c r="A82" s="1644" t="s">
        <v>1522</v>
      </c>
      <c r="K82" s="344"/>
      <c r="L82" s="785"/>
      <c r="M82" s="785"/>
      <c r="N82" s="785"/>
      <c r="O82" s="785"/>
      <c r="P82" s="70"/>
    </row>
    <row r="83" spans="1:19" ht="18.75" hidden="1" x14ac:dyDescent="0.25">
      <c r="A83" s="2474" t="s">
        <v>1523</v>
      </c>
      <c r="B83" s="2474"/>
      <c r="C83" s="2474"/>
      <c r="D83" s="2474"/>
      <c r="E83" s="2474"/>
      <c r="F83" s="2474"/>
      <c r="G83" s="2474"/>
      <c r="H83" s="2474"/>
      <c r="I83" s="2474"/>
      <c r="J83" s="85">
        <f>J84+J85</f>
        <v>0</v>
      </c>
      <c r="K83" s="1656">
        <f>J731+J524</f>
        <v>0</v>
      </c>
      <c r="L83" s="1656" t="b">
        <f>J83=K83</f>
        <v>1</v>
      </c>
      <c r="M83" s="1812">
        <v>206</v>
      </c>
      <c r="N83" s="1813" t="s">
        <v>1524</v>
      </c>
      <c r="O83" s="785"/>
      <c r="P83" s="70"/>
    </row>
    <row r="84" spans="1:19" ht="15" hidden="1" customHeight="1" x14ac:dyDescent="0.25">
      <c r="A84" s="2490" t="s">
        <v>835</v>
      </c>
      <c r="B84" s="2490"/>
      <c r="C84" s="2490"/>
      <c r="D84" s="2490"/>
      <c r="E84" s="2490"/>
      <c r="F84" s="2490"/>
      <c r="G84" s="2490"/>
      <c r="H84" s="2490"/>
      <c r="I84" s="2490"/>
      <c r="J84" s="98">
        <v>0</v>
      </c>
      <c r="K84" s="344"/>
      <c r="L84" s="785"/>
      <c r="M84" s="785"/>
      <c r="N84" s="785"/>
      <c r="O84" s="785"/>
      <c r="P84" s="70"/>
    </row>
    <row r="85" spans="1:19" ht="16.5" hidden="1" customHeight="1" x14ac:dyDescent="0.25">
      <c r="A85" s="2491" t="s">
        <v>1241</v>
      </c>
      <c r="B85" s="2491"/>
      <c r="C85" s="2491"/>
      <c r="D85" s="2491"/>
      <c r="E85" s="2491"/>
      <c r="F85" s="2491"/>
      <c r="G85" s="2491"/>
      <c r="H85" s="2491"/>
      <c r="I85" s="2491"/>
      <c r="J85" s="98">
        <v>0</v>
      </c>
      <c r="K85" s="344"/>
      <c r="L85" s="785"/>
      <c r="M85" s="785"/>
      <c r="N85" s="785"/>
      <c r="O85" s="785"/>
      <c r="P85" s="70"/>
    </row>
    <row r="86" spans="1:19" ht="16.5" hidden="1" customHeight="1" x14ac:dyDescent="0.25">
      <c r="A86" s="1635"/>
      <c r="B86" s="1635"/>
      <c r="C86" s="1635"/>
      <c r="D86" s="1635"/>
      <c r="E86" s="1635"/>
      <c r="F86" s="1635"/>
      <c r="G86" s="1635"/>
      <c r="H86" s="1635"/>
      <c r="I86" s="1635"/>
      <c r="J86" s="98"/>
      <c r="K86" s="344"/>
      <c r="L86" s="785"/>
      <c r="M86" s="785"/>
      <c r="N86" s="785"/>
      <c r="O86" s="785"/>
      <c r="P86" s="70"/>
    </row>
    <row r="87" spans="1:19" ht="18.75" x14ac:dyDescent="0.25">
      <c r="A87" s="1644" t="s">
        <v>1522</v>
      </c>
      <c r="K87" s="785"/>
      <c r="L87" s="785"/>
      <c r="M87" s="785"/>
      <c r="N87" s="785"/>
      <c r="O87" s="785"/>
    </row>
    <row r="88" spans="1:19" ht="18.75" x14ac:dyDescent="0.25">
      <c r="A88" s="2474" t="s">
        <v>1669</v>
      </c>
      <c r="B88" s="2474"/>
      <c r="C88" s="2474"/>
      <c r="D88" s="2474"/>
      <c r="E88" s="2474"/>
      <c r="F88" s="2474"/>
      <c r="G88" s="2474"/>
      <c r="H88" s="2474"/>
      <c r="I88" s="2474"/>
      <c r="J88" s="85">
        <f>J89+J90</f>
        <v>15000</v>
      </c>
      <c r="K88" s="1656">
        <f>J772</f>
        <v>15000</v>
      </c>
      <c r="L88" s="1656" t="b">
        <f>J88=K88</f>
        <v>1</v>
      </c>
      <c r="M88" s="1812">
        <v>910</v>
      </c>
      <c r="N88" s="1813" t="s">
        <v>1670</v>
      </c>
      <c r="O88" s="785"/>
    </row>
    <row r="89" spans="1:19" ht="18.75" x14ac:dyDescent="0.25">
      <c r="A89" s="2490" t="s">
        <v>835</v>
      </c>
      <c r="B89" s="2490"/>
      <c r="C89" s="2490"/>
      <c r="D89" s="2490"/>
      <c r="E89" s="2490"/>
      <c r="F89" s="2490"/>
      <c r="G89" s="2490"/>
      <c r="H89" s="2490"/>
      <c r="I89" s="2490"/>
      <c r="J89" s="98">
        <v>0</v>
      </c>
      <c r="K89" s="785"/>
      <c r="L89" s="785"/>
      <c r="M89" s="785"/>
      <c r="N89" s="785"/>
      <c r="O89" s="785"/>
    </row>
    <row r="90" spans="1:19" ht="18.75" x14ac:dyDescent="0.25">
      <c r="A90" s="2491" t="s">
        <v>1241</v>
      </c>
      <c r="B90" s="2491"/>
      <c r="C90" s="2491"/>
      <c r="D90" s="2491"/>
      <c r="E90" s="2491"/>
      <c r="F90" s="2491"/>
      <c r="G90" s="2491"/>
      <c r="H90" s="2491"/>
      <c r="I90" s="2491"/>
      <c r="J90" s="98">
        <v>15000</v>
      </c>
      <c r="K90" s="344"/>
      <c r="L90" s="785"/>
      <c r="M90" s="785"/>
      <c r="N90" s="785"/>
      <c r="O90" s="785"/>
      <c r="P90" s="70"/>
    </row>
    <row r="91" spans="1:19" ht="14.25" customHeight="1" x14ac:dyDescent="0.25">
      <c r="A91" s="1635"/>
      <c r="B91" s="1635"/>
      <c r="C91" s="1635"/>
      <c r="D91" s="1635"/>
      <c r="E91" s="1635"/>
      <c r="F91" s="1635"/>
      <c r="G91" s="1635"/>
      <c r="H91" s="1635"/>
      <c r="I91" s="1635"/>
      <c r="J91" s="98"/>
      <c r="K91" s="344"/>
      <c r="L91" s="785"/>
      <c r="M91" s="785"/>
      <c r="N91" s="785"/>
      <c r="O91" s="785"/>
      <c r="P91" s="70"/>
    </row>
    <row r="92" spans="1:19" x14ac:dyDescent="0.25">
      <c r="A92" s="2495" t="s">
        <v>792</v>
      </c>
      <c r="B92" s="2495"/>
      <c r="C92" s="2495"/>
      <c r="D92" s="2495"/>
      <c r="E92" s="2495"/>
      <c r="F92" s="2495"/>
      <c r="G92" s="2495"/>
      <c r="H92" s="2495"/>
      <c r="I92" s="1647"/>
      <c r="J92" s="99"/>
    </row>
    <row r="93" spans="1:19" x14ac:dyDescent="0.25">
      <c r="A93" s="2496" t="s">
        <v>793</v>
      </c>
      <c r="B93" s="2496"/>
      <c r="C93" s="2496"/>
      <c r="D93" s="2496"/>
      <c r="E93" s="2496"/>
      <c r="F93" s="2496"/>
      <c r="G93" s="2496"/>
      <c r="H93" s="2496"/>
      <c r="I93" s="1647"/>
      <c r="J93" s="1795">
        <f>J94+J95</f>
        <v>200000</v>
      </c>
      <c r="K93" s="70">
        <f>J640</f>
        <v>200000</v>
      </c>
      <c r="L93" s="108" t="b">
        <f>J93=K93</f>
        <v>1</v>
      </c>
      <c r="M93" s="1812">
        <v>207</v>
      </c>
      <c r="N93" s="1806">
        <v>310</v>
      </c>
    </row>
    <row r="94" spans="1:19" ht="16.5" customHeight="1" x14ac:dyDescent="0.25">
      <c r="A94" s="2497" t="s">
        <v>835</v>
      </c>
      <c r="B94" s="2497"/>
      <c r="C94" s="2497"/>
      <c r="D94" s="2497"/>
      <c r="E94" s="2497"/>
      <c r="F94" s="2497"/>
      <c r="G94" s="2497"/>
      <c r="H94" s="2497"/>
      <c r="I94" s="1647"/>
      <c r="J94" s="1816">
        <v>200000</v>
      </c>
    </row>
    <row r="95" spans="1:19" ht="17.25" customHeight="1" x14ac:dyDescent="0.25">
      <c r="A95" s="72" t="s">
        <v>778</v>
      </c>
      <c r="B95" s="1641"/>
      <c r="C95" s="1641"/>
      <c r="D95" s="1641"/>
      <c r="E95" s="1641"/>
      <c r="F95" s="1641"/>
      <c r="G95" s="1641"/>
      <c r="H95" s="1641"/>
      <c r="I95" s="1647"/>
      <c r="J95" s="1568">
        <v>0</v>
      </c>
    </row>
    <row r="96" spans="1:19" ht="12.75" customHeight="1" x14ac:dyDescent="0.25">
      <c r="A96" s="1635"/>
      <c r="B96" s="1635"/>
      <c r="C96" s="1635"/>
      <c r="D96" s="1635"/>
      <c r="E96" s="1635"/>
      <c r="F96" s="1635"/>
      <c r="G96" s="1635"/>
      <c r="H96" s="1635"/>
      <c r="I96" s="1635"/>
      <c r="J96" s="98"/>
      <c r="K96" s="344"/>
      <c r="L96" s="785"/>
      <c r="M96" s="785"/>
      <c r="N96" s="785"/>
      <c r="O96" s="785"/>
      <c r="P96" s="70"/>
    </row>
    <row r="97" spans="1:19" s="1647" customFormat="1" ht="15.75" hidden="1" x14ac:dyDescent="0.25">
      <c r="A97" s="2478" t="s">
        <v>805</v>
      </c>
      <c r="B97" s="2478"/>
      <c r="C97" s="2478"/>
      <c r="D97" s="2478"/>
      <c r="E97" s="2478"/>
      <c r="F97" s="2478"/>
      <c r="G97" s="2478"/>
      <c r="H97" s="2478"/>
      <c r="I97" s="2478"/>
      <c r="J97" s="2478"/>
      <c r="K97" s="1814"/>
      <c r="L97" s="1814"/>
      <c r="M97" s="1814"/>
      <c r="N97" s="1814"/>
      <c r="O97" s="1814"/>
      <c r="P97" s="1814"/>
      <c r="Q97" s="1814"/>
      <c r="R97" s="1814"/>
      <c r="S97" s="1814"/>
    </row>
    <row r="98" spans="1:19" s="775" customFormat="1" ht="15.75" hidden="1" customHeight="1" x14ac:dyDescent="0.25">
      <c r="A98" s="2478" t="s">
        <v>2267</v>
      </c>
      <c r="B98" s="2478"/>
      <c r="C98" s="2478"/>
      <c r="D98" s="2478"/>
      <c r="E98" s="2478"/>
      <c r="F98" s="2478"/>
      <c r="G98" s="2478"/>
      <c r="H98" s="2478"/>
      <c r="I98" s="644"/>
      <c r="J98" s="645">
        <f>J99+J105</f>
        <v>0</v>
      </c>
    </row>
    <row r="99" spans="1:19" s="1647" customFormat="1" ht="18.75" hidden="1" customHeight="1" x14ac:dyDescent="0.25">
      <c r="A99" s="2487" t="s">
        <v>777</v>
      </c>
      <c r="B99" s="2487"/>
      <c r="C99" s="2487"/>
      <c r="D99" s="2487"/>
      <c r="E99" s="2487"/>
      <c r="F99" s="2487"/>
      <c r="G99" s="2487"/>
      <c r="H99" s="2487"/>
      <c r="I99" s="1633"/>
      <c r="J99" s="645"/>
      <c r="K99" s="1814"/>
      <c r="L99" s="1814"/>
      <c r="M99" s="1814"/>
      <c r="N99" s="1814"/>
      <c r="O99" s="1814"/>
      <c r="P99" s="1814"/>
      <c r="Q99" s="1814"/>
      <c r="R99" s="1814"/>
      <c r="S99" s="1814"/>
    </row>
    <row r="100" spans="1:19" ht="18.75" hidden="1" customHeight="1" x14ac:dyDescent="0.25">
      <c r="A100" s="639" t="s">
        <v>778</v>
      </c>
      <c r="B100" s="639"/>
      <c r="C100" s="639"/>
      <c r="D100" s="639"/>
      <c r="E100" s="639"/>
      <c r="F100" s="639"/>
      <c r="G100" s="639"/>
      <c r="H100" s="643"/>
      <c r="I100" s="643"/>
      <c r="J100" s="645"/>
    </row>
    <row r="101" spans="1:19" ht="42.6" hidden="1" customHeight="1" x14ac:dyDescent="0.25">
      <c r="A101" s="2475" t="s">
        <v>8</v>
      </c>
      <c r="B101" s="2475" t="s">
        <v>794</v>
      </c>
      <c r="C101" s="2475"/>
      <c r="D101" s="2475"/>
      <c r="E101" s="2475"/>
      <c r="F101" s="2475"/>
      <c r="G101" s="2475"/>
      <c r="H101" s="2475"/>
      <c r="I101" s="2476" t="s">
        <v>735</v>
      </c>
      <c r="J101" s="2476"/>
    </row>
    <row r="102" spans="1:19" ht="76.150000000000006" hidden="1" customHeight="1" x14ac:dyDescent="0.25">
      <c r="A102" s="2475"/>
      <c r="B102" s="2475"/>
      <c r="C102" s="2475"/>
      <c r="D102" s="2475"/>
      <c r="E102" s="2475"/>
      <c r="F102" s="2475"/>
      <c r="G102" s="2475"/>
      <c r="H102" s="2475"/>
      <c r="I102" s="1631" t="s">
        <v>795</v>
      </c>
      <c r="J102" s="1817" t="s">
        <v>258</v>
      </c>
    </row>
    <row r="103" spans="1:19" ht="18.75" hidden="1" customHeight="1" x14ac:dyDescent="0.25">
      <c r="A103" s="1631">
        <v>1</v>
      </c>
      <c r="B103" s="2479"/>
      <c r="C103" s="2480"/>
      <c r="D103" s="2481"/>
      <c r="E103" s="2481"/>
      <c r="F103" s="2481"/>
      <c r="G103" s="2481"/>
      <c r="H103" s="2482"/>
      <c r="I103" s="641"/>
      <c r="J103" s="124">
        <f>H103*I103</f>
        <v>0</v>
      </c>
    </row>
    <row r="104" spans="1:19" ht="18.75" hidden="1" customHeight="1" x14ac:dyDescent="0.25">
      <c r="A104" s="1631">
        <v>2</v>
      </c>
      <c r="B104" s="2479"/>
      <c r="C104" s="2480"/>
      <c r="D104" s="2481"/>
      <c r="E104" s="2481"/>
      <c r="F104" s="2481"/>
      <c r="G104" s="2481"/>
      <c r="H104" s="2482"/>
      <c r="I104" s="641"/>
      <c r="J104" s="124">
        <f>H104*I104</f>
        <v>0</v>
      </c>
    </row>
    <row r="105" spans="1:19" ht="18.75" hidden="1" customHeight="1" x14ac:dyDescent="0.25">
      <c r="A105" s="2483" t="s">
        <v>786</v>
      </c>
      <c r="B105" s="2484"/>
      <c r="C105" s="2485"/>
      <c r="D105" s="2484"/>
      <c r="E105" s="2484"/>
      <c r="F105" s="2484"/>
      <c r="G105" s="2484"/>
      <c r="H105" s="2484"/>
      <c r="I105" s="2486"/>
      <c r="J105" s="642">
        <f>SUM(J103:J104)</f>
        <v>0</v>
      </c>
    </row>
    <row r="106" spans="1:19" ht="18.75" hidden="1" customHeight="1" x14ac:dyDescent="0.25">
      <c r="A106" s="639"/>
      <c r="B106" s="639"/>
      <c r="C106" s="639"/>
      <c r="D106" s="639"/>
      <c r="E106" s="639"/>
      <c r="F106" s="639"/>
      <c r="G106" s="639"/>
      <c r="H106" s="643"/>
      <c r="I106" s="643"/>
      <c r="J106" s="643"/>
    </row>
    <row r="107" spans="1:19" s="775" customFormat="1" ht="15.75" hidden="1" x14ac:dyDescent="0.25">
      <c r="A107" s="2494" t="s">
        <v>608</v>
      </c>
      <c r="B107" s="2494"/>
      <c r="C107" s="2494"/>
      <c r="D107" s="2494"/>
      <c r="E107" s="2494"/>
      <c r="F107" s="2494"/>
      <c r="G107" s="2494"/>
      <c r="H107" s="2494"/>
      <c r="I107" s="644"/>
      <c r="J107" s="646"/>
    </row>
    <row r="108" spans="1:19" s="775" customFormat="1" ht="15.75" hidden="1" customHeight="1" x14ac:dyDescent="0.25">
      <c r="A108" s="2478" t="s">
        <v>806</v>
      </c>
      <c r="B108" s="2478"/>
      <c r="C108" s="2478"/>
      <c r="D108" s="2478"/>
      <c r="E108" s="2478"/>
      <c r="F108" s="2478"/>
      <c r="G108" s="2478"/>
      <c r="H108" s="2478"/>
      <c r="I108" s="644"/>
      <c r="J108" s="645">
        <f>J109+J115</f>
        <v>0</v>
      </c>
    </row>
    <row r="109" spans="1:19" s="1650" customFormat="1" ht="15.75" hidden="1" customHeight="1" x14ac:dyDescent="0.25">
      <c r="A109" s="2487" t="s">
        <v>777</v>
      </c>
      <c r="B109" s="2487"/>
      <c r="C109" s="2487"/>
      <c r="D109" s="2487"/>
      <c r="E109" s="2487"/>
      <c r="F109" s="2487"/>
      <c r="G109" s="2487"/>
      <c r="H109" s="2487"/>
      <c r="I109" s="647"/>
      <c r="J109" s="648"/>
    </row>
    <row r="110" spans="1:19" s="1650" customFormat="1" ht="15.75" hidden="1" customHeight="1" x14ac:dyDescent="0.25">
      <c r="A110" s="2487" t="s">
        <v>778</v>
      </c>
      <c r="B110" s="2487"/>
      <c r="C110" s="2487"/>
      <c r="D110" s="2487"/>
      <c r="E110" s="2487"/>
      <c r="F110" s="2487"/>
      <c r="G110" s="2487"/>
      <c r="H110" s="2487"/>
      <c r="I110" s="2487"/>
      <c r="J110" s="648"/>
    </row>
    <row r="111" spans="1:19" s="1650" customFormat="1" ht="37.9" hidden="1" customHeight="1" x14ac:dyDescent="0.25">
      <c r="A111" s="2475" t="s">
        <v>8</v>
      </c>
      <c r="B111" s="2475" t="s">
        <v>794</v>
      </c>
      <c r="C111" s="2475"/>
      <c r="D111" s="2475"/>
      <c r="E111" s="2475"/>
      <c r="F111" s="2475"/>
      <c r="G111" s="2475"/>
      <c r="H111" s="2475"/>
      <c r="I111" s="2476" t="s">
        <v>735</v>
      </c>
      <c r="J111" s="2476"/>
    </row>
    <row r="112" spans="1:19" s="1650" customFormat="1" ht="37.15" hidden="1" customHeight="1" x14ac:dyDescent="0.25">
      <c r="A112" s="2475"/>
      <c r="B112" s="2475"/>
      <c r="C112" s="2475"/>
      <c r="D112" s="2475"/>
      <c r="E112" s="2475"/>
      <c r="F112" s="2475"/>
      <c r="G112" s="2475"/>
      <c r="H112" s="2475"/>
      <c r="I112" s="1631" t="s">
        <v>795</v>
      </c>
      <c r="J112" s="1817" t="s">
        <v>258</v>
      </c>
    </row>
    <row r="113" spans="1:29" s="1650" customFormat="1" ht="15.75" hidden="1" customHeight="1" x14ac:dyDescent="0.25">
      <c r="A113" s="1631">
        <v>1</v>
      </c>
      <c r="B113" s="2479"/>
      <c r="C113" s="2480"/>
      <c r="D113" s="2481"/>
      <c r="E113" s="2481"/>
      <c r="F113" s="2481"/>
      <c r="G113" s="2481"/>
      <c r="H113" s="2482"/>
      <c r="I113" s="641"/>
      <c r="J113" s="124">
        <f>H113*I113</f>
        <v>0</v>
      </c>
    </row>
    <row r="114" spans="1:29" s="1650" customFormat="1" ht="15.75" hidden="1" customHeight="1" x14ac:dyDescent="0.25">
      <c r="A114" s="1631">
        <v>2</v>
      </c>
      <c r="B114" s="2479"/>
      <c r="C114" s="2480"/>
      <c r="D114" s="2481"/>
      <c r="E114" s="2481"/>
      <c r="F114" s="2481"/>
      <c r="G114" s="2481"/>
      <c r="H114" s="2482"/>
      <c r="I114" s="641"/>
      <c r="J114" s="124">
        <f>H114*I114</f>
        <v>0</v>
      </c>
    </row>
    <row r="115" spans="1:29" s="1650" customFormat="1" ht="15.75" hidden="1" customHeight="1" x14ac:dyDescent="0.25">
      <c r="A115" s="2483" t="s">
        <v>786</v>
      </c>
      <c r="B115" s="2484"/>
      <c r="C115" s="2485"/>
      <c r="D115" s="2484"/>
      <c r="E115" s="2484"/>
      <c r="F115" s="2484"/>
      <c r="G115" s="2484"/>
      <c r="H115" s="2484"/>
      <c r="I115" s="2486"/>
      <c r="J115" s="642">
        <f>SUM(J113:J114)</f>
        <v>0</v>
      </c>
    </row>
    <row r="116" spans="1:29" s="75" customFormat="1" ht="18.75" hidden="1" customHeight="1" x14ac:dyDescent="0.25">
      <c r="A116" s="1634"/>
      <c r="B116" s="1634"/>
      <c r="C116" s="1634"/>
      <c r="D116" s="1634"/>
      <c r="E116" s="1634"/>
      <c r="F116" s="1634"/>
      <c r="G116" s="1634"/>
      <c r="H116" s="1634"/>
      <c r="I116" s="1634"/>
      <c r="J116" s="640"/>
    </row>
    <row r="117" spans="1:29" s="75" customFormat="1" ht="18.75" hidden="1" customHeight="1" x14ac:dyDescent="0.25">
      <c r="A117" s="2488" t="s">
        <v>807</v>
      </c>
      <c r="B117" s="2488"/>
      <c r="C117" s="2488"/>
      <c r="D117" s="2488"/>
      <c r="E117" s="2488"/>
      <c r="F117" s="2488"/>
      <c r="G117" s="2488"/>
      <c r="H117" s="2488"/>
      <c r="I117" s="2488"/>
      <c r="J117" s="640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</row>
    <row r="118" spans="1:29" ht="18.75" hidden="1" customHeight="1" x14ac:dyDescent="0.25">
      <c r="A118" s="1643" t="s">
        <v>808</v>
      </c>
      <c r="B118" s="104"/>
      <c r="C118" s="104"/>
      <c r="D118" s="104"/>
      <c r="E118" s="104"/>
      <c r="F118" s="104"/>
      <c r="G118" s="104"/>
      <c r="H118" s="105"/>
      <c r="I118" s="105"/>
      <c r="J118" s="638">
        <f>-J125</f>
        <v>0</v>
      </c>
    </row>
    <row r="119" spans="1:29" ht="18.75" hidden="1" customHeight="1" x14ac:dyDescent="0.25">
      <c r="A119" s="1643" t="s">
        <v>809</v>
      </c>
      <c r="B119" s="104"/>
      <c r="C119" s="104"/>
      <c r="D119" s="104"/>
      <c r="E119" s="104"/>
      <c r="F119" s="104"/>
      <c r="G119" s="104"/>
      <c r="H119" s="105"/>
      <c r="I119" s="105"/>
      <c r="J119" s="638">
        <f>-J123</f>
        <v>0</v>
      </c>
    </row>
    <row r="120" spans="1:29" ht="18.75" hidden="1" customHeight="1" x14ac:dyDescent="0.25">
      <c r="A120" s="1643" t="s">
        <v>810</v>
      </c>
      <c r="B120" s="104"/>
      <c r="C120" s="104"/>
      <c r="D120" s="104"/>
      <c r="E120" s="104"/>
      <c r="F120" s="104"/>
      <c r="G120" s="104"/>
      <c r="H120" s="105"/>
      <c r="I120" s="105"/>
      <c r="J120" s="638">
        <f>-J124</f>
        <v>0</v>
      </c>
    </row>
    <row r="121" spans="1:29" ht="36.6" hidden="1" customHeight="1" x14ac:dyDescent="0.25">
      <c r="A121" s="2476" t="s">
        <v>8</v>
      </c>
      <c r="B121" s="2476" t="s">
        <v>20</v>
      </c>
      <c r="C121" s="2476"/>
      <c r="D121" s="2476"/>
      <c r="E121" s="2476"/>
      <c r="F121" s="2476"/>
      <c r="G121" s="2476"/>
      <c r="H121" s="2476" t="s">
        <v>735</v>
      </c>
      <c r="I121" s="2476"/>
      <c r="J121" s="2476"/>
    </row>
    <row r="122" spans="1:29" ht="59.45" hidden="1" customHeight="1" x14ac:dyDescent="0.25">
      <c r="A122" s="2476"/>
      <c r="B122" s="2476"/>
      <c r="C122" s="2476"/>
      <c r="D122" s="2476"/>
      <c r="E122" s="2476"/>
      <c r="F122" s="2476"/>
      <c r="G122" s="2476"/>
      <c r="H122" s="1632" t="s">
        <v>811</v>
      </c>
      <c r="I122" s="1632" t="s">
        <v>812</v>
      </c>
      <c r="J122" s="1632" t="s">
        <v>813</v>
      </c>
    </row>
    <row r="123" spans="1:29" ht="43.9" hidden="1" customHeight="1" x14ac:dyDescent="0.25">
      <c r="A123" s="743">
        <v>1</v>
      </c>
      <c r="B123" s="2470" t="s">
        <v>814</v>
      </c>
      <c r="C123" s="2470"/>
      <c r="D123" s="2470"/>
      <c r="E123" s="2470"/>
      <c r="F123" s="2470"/>
      <c r="G123" s="2470"/>
      <c r="H123" s="1629"/>
      <c r="I123" s="649">
        <v>0.2</v>
      </c>
      <c r="J123" s="650">
        <f>H123*I123</f>
        <v>0</v>
      </c>
    </row>
    <row r="124" spans="1:29" ht="36.6" hidden="1" customHeight="1" x14ac:dyDescent="0.25">
      <c r="A124" s="743">
        <v>2</v>
      </c>
      <c r="B124" s="2470" t="s">
        <v>815</v>
      </c>
      <c r="C124" s="2470"/>
      <c r="D124" s="2470"/>
      <c r="E124" s="2470"/>
      <c r="F124" s="2470"/>
      <c r="G124" s="2470"/>
      <c r="H124" s="1629"/>
      <c r="I124" s="649">
        <v>0.2</v>
      </c>
      <c r="J124" s="650">
        <f>H124*I124</f>
        <v>0</v>
      </c>
    </row>
    <row r="125" spans="1:29" ht="18.75" hidden="1" customHeight="1" x14ac:dyDescent="0.25">
      <c r="A125" s="743">
        <v>3</v>
      </c>
      <c r="B125" s="2470" t="s">
        <v>816</v>
      </c>
      <c r="C125" s="2470"/>
      <c r="D125" s="2470"/>
      <c r="E125" s="2470"/>
      <c r="F125" s="2470"/>
      <c r="G125" s="2470"/>
      <c r="H125" s="1629"/>
      <c r="I125" s="649">
        <v>0.2</v>
      </c>
      <c r="J125" s="650">
        <f>H125*I125</f>
        <v>0</v>
      </c>
    </row>
    <row r="126" spans="1:29" x14ac:dyDescent="0.25">
      <c r="A126" s="1645" t="s">
        <v>25</v>
      </c>
    </row>
    <row r="127" spans="1:29" x14ac:dyDescent="0.25">
      <c r="A127" s="1645"/>
      <c r="L127" s="1147" t="s">
        <v>236</v>
      </c>
      <c r="M127" s="1147" t="s">
        <v>305</v>
      </c>
      <c r="N127" s="1147"/>
    </row>
    <row r="128" spans="1:29" x14ac:dyDescent="0.25">
      <c r="A128" s="1645" t="s">
        <v>32</v>
      </c>
      <c r="J128" s="85">
        <f>J131++J213+J214+J255+J256+J273</f>
        <v>17083370.09</v>
      </c>
      <c r="K128" s="75" t="b">
        <f>J128=J6</f>
        <v>1</v>
      </c>
      <c r="L128" s="79">
        <f>J137+J150+J159+J174+J186+J197+J205+J218+J227+J234+J241+J248+J260+J278+J312+J327+J521+J680+J747+J736+J617</f>
        <v>17083370.09</v>
      </c>
      <c r="M128" s="79">
        <f>J135+J148+J216+J225+J258+J276+J745+J184</f>
        <v>17083370.09</v>
      </c>
      <c r="N128" s="79"/>
    </row>
    <row r="129" spans="1:14" s="87" customFormat="1" x14ac:dyDescent="0.25">
      <c r="A129" s="1645" t="s">
        <v>29</v>
      </c>
      <c r="B129" s="1645"/>
      <c r="C129" s="1645"/>
      <c r="D129" s="1645"/>
      <c r="E129" s="394">
        <v>2</v>
      </c>
      <c r="F129" s="1645"/>
      <c r="G129" s="1645"/>
      <c r="H129" s="95"/>
      <c r="I129" s="95"/>
      <c r="J129" s="95"/>
      <c r="K129" s="773"/>
      <c r="L129" s="1147" t="b">
        <f>L128=J6</f>
        <v>1</v>
      </c>
      <c r="M129" s="1147" t="b">
        <f>M128=J6</f>
        <v>1</v>
      </c>
      <c r="N129" s="1147"/>
    </row>
    <row r="130" spans="1:14" x14ac:dyDescent="0.25">
      <c r="E130" s="636"/>
      <c r="M130" s="1148"/>
    </row>
    <row r="131" spans="1:14" x14ac:dyDescent="0.25">
      <c r="A131" s="1644" t="s">
        <v>1233</v>
      </c>
      <c r="E131" s="636"/>
      <c r="J131" s="69">
        <f>J135+J148+J184</f>
        <v>5185269.34</v>
      </c>
    </row>
    <row r="132" spans="1:14" hidden="1" x14ac:dyDescent="0.25">
      <c r="A132" s="1644" t="s">
        <v>817</v>
      </c>
    </row>
    <row r="133" spans="1:14" hidden="1" x14ac:dyDescent="0.25">
      <c r="A133" s="1644" t="s">
        <v>818</v>
      </c>
    </row>
    <row r="135" spans="1:14" s="75" customFormat="1" x14ac:dyDescent="0.25">
      <c r="A135" s="1645" t="s">
        <v>147</v>
      </c>
      <c r="B135" s="72"/>
      <c r="C135" s="72"/>
      <c r="D135" s="72"/>
      <c r="E135" s="94" t="s">
        <v>65</v>
      </c>
      <c r="F135" s="72"/>
      <c r="G135" s="72"/>
      <c r="H135" s="74"/>
      <c r="I135" s="74"/>
      <c r="J135" s="92">
        <f>J137</f>
        <v>3748335.9</v>
      </c>
    </row>
    <row r="136" spans="1:14" s="75" customFormat="1" x14ac:dyDescent="0.25">
      <c r="A136" s="1645"/>
      <c r="B136" s="72"/>
      <c r="C136" s="72"/>
      <c r="D136" s="72"/>
      <c r="E136" s="72"/>
      <c r="F136" s="72"/>
      <c r="G136" s="72"/>
      <c r="H136" s="74"/>
      <c r="I136" s="74"/>
      <c r="J136" s="92"/>
    </row>
    <row r="137" spans="1:14" s="87" customFormat="1" ht="14.25" x14ac:dyDescent="0.25">
      <c r="A137" s="1645" t="s">
        <v>63</v>
      </c>
      <c r="B137" s="1645"/>
      <c r="C137" s="1645"/>
      <c r="D137" s="1645"/>
      <c r="E137" s="94" t="s">
        <v>64</v>
      </c>
      <c r="F137" s="1645"/>
      <c r="G137" s="1645"/>
      <c r="H137" s="95"/>
      <c r="I137" s="95"/>
      <c r="J137" s="85">
        <f>J144</f>
        <v>3748335.9</v>
      </c>
      <c r="K137" s="773"/>
      <c r="L137" s="773"/>
      <c r="M137" s="773"/>
      <c r="N137" s="773"/>
    </row>
    <row r="138" spans="1:14" s="87" customFormat="1" ht="14.25" x14ac:dyDescent="0.25">
      <c r="A138" s="1645" t="s">
        <v>27</v>
      </c>
      <c r="B138" s="1645"/>
      <c r="C138" s="1645"/>
      <c r="D138" s="1645"/>
      <c r="E138" s="94" t="s">
        <v>34</v>
      </c>
      <c r="F138" s="1645"/>
      <c r="G138" s="1645"/>
      <c r="H138" s="95"/>
      <c r="I138" s="95"/>
      <c r="J138" s="85">
        <f>J144</f>
        <v>3748335.9</v>
      </c>
      <c r="K138" s="773"/>
      <c r="L138" s="363"/>
      <c r="M138" s="773"/>
      <c r="N138" s="773"/>
    </row>
    <row r="139" spans="1:14" s="765" customFormat="1" ht="14.25" customHeight="1" x14ac:dyDescent="0.25">
      <c r="A139" s="2477" t="s">
        <v>313</v>
      </c>
      <c r="B139" s="2477"/>
      <c r="C139" s="2477"/>
      <c r="D139" s="2477"/>
      <c r="E139" s="2477"/>
      <c r="F139" s="2477"/>
      <c r="G139" s="2477"/>
      <c r="H139" s="2477"/>
      <c r="I139" s="2477"/>
      <c r="J139" s="95"/>
      <c r="K139" s="1603"/>
      <c r="L139" s="1603"/>
      <c r="M139" s="1603"/>
      <c r="N139" s="1603"/>
    </row>
    <row r="140" spans="1:14" s="765" customFormat="1" ht="30" customHeight="1" x14ac:dyDescent="0.25">
      <c r="A140" s="1581" t="s">
        <v>8</v>
      </c>
      <c r="B140" s="1977" t="s">
        <v>35</v>
      </c>
      <c r="C140" s="2493"/>
      <c r="D140" s="1978"/>
      <c r="E140" s="1978"/>
      <c r="F140" s="1978"/>
      <c r="G140" s="1978"/>
      <c r="H140" s="1978"/>
      <c r="I140" s="1979"/>
      <c r="J140" s="1588" t="s">
        <v>256</v>
      </c>
      <c r="K140" s="1603"/>
      <c r="L140" s="780">
        <f>K10*100/130.2</f>
        <v>0</v>
      </c>
      <c r="M140" s="1603">
        <f>L140/10</f>
        <v>0</v>
      </c>
      <c r="N140" s="1603"/>
    </row>
    <row r="141" spans="1:14" x14ac:dyDescent="0.25">
      <c r="A141" s="1581">
        <v>1</v>
      </c>
      <c r="B141" s="1969" t="s">
        <v>819</v>
      </c>
      <c r="C141" s="2492"/>
      <c r="D141" s="1970"/>
      <c r="E141" s="1970"/>
      <c r="F141" s="1970"/>
      <c r="G141" s="1970"/>
      <c r="H141" s="1970"/>
      <c r="I141" s="1971"/>
      <c r="J141" s="1588">
        <f>354679.03-60000+95525.09-42564.397+27193.87</f>
        <v>374833.59</v>
      </c>
    </row>
    <row r="142" spans="1:14" x14ac:dyDescent="0.25">
      <c r="A142" s="1582">
        <f>A141+1</f>
        <v>2</v>
      </c>
      <c r="B142" s="1969" t="s">
        <v>289</v>
      </c>
      <c r="C142" s="2492"/>
      <c r="D142" s="1970"/>
      <c r="E142" s="1970"/>
      <c r="F142" s="1970"/>
      <c r="G142" s="1970"/>
      <c r="H142" s="1970"/>
      <c r="I142" s="1971"/>
      <c r="J142" s="1588">
        <f>J141*9</f>
        <v>3373502.31</v>
      </c>
    </row>
    <row r="143" spans="1:14" x14ac:dyDescent="0.25">
      <c r="A143" s="1582">
        <v>3</v>
      </c>
      <c r="B143" s="1969" t="s">
        <v>820</v>
      </c>
      <c r="C143" s="2492"/>
      <c r="D143" s="1970"/>
      <c r="E143" s="1970"/>
      <c r="F143" s="1970"/>
      <c r="G143" s="1970"/>
      <c r="H143" s="1970"/>
      <c r="I143" s="1971"/>
      <c r="J143" s="1588">
        <f>J141</f>
        <v>374833.59</v>
      </c>
      <c r="K143" s="79"/>
      <c r="L143" s="79"/>
    </row>
    <row r="144" spans="1:14" x14ac:dyDescent="0.25">
      <c r="A144" s="1946" t="s">
        <v>39</v>
      </c>
      <c r="B144" s="1947"/>
      <c r="C144" s="2096"/>
      <c r="D144" s="1947"/>
      <c r="E144" s="1947"/>
      <c r="F144" s="1947"/>
      <c r="G144" s="1947"/>
      <c r="H144" s="1947"/>
      <c r="I144" s="1948"/>
      <c r="J144" s="101">
        <f>J142+J143</f>
        <v>3748335.9</v>
      </c>
      <c r="K144" s="351">
        <v>0</v>
      </c>
      <c r="L144" s="79">
        <f>J144-K144</f>
        <v>3748335.9</v>
      </c>
      <c r="M144" s="79">
        <f>L144-K143</f>
        <v>3748335.9</v>
      </c>
      <c r="N144" s="79"/>
    </row>
    <row r="145" spans="1:14" x14ac:dyDescent="0.25">
      <c r="L145" s="79"/>
    </row>
    <row r="146" spans="1:14" hidden="1" x14ac:dyDescent="0.25">
      <c r="A146" s="2471" t="s">
        <v>314</v>
      </c>
      <c r="B146" s="2471"/>
      <c r="C146" s="2471"/>
      <c r="D146" s="2471"/>
      <c r="E146" s="2471"/>
      <c r="F146" s="2471"/>
      <c r="G146" s="2471"/>
      <c r="H146" s="2471"/>
      <c r="I146" s="2471"/>
      <c r="J146" s="2471"/>
    </row>
    <row r="147" spans="1:14" hidden="1" x14ac:dyDescent="0.25">
      <c r="A147" s="2471" t="s">
        <v>315</v>
      </c>
      <c r="B147" s="2471"/>
      <c r="C147" s="2471"/>
      <c r="D147" s="2471"/>
      <c r="E147" s="2471"/>
      <c r="F147" s="2471"/>
      <c r="G147" s="2471"/>
      <c r="H147" s="2471"/>
      <c r="I147" s="2471"/>
      <c r="J147" s="2471"/>
    </row>
    <row r="148" spans="1:14" x14ac:dyDescent="0.25">
      <c r="A148" s="1645" t="s">
        <v>305</v>
      </c>
      <c r="B148" s="72"/>
      <c r="C148" s="72"/>
      <c r="D148" s="72"/>
      <c r="E148" s="94" t="s">
        <v>68</v>
      </c>
      <c r="F148" s="72"/>
      <c r="G148" s="72"/>
      <c r="H148" s="74"/>
      <c r="I148" s="74"/>
      <c r="J148" s="92">
        <f>J150+J159+J174</f>
        <v>299500</v>
      </c>
    </row>
    <row r="149" spans="1:14" x14ac:dyDescent="0.25">
      <c r="A149" s="1645"/>
      <c r="B149" s="72"/>
      <c r="C149" s="72"/>
      <c r="D149" s="72"/>
      <c r="E149" s="72"/>
      <c r="F149" s="72"/>
      <c r="G149" s="72"/>
      <c r="H149" s="74"/>
      <c r="I149" s="74"/>
      <c r="J149" s="92"/>
    </row>
    <row r="150" spans="1:14" ht="15" customHeight="1" x14ac:dyDescent="0.25">
      <c r="A150" s="1645" t="s">
        <v>63</v>
      </c>
      <c r="B150" s="1645"/>
      <c r="C150" s="1645"/>
      <c r="D150" s="1645"/>
      <c r="E150" s="94" t="s">
        <v>69</v>
      </c>
      <c r="F150" s="1645"/>
      <c r="J150" s="85">
        <f>J157</f>
        <v>47500</v>
      </c>
    </row>
    <row r="151" spans="1:14" ht="15" customHeight="1" x14ac:dyDescent="0.25">
      <c r="A151" s="1645" t="s">
        <v>27</v>
      </c>
      <c r="B151" s="1645"/>
      <c r="C151" s="1645"/>
      <c r="D151" s="1645"/>
      <c r="E151" s="94" t="s">
        <v>34</v>
      </c>
      <c r="F151" s="1645"/>
      <c r="J151" s="85">
        <f>J157</f>
        <v>47500</v>
      </c>
      <c r="K151" s="79"/>
    </row>
    <row r="152" spans="1:14" ht="15" customHeight="1" x14ac:dyDescent="0.25">
      <c r="A152" s="1644" t="s">
        <v>1406</v>
      </c>
    </row>
    <row r="153" spans="1:14" x14ac:dyDescent="0.25">
      <c r="A153" s="1898" t="s">
        <v>8</v>
      </c>
      <c r="B153" s="2393" t="s">
        <v>35</v>
      </c>
      <c r="C153" s="2393"/>
      <c r="D153" s="2393"/>
      <c r="E153" s="2393"/>
      <c r="F153" s="2393"/>
      <c r="G153" s="2394" t="s">
        <v>1827</v>
      </c>
      <c r="H153" s="2395"/>
      <c r="I153" s="2395"/>
      <c r="J153" s="2396"/>
    </row>
    <row r="154" spans="1:14" s="765" customFormat="1" ht="62.25" customHeight="1" x14ac:dyDescent="0.25">
      <c r="A154" s="1898"/>
      <c r="B154" s="2393"/>
      <c r="C154" s="2393"/>
      <c r="D154" s="2393"/>
      <c r="E154" s="2393"/>
      <c r="F154" s="2393"/>
      <c r="G154" s="1581" t="s">
        <v>259</v>
      </c>
      <c r="H154" s="1581" t="s">
        <v>255</v>
      </c>
      <c r="I154" s="1581" t="s">
        <v>36</v>
      </c>
      <c r="J154" s="1581" t="s">
        <v>256</v>
      </c>
      <c r="K154" s="1603"/>
      <c r="L154" s="1603"/>
      <c r="M154" s="1603"/>
      <c r="N154" s="1603"/>
    </row>
    <row r="155" spans="1:14" s="765" customFormat="1" x14ac:dyDescent="0.25">
      <c r="A155" s="1581">
        <v>1</v>
      </c>
      <c r="B155" s="1892" t="s">
        <v>2026</v>
      </c>
      <c r="C155" s="2010"/>
      <c r="D155" s="2406"/>
      <c r="E155" s="2406"/>
      <c r="F155" s="2489"/>
      <c r="G155" s="777">
        <v>300</v>
      </c>
      <c r="H155" s="1581">
        <v>5</v>
      </c>
      <c r="I155" s="1581">
        <v>5</v>
      </c>
      <c r="J155" s="393">
        <f t="shared" ref="J155:J156" si="2">G155*H155*I155</f>
        <v>7500</v>
      </c>
      <c r="K155" s="1603"/>
      <c r="L155" s="1603"/>
      <c r="M155" s="1603"/>
      <c r="N155" s="1603"/>
    </row>
    <row r="156" spans="1:14" s="765" customFormat="1" x14ac:dyDescent="0.25">
      <c r="A156" s="1581">
        <v>2</v>
      </c>
      <c r="B156" s="1892" t="s">
        <v>1421</v>
      </c>
      <c r="C156" s="2010"/>
      <c r="D156" s="2406"/>
      <c r="E156" s="2406"/>
      <c r="F156" s="2489"/>
      <c r="G156" s="777">
        <v>500</v>
      </c>
      <c r="H156" s="1581">
        <v>10</v>
      </c>
      <c r="I156" s="1581">
        <v>8</v>
      </c>
      <c r="J156" s="393">
        <f t="shared" si="2"/>
        <v>40000</v>
      </c>
      <c r="K156" s="1603"/>
      <c r="L156" s="1603"/>
      <c r="M156" s="1603"/>
      <c r="N156" s="1603"/>
    </row>
    <row r="157" spans="1:14" x14ac:dyDescent="0.25">
      <c r="A157" s="1895" t="s">
        <v>39</v>
      </c>
      <c r="B157" s="1895"/>
      <c r="C157" s="1895"/>
      <c r="D157" s="1895"/>
      <c r="E157" s="1895"/>
      <c r="F157" s="1895"/>
      <c r="G157" s="101" t="s">
        <v>5</v>
      </c>
      <c r="H157" s="778" t="s">
        <v>5</v>
      </c>
      <c r="I157" s="778" t="s">
        <v>5</v>
      </c>
      <c r="J157" s="101">
        <f>SUM(J155:J156)</f>
        <v>47500</v>
      </c>
    </row>
    <row r="158" spans="1:14" x14ac:dyDescent="0.25">
      <c r="K158" s="351"/>
    </row>
    <row r="159" spans="1:14" x14ac:dyDescent="0.25">
      <c r="A159" s="1645" t="s">
        <v>63</v>
      </c>
      <c r="B159" s="1645"/>
      <c r="C159" s="1645"/>
      <c r="D159" s="1645"/>
      <c r="E159" s="94" t="s">
        <v>70</v>
      </c>
      <c r="F159" s="1645"/>
      <c r="J159" s="85">
        <f>J160</f>
        <v>252000</v>
      </c>
    </row>
    <row r="160" spans="1:14" x14ac:dyDescent="0.25">
      <c r="A160" s="1645" t="s">
        <v>27</v>
      </c>
      <c r="B160" s="1645"/>
      <c r="C160" s="1645"/>
      <c r="D160" s="1645"/>
      <c r="E160" s="94" t="s">
        <v>34</v>
      </c>
      <c r="F160" s="1645"/>
      <c r="J160" s="85">
        <f>J166+J172</f>
        <v>252000</v>
      </c>
      <c r="K160" s="79"/>
    </row>
    <row r="161" spans="1:14" x14ac:dyDescent="0.25">
      <c r="A161" s="1644" t="s">
        <v>1242</v>
      </c>
      <c r="K161" s="79"/>
    </row>
    <row r="162" spans="1:14" x14ac:dyDescent="0.25">
      <c r="A162" s="1898" t="s">
        <v>8</v>
      </c>
      <c r="B162" s="2393" t="s">
        <v>35</v>
      </c>
      <c r="C162" s="2393"/>
      <c r="D162" s="2393"/>
      <c r="E162" s="2393"/>
      <c r="F162" s="2393"/>
      <c r="G162" s="2394" t="s">
        <v>1827</v>
      </c>
      <c r="H162" s="2395"/>
      <c r="I162" s="2395"/>
      <c r="J162" s="2396"/>
    </row>
    <row r="163" spans="1:14" s="765" customFormat="1" ht="62.25" customHeight="1" x14ac:dyDescent="0.25">
      <c r="A163" s="1898"/>
      <c r="B163" s="2393"/>
      <c r="C163" s="2393"/>
      <c r="D163" s="2393"/>
      <c r="E163" s="2393"/>
      <c r="F163" s="2393"/>
      <c r="G163" s="1581" t="s">
        <v>1410</v>
      </c>
      <c r="H163" s="1581" t="s">
        <v>255</v>
      </c>
      <c r="I163" s="1581" t="s">
        <v>1409</v>
      </c>
      <c r="J163" s="1581" t="s">
        <v>256</v>
      </c>
      <c r="K163" s="1603"/>
      <c r="L163" s="1603"/>
      <c r="M163" s="1603"/>
      <c r="N163" s="1603"/>
    </row>
    <row r="164" spans="1:14" s="765" customFormat="1" x14ac:dyDescent="0.25">
      <c r="A164" s="1581">
        <v>1</v>
      </c>
      <c r="B164" s="2003" t="s">
        <v>2027</v>
      </c>
      <c r="C164" s="2004"/>
      <c r="D164" s="2004"/>
      <c r="E164" s="2004"/>
      <c r="F164" s="2005"/>
      <c r="G164" s="1142">
        <v>5000</v>
      </c>
      <c r="H164" s="1285">
        <v>15</v>
      </c>
      <c r="I164" s="1285">
        <v>2</v>
      </c>
      <c r="J164" s="393">
        <f t="shared" ref="J164:J165" si="3">G164*H164*I164</f>
        <v>150000</v>
      </c>
      <c r="K164" s="1603"/>
      <c r="L164" s="1603"/>
      <c r="M164" s="1603"/>
      <c r="N164" s="1603"/>
    </row>
    <row r="165" spans="1:14" s="765" customFormat="1" x14ac:dyDescent="0.25">
      <c r="A165" s="1581">
        <v>2</v>
      </c>
      <c r="B165" s="2003" t="s">
        <v>2028</v>
      </c>
      <c r="C165" s="2004"/>
      <c r="D165" s="2004"/>
      <c r="E165" s="2004"/>
      <c r="F165" s="2005"/>
      <c r="G165" s="1142">
        <v>2800</v>
      </c>
      <c r="H165" s="1285">
        <v>10</v>
      </c>
      <c r="I165" s="1285">
        <v>3</v>
      </c>
      <c r="J165" s="393">
        <f t="shared" si="3"/>
        <v>84000</v>
      </c>
      <c r="K165" s="1603"/>
      <c r="L165" s="1603"/>
      <c r="M165" s="1603"/>
      <c r="N165" s="1603"/>
    </row>
    <row r="166" spans="1:14" x14ac:dyDescent="0.25">
      <c r="A166" s="1895" t="s">
        <v>39</v>
      </c>
      <c r="B166" s="1895"/>
      <c r="C166" s="1895"/>
      <c r="D166" s="1895"/>
      <c r="E166" s="1895"/>
      <c r="F166" s="1895"/>
      <c r="G166" s="101" t="s">
        <v>5</v>
      </c>
      <c r="H166" s="778" t="s">
        <v>5</v>
      </c>
      <c r="I166" s="778" t="s">
        <v>5</v>
      </c>
      <c r="J166" s="101">
        <f>SUM(J164:J165)</f>
        <v>234000</v>
      </c>
      <c r="K166" s="351"/>
      <c r="L166" s="79"/>
    </row>
    <row r="168" spans="1:14" x14ac:dyDescent="0.25">
      <c r="A168" s="1644" t="s">
        <v>1071</v>
      </c>
    </row>
    <row r="169" spans="1:14" x14ac:dyDescent="0.25">
      <c r="A169" s="1898" t="s">
        <v>8</v>
      </c>
      <c r="B169" s="2393" t="s">
        <v>35</v>
      </c>
      <c r="C169" s="2393"/>
      <c r="D169" s="2393"/>
      <c r="E169" s="2393"/>
      <c r="F169" s="2393"/>
      <c r="G169" s="2393"/>
      <c r="H169" s="2394" t="s">
        <v>1827</v>
      </c>
      <c r="I169" s="2395"/>
      <c r="J169" s="2396"/>
    </row>
    <row r="170" spans="1:14" ht="60" customHeight="1" x14ac:dyDescent="0.25">
      <c r="A170" s="1898"/>
      <c r="B170" s="2393"/>
      <c r="C170" s="2393"/>
      <c r="D170" s="2393"/>
      <c r="E170" s="2393"/>
      <c r="F170" s="2393"/>
      <c r="G170" s="2393"/>
      <c r="H170" s="1581" t="s">
        <v>1493</v>
      </c>
      <c r="I170" s="1581" t="s">
        <v>255</v>
      </c>
      <c r="J170" s="1581" t="s">
        <v>256</v>
      </c>
    </row>
    <row r="171" spans="1:14" x14ac:dyDescent="0.25">
      <c r="A171" s="1630">
        <v>1</v>
      </c>
      <c r="B171" s="2469" t="s">
        <v>1072</v>
      </c>
      <c r="C171" s="2469"/>
      <c r="D171" s="2469"/>
      <c r="E171" s="2469"/>
      <c r="F171" s="2469"/>
      <c r="G171" s="2469"/>
      <c r="H171" s="393">
        <v>3600</v>
      </c>
      <c r="I171" s="93">
        <v>5</v>
      </c>
      <c r="J171" s="393">
        <f>H171*I171</f>
        <v>18000</v>
      </c>
      <c r="K171" s="83"/>
    </row>
    <row r="172" spans="1:14" x14ac:dyDescent="0.25">
      <c r="A172" s="1895" t="s">
        <v>39</v>
      </c>
      <c r="B172" s="1895"/>
      <c r="C172" s="1895"/>
      <c r="D172" s="1895"/>
      <c r="E172" s="1895"/>
      <c r="F172" s="1895"/>
      <c r="G172" s="1895"/>
      <c r="H172" s="101" t="s">
        <v>5</v>
      </c>
      <c r="I172" s="101" t="s">
        <v>5</v>
      </c>
      <c r="J172" s="101">
        <f>SUM(J171:J171)</f>
        <v>18000</v>
      </c>
      <c r="K172" s="351"/>
      <c r="L172" s="79"/>
    </row>
    <row r="173" spans="1:14" x14ac:dyDescent="0.25">
      <c r="K173" s="790"/>
      <c r="L173" s="79"/>
    </row>
    <row r="174" spans="1:14" hidden="1" x14ac:dyDescent="0.25">
      <c r="A174" s="791" t="s">
        <v>63</v>
      </c>
      <c r="B174" s="1"/>
      <c r="C174" s="61"/>
      <c r="D174" s="1"/>
      <c r="E174" s="792" t="s">
        <v>106</v>
      </c>
      <c r="F174" s="1"/>
      <c r="G174" s="1"/>
      <c r="H174" s="4"/>
      <c r="I174" s="4"/>
      <c r="J174" s="85">
        <f>J175</f>
        <v>0</v>
      </c>
      <c r="K174" s="951"/>
    </row>
    <row r="175" spans="1:14" hidden="1" x14ac:dyDescent="0.25">
      <c r="A175" s="1645" t="s">
        <v>27</v>
      </c>
      <c r="B175" s="1645"/>
      <c r="C175" s="1645"/>
      <c r="D175" s="1645"/>
      <c r="E175" s="94" t="s">
        <v>34</v>
      </c>
      <c r="F175" s="1645"/>
      <c r="J175" s="85">
        <f>J180</f>
        <v>0</v>
      </c>
      <c r="K175" s="790"/>
    </row>
    <row r="176" spans="1:14" hidden="1" x14ac:dyDescent="0.25">
      <c r="A176" s="2521" t="s">
        <v>1243</v>
      </c>
      <c r="B176" s="2521"/>
      <c r="C176" s="2521"/>
      <c r="D176" s="2521"/>
      <c r="E176" s="2521"/>
      <c r="F176" s="2521"/>
      <c r="G176" s="2521"/>
      <c r="H176" s="2521"/>
      <c r="I176" s="2521"/>
      <c r="J176" s="2521"/>
      <c r="K176" s="790"/>
    </row>
    <row r="177" spans="1:14" hidden="1" x14ac:dyDescent="0.25">
      <c r="A177" s="2052" t="s">
        <v>8</v>
      </c>
      <c r="B177" s="1956" t="s">
        <v>49</v>
      </c>
      <c r="C177" s="1959"/>
      <c r="D177" s="1959"/>
      <c r="E177" s="1959"/>
      <c r="F177" s="1959"/>
      <c r="G177" s="2044"/>
      <c r="H177" s="1926" t="s">
        <v>1476</v>
      </c>
      <c r="I177" s="1927"/>
      <c r="J177" s="1927"/>
      <c r="K177" s="790"/>
    </row>
    <row r="178" spans="1:14" ht="57.75" hidden="1" customHeight="1" x14ac:dyDescent="0.25">
      <c r="A178" s="2053"/>
      <c r="B178" s="2009"/>
      <c r="C178" s="1961"/>
      <c r="D178" s="1961"/>
      <c r="E178" s="1961"/>
      <c r="F178" s="1961"/>
      <c r="G178" s="1962"/>
      <c r="H178" s="1364" t="s">
        <v>1620</v>
      </c>
      <c r="I178" s="1598" t="s">
        <v>276</v>
      </c>
      <c r="J178" s="1581" t="s">
        <v>261</v>
      </c>
      <c r="K178" s="790"/>
    </row>
    <row r="179" spans="1:14" hidden="1" x14ac:dyDescent="0.25">
      <c r="A179" s="1581">
        <v>1</v>
      </c>
      <c r="B179" s="1129" t="s">
        <v>1532</v>
      </c>
      <c r="C179" s="1818"/>
      <c r="D179" s="1818"/>
      <c r="E179" s="1818"/>
      <c r="F179" s="1818"/>
      <c r="G179" s="1818"/>
      <c r="H179" s="1588"/>
      <c r="I179" s="1175">
        <v>1</v>
      </c>
      <c r="J179" s="1588">
        <f>H179*I179</f>
        <v>0</v>
      </c>
      <c r="K179" s="351"/>
    </row>
    <row r="180" spans="1:14" hidden="1" x14ac:dyDescent="0.25">
      <c r="A180" s="1946" t="s">
        <v>39</v>
      </c>
      <c r="B180" s="2096"/>
      <c r="C180" s="2096"/>
      <c r="D180" s="2096"/>
      <c r="E180" s="2096"/>
      <c r="F180" s="2096"/>
      <c r="G180" s="2096"/>
      <c r="H180" s="2096"/>
      <c r="I180" s="2460"/>
      <c r="J180" s="1589">
        <f>SUM(J179:J179)</f>
        <v>0</v>
      </c>
      <c r="K180" s="351"/>
      <c r="L180" s="83"/>
    </row>
    <row r="181" spans="1:14" hidden="1" x14ac:dyDescent="0.25">
      <c r="K181" s="790"/>
    </row>
    <row r="182" spans="1:14" s="765" customFormat="1" ht="27.75" hidden="1" customHeight="1" x14ac:dyDescent="0.25">
      <c r="A182" s="2121" t="s">
        <v>316</v>
      </c>
      <c r="B182" s="2121"/>
      <c r="C182" s="2121"/>
      <c r="D182" s="2121"/>
      <c r="E182" s="2121"/>
      <c r="F182" s="2121"/>
      <c r="G182" s="2121"/>
      <c r="H182" s="2121"/>
      <c r="I182" s="2121"/>
      <c r="J182" s="2121"/>
      <c r="K182" s="1603"/>
      <c r="L182" s="1603"/>
      <c r="M182" s="1603"/>
      <c r="N182" s="1603"/>
    </row>
    <row r="183" spans="1:14" s="765" customFormat="1" hidden="1" x14ac:dyDescent="0.25">
      <c r="A183" s="1624"/>
      <c r="B183" s="1624"/>
      <c r="C183" s="1624"/>
      <c r="D183" s="1624"/>
      <c r="E183" s="1624"/>
      <c r="F183" s="1624"/>
      <c r="G183" s="1624"/>
      <c r="H183" s="1624"/>
      <c r="I183" s="1624"/>
      <c r="J183" s="1624"/>
      <c r="K183" s="1603"/>
      <c r="L183" s="1603"/>
      <c r="M183" s="1603"/>
      <c r="N183" s="1603"/>
    </row>
    <row r="184" spans="1:14" ht="19.5" customHeight="1" x14ac:dyDescent="0.25">
      <c r="A184" s="1645" t="s">
        <v>157</v>
      </c>
      <c r="B184" s="72"/>
      <c r="C184" s="72"/>
      <c r="D184" s="72"/>
      <c r="E184" s="94" t="s">
        <v>72</v>
      </c>
      <c r="F184" s="72"/>
      <c r="G184" s="72"/>
      <c r="H184" s="74"/>
      <c r="I184" s="74"/>
      <c r="J184" s="92">
        <f>J186+J197+J205</f>
        <v>1137433.44</v>
      </c>
    </row>
    <row r="185" spans="1:14" x14ac:dyDescent="0.25">
      <c r="A185" s="1645"/>
      <c r="B185" s="72"/>
      <c r="C185" s="72"/>
      <c r="D185" s="72"/>
      <c r="E185" s="72"/>
      <c r="F185" s="72"/>
      <c r="G185" s="72"/>
      <c r="H185" s="74"/>
      <c r="I185" s="74"/>
      <c r="J185" s="92"/>
    </row>
    <row r="186" spans="1:14" x14ac:dyDescent="0.25">
      <c r="A186" s="1645" t="s">
        <v>63</v>
      </c>
      <c r="B186" s="1645"/>
      <c r="C186" s="1645"/>
      <c r="D186" s="1645"/>
      <c r="E186" s="94" t="s">
        <v>74</v>
      </c>
      <c r="F186" s="1645"/>
      <c r="J186" s="85">
        <f>J187</f>
        <v>1131997.44</v>
      </c>
    </row>
    <row r="187" spans="1:14" x14ac:dyDescent="0.25">
      <c r="A187" s="1645" t="s">
        <v>27</v>
      </c>
      <c r="B187" s="1645"/>
      <c r="C187" s="1645"/>
      <c r="D187" s="1645"/>
      <c r="E187" s="94" t="s">
        <v>34</v>
      </c>
      <c r="F187" s="1645"/>
      <c r="J187" s="85">
        <f>J195</f>
        <v>1131997.44</v>
      </c>
    </row>
    <row r="188" spans="1:14" x14ac:dyDescent="0.25">
      <c r="A188" s="745" t="s">
        <v>317</v>
      </c>
      <c r="E188" s="73"/>
    </row>
    <row r="189" spans="1:14" s="765" customFormat="1" x14ac:dyDescent="0.25">
      <c r="A189" s="1926" t="s">
        <v>8</v>
      </c>
      <c r="B189" s="1956" t="s">
        <v>35</v>
      </c>
      <c r="C189" s="1916"/>
      <c r="D189" s="1916"/>
      <c r="E189" s="1916"/>
      <c r="F189" s="1916"/>
      <c r="G189" s="1957"/>
      <c r="H189" s="2045" t="s">
        <v>1834</v>
      </c>
      <c r="I189" s="2045"/>
      <c r="J189" s="2045"/>
      <c r="K189" s="1603"/>
      <c r="L189" s="1603"/>
      <c r="M189" s="1603"/>
      <c r="N189" s="1603"/>
    </row>
    <row r="190" spans="1:14" ht="60" x14ac:dyDescent="0.25">
      <c r="A190" s="1926"/>
      <c r="B190" s="1918"/>
      <c r="C190" s="1919"/>
      <c r="D190" s="1919"/>
      <c r="E190" s="1919"/>
      <c r="F190" s="1919"/>
      <c r="G190" s="1920"/>
      <c r="H190" s="1617" t="s">
        <v>260</v>
      </c>
      <c r="I190" s="1617" t="s">
        <v>53</v>
      </c>
      <c r="J190" s="1617" t="s">
        <v>261</v>
      </c>
      <c r="K190" s="79"/>
      <c r="L190" s="83"/>
      <c r="M190" s="79"/>
    </row>
    <row r="191" spans="1:14" x14ac:dyDescent="0.25">
      <c r="A191" s="1331">
        <v>1</v>
      </c>
      <c r="B191" s="2049" t="s">
        <v>1606</v>
      </c>
      <c r="C191" s="2050"/>
      <c r="D191" s="2050"/>
      <c r="E191" s="2050"/>
      <c r="F191" s="2050"/>
      <c r="G191" s="2051"/>
      <c r="H191" s="1675" t="s">
        <v>82</v>
      </c>
      <c r="I191" s="1676" t="s">
        <v>82</v>
      </c>
      <c r="J191" s="1532">
        <f>J192</f>
        <v>1124500.77</v>
      </c>
      <c r="K191" s="79"/>
      <c r="L191" s="83"/>
      <c r="M191" s="79"/>
    </row>
    <row r="192" spans="1:14" ht="30" customHeight="1" x14ac:dyDescent="0.25">
      <c r="A192" s="1331" t="s">
        <v>1607</v>
      </c>
      <c r="B192" s="1929" t="s">
        <v>1608</v>
      </c>
      <c r="C192" s="1930"/>
      <c r="D192" s="1930"/>
      <c r="E192" s="1930"/>
      <c r="F192" s="1930"/>
      <c r="G192" s="1930"/>
      <c r="H192" s="1675">
        <f>J144</f>
        <v>3748335.9</v>
      </c>
      <c r="I192" s="1676">
        <v>0.3</v>
      </c>
      <c r="J192" s="1617">
        <f>H192*I192</f>
        <v>1124500.77</v>
      </c>
      <c r="K192" s="79"/>
      <c r="L192" s="83"/>
      <c r="M192" s="79"/>
    </row>
    <row r="193" spans="1:14" ht="30.75" customHeight="1" x14ac:dyDescent="0.25">
      <c r="A193" s="1331" t="s">
        <v>281</v>
      </c>
      <c r="B193" s="2055" t="s">
        <v>1609</v>
      </c>
      <c r="C193" s="2056"/>
      <c r="D193" s="2056"/>
      <c r="E193" s="2056"/>
      <c r="F193" s="2056"/>
      <c r="G193" s="2056"/>
      <c r="H193" s="1675" t="s">
        <v>82</v>
      </c>
      <c r="I193" s="1676" t="s">
        <v>82</v>
      </c>
      <c r="J193" s="1532">
        <f>J194</f>
        <v>7496.67</v>
      </c>
      <c r="K193" s="79"/>
      <c r="L193" s="83"/>
      <c r="M193" s="79"/>
    </row>
    <row r="194" spans="1:14" ht="42.75" customHeight="1" x14ac:dyDescent="0.25">
      <c r="A194" s="1331" t="s">
        <v>1607</v>
      </c>
      <c r="B194" s="1929" t="s">
        <v>1610</v>
      </c>
      <c r="C194" s="1930"/>
      <c r="D194" s="1930"/>
      <c r="E194" s="1930"/>
      <c r="F194" s="1930"/>
      <c r="G194" s="1930"/>
      <c r="H194" s="1675">
        <f>J144</f>
        <v>3748335.9</v>
      </c>
      <c r="I194" s="1676">
        <v>2E-3</v>
      </c>
      <c r="J194" s="1617">
        <f>H194*I194</f>
        <v>7496.67</v>
      </c>
      <c r="K194" s="79"/>
      <c r="M194" s="79"/>
      <c r="N194" s="79"/>
    </row>
    <row r="195" spans="1:14" x14ac:dyDescent="0.25">
      <c r="A195" s="2059" t="s">
        <v>39</v>
      </c>
      <c r="B195" s="2060"/>
      <c r="C195" s="2060"/>
      <c r="D195" s="2060"/>
      <c r="E195" s="2060"/>
      <c r="F195" s="2060"/>
      <c r="G195" s="2061"/>
      <c r="H195" s="2061" t="s">
        <v>5</v>
      </c>
      <c r="I195" s="2062" t="s">
        <v>5</v>
      </c>
      <c r="J195" s="1192">
        <f>J191+J193</f>
        <v>1131997.44</v>
      </c>
      <c r="K195" s="351">
        <v>0</v>
      </c>
      <c r="L195" s="83">
        <f>J195-K195</f>
        <v>1131997.44</v>
      </c>
      <c r="M195" s="83">
        <f>L195-K194</f>
        <v>1131997.44</v>
      </c>
    </row>
    <row r="196" spans="1:14" x14ac:dyDescent="0.25">
      <c r="A196" s="1689"/>
      <c r="B196" s="1689"/>
      <c r="C196" s="1689"/>
      <c r="D196" s="1689"/>
      <c r="E196" s="1689"/>
      <c r="F196" s="1689"/>
      <c r="G196" s="1819"/>
      <c r="H196" s="1819"/>
      <c r="I196" s="1819"/>
      <c r="J196" s="64"/>
    </row>
    <row r="197" spans="1:14" x14ac:dyDescent="0.25">
      <c r="A197" s="1645" t="s">
        <v>63</v>
      </c>
      <c r="B197" s="1645"/>
      <c r="C197" s="1645"/>
      <c r="D197" s="1645"/>
      <c r="E197" s="94" t="s">
        <v>70</v>
      </c>
      <c r="F197" s="1645"/>
      <c r="J197" s="85">
        <f>J198</f>
        <v>5436</v>
      </c>
    </row>
    <row r="198" spans="1:14" x14ac:dyDescent="0.25">
      <c r="A198" s="1645" t="s">
        <v>27</v>
      </c>
      <c r="B198" s="1645"/>
      <c r="C198" s="1645"/>
      <c r="D198" s="1645"/>
      <c r="E198" s="94" t="s">
        <v>34</v>
      </c>
      <c r="F198" s="1645"/>
      <c r="J198" s="85">
        <f>J203</f>
        <v>5436</v>
      </c>
    </row>
    <row r="199" spans="1:14" x14ac:dyDescent="0.25">
      <c r="A199" s="1644" t="s">
        <v>846</v>
      </c>
    </row>
    <row r="200" spans="1:14" ht="15" customHeight="1" x14ac:dyDescent="0.25">
      <c r="A200" s="1898" t="s">
        <v>8</v>
      </c>
      <c r="B200" s="1898" t="s">
        <v>49</v>
      </c>
      <c r="C200" s="1898"/>
      <c r="D200" s="1898"/>
      <c r="E200" s="1898"/>
      <c r="F200" s="1898"/>
      <c r="G200" s="1898"/>
      <c r="H200" s="2045" t="s">
        <v>1834</v>
      </c>
      <c r="I200" s="2045"/>
      <c r="J200" s="2045"/>
    </row>
    <row r="201" spans="1:14" ht="34.5" customHeight="1" x14ac:dyDescent="0.25">
      <c r="A201" s="1898"/>
      <c r="B201" s="1898"/>
      <c r="C201" s="1898"/>
      <c r="D201" s="1898"/>
      <c r="E201" s="1898"/>
      <c r="F201" s="1898"/>
      <c r="G201" s="1898"/>
      <c r="H201" s="1581" t="s">
        <v>262</v>
      </c>
      <c r="I201" s="1581" t="s">
        <v>50</v>
      </c>
      <c r="J201" s="1581" t="s">
        <v>261</v>
      </c>
    </row>
    <row r="202" spans="1:14" x14ac:dyDescent="0.25">
      <c r="A202" s="1630">
        <v>1</v>
      </c>
      <c r="B202" s="2469" t="s">
        <v>121</v>
      </c>
      <c r="C202" s="2469"/>
      <c r="D202" s="2469"/>
      <c r="E202" s="2469"/>
      <c r="F202" s="2469"/>
      <c r="G202" s="2469"/>
      <c r="H202" s="393">
        <f>J172</f>
        <v>18000</v>
      </c>
      <c r="I202" s="1798">
        <v>0.30199999999999999</v>
      </c>
      <c r="J202" s="393">
        <f>H202*I202</f>
        <v>5436</v>
      </c>
      <c r="K202" s="351"/>
    </row>
    <row r="203" spans="1:14" x14ac:dyDescent="0.25">
      <c r="A203" s="1895" t="s">
        <v>39</v>
      </c>
      <c r="B203" s="1895"/>
      <c r="C203" s="1895"/>
      <c r="D203" s="1895"/>
      <c r="E203" s="1895"/>
      <c r="F203" s="1895"/>
      <c r="G203" s="1895"/>
      <c r="H203" s="101" t="s">
        <v>5</v>
      </c>
      <c r="I203" s="101" t="s">
        <v>5</v>
      </c>
      <c r="J203" s="101">
        <f>SUM(J202:J202)</f>
        <v>5436</v>
      </c>
      <c r="K203" s="351">
        <v>0</v>
      </c>
      <c r="L203" s="81">
        <f>J203-K203</f>
        <v>5436</v>
      </c>
    </row>
    <row r="204" spans="1:14" x14ac:dyDescent="0.25">
      <c r="K204" s="790"/>
    </row>
    <row r="205" spans="1:14" hidden="1" x14ac:dyDescent="0.25">
      <c r="A205" s="791" t="s">
        <v>63</v>
      </c>
      <c r="B205" s="1"/>
      <c r="C205" s="61"/>
      <c r="D205" s="1"/>
      <c r="E205" s="792" t="s">
        <v>106</v>
      </c>
      <c r="F205" s="1"/>
      <c r="G205" s="1"/>
      <c r="H205" s="4"/>
      <c r="I205" s="4"/>
      <c r="J205" s="85">
        <f>J206</f>
        <v>0</v>
      </c>
      <c r="K205" s="790"/>
    </row>
    <row r="206" spans="1:14" hidden="1" x14ac:dyDescent="0.25">
      <c r="A206" s="1645" t="s">
        <v>27</v>
      </c>
      <c r="B206" s="1645"/>
      <c r="C206" s="1645"/>
      <c r="D206" s="1645"/>
      <c r="E206" s="94" t="s">
        <v>34</v>
      </c>
      <c r="F206" s="1645"/>
      <c r="J206" s="85">
        <f>J211</f>
        <v>0</v>
      </c>
      <c r="K206" s="790"/>
    </row>
    <row r="207" spans="1:14" hidden="1" x14ac:dyDescent="0.25">
      <c r="A207" s="1" t="s">
        <v>846</v>
      </c>
      <c r="B207" s="1"/>
      <c r="C207" s="1"/>
      <c r="D207" s="1"/>
      <c r="E207" s="1"/>
      <c r="F207" s="1"/>
      <c r="G207" s="1"/>
      <c r="H207" s="4"/>
      <c r="I207" s="4"/>
      <c r="J207" s="4"/>
      <c r="K207" s="790"/>
    </row>
    <row r="208" spans="1:14" hidden="1" x14ac:dyDescent="0.25">
      <c r="A208" s="1898" t="s">
        <v>8</v>
      </c>
      <c r="B208" s="1956" t="s">
        <v>46</v>
      </c>
      <c r="C208" s="1959"/>
      <c r="D208" s="1959"/>
      <c r="E208" s="1959"/>
      <c r="F208" s="1959"/>
      <c r="G208" s="2044"/>
      <c r="H208" s="1898" t="s">
        <v>1476</v>
      </c>
      <c r="I208" s="1898"/>
      <c r="J208" s="1898"/>
      <c r="K208" s="790"/>
    </row>
    <row r="209" spans="1:37" ht="45" hidden="1" x14ac:dyDescent="0.25">
      <c r="A209" s="1898"/>
      <c r="B209" s="2009"/>
      <c r="C209" s="1961"/>
      <c r="D209" s="1961"/>
      <c r="E209" s="1961"/>
      <c r="F209" s="1961"/>
      <c r="G209" s="1962"/>
      <c r="H209" s="1581" t="s">
        <v>262</v>
      </c>
      <c r="I209" s="1581" t="s">
        <v>50</v>
      </c>
      <c r="J209" s="1581" t="s">
        <v>261</v>
      </c>
      <c r="K209" s="790"/>
    </row>
    <row r="210" spans="1:37" hidden="1" x14ac:dyDescent="0.25">
      <c r="A210" s="62">
        <v>1</v>
      </c>
      <c r="B210" s="1129" t="s">
        <v>1494</v>
      </c>
      <c r="C210" s="1751"/>
      <c r="D210" s="1751"/>
      <c r="E210" s="1751"/>
      <c r="F210" s="1751"/>
      <c r="G210" s="1751"/>
      <c r="H210" s="393">
        <f>J180</f>
        <v>0</v>
      </c>
      <c r="I210" s="1798">
        <v>0.30199999999999999</v>
      </c>
      <c r="J210" s="1588">
        <f>H210*I210</f>
        <v>0</v>
      </c>
      <c r="K210" s="351"/>
    </row>
    <row r="211" spans="1:37" hidden="1" x14ac:dyDescent="0.25">
      <c r="A211" s="1944" t="s">
        <v>39</v>
      </c>
      <c r="B211" s="1911"/>
      <c r="C211" s="1911"/>
      <c r="D211" s="1911"/>
      <c r="E211" s="1911"/>
      <c r="F211" s="1911"/>
      <c r="G211" s="1911"/>
      <c r="H211" s="1911"/>
      <c r="I211" s="1912"/>
      <c r="J211" s="1589">
        <f>SUM(J210)</f>
        <v>0</v>
      </c>
      <c r="K211" s="83"/>
    </row>
    <row r="212" spans="1:37" hidden="1" x14ac:dyDescent="0.25">
      <c r="K212" s="790"/>
    </row>
    <row r="213" spans="1:37" s="70" customFormat="1" x14ac:dyDescent="0.25">
      <c r="A213" s="1943" t="s">
        <v>1227</v>
      </c>
      <c r="B213" s="1943"/>
      <c r="C213" s="1943"/>
      <c r="D213" s="1943"/>
      <c r="E213" s="1943"/>
      <c r="F213" s="1943"/>
      <c r="G213" s="1943"/>
      <c r="H213" s="1943"/>
      <c r="I213" s="1943"/>
      <c r="J213" s="69">
        <v>0</v>
      </c>
    </row>
    <row r="214" spans="1:37" s="70" customFormat="1" x14ac:dyDescent="0.25">
      <c r="A214" s="1644" t="s">
        <v>1228</v>
      </c>
      <c r="B214" s="1644"/>
      <c r="C214" s="1644"/>
      <c r="D214" s="1644"/>
      <c r="E214" s="1644"/>
      <c r="F214" s="1644"/>
      <c r="G214" s="1644"/>
      <c r="H214" s="60"/>
      <c r="I214" s="69"/>
      <c r="J214" s="69">
        <f>J216+J225</f>
        <v>6000</v>
      </c>
    </row>
    <row r="215" spans="1:37" ht="12" customHeight="1" x14ac:dyDescent="0.25"/>
    <row r="216" spans="1:37" hidden="1" x14ac:dyDescent="0.25">
      <c r="A216" s="1645" t="s">
        <v>305</v>
      </c>
      <c r="B216" s="75"/>
      <c r="C216" s="75"/>
      <c r="D216" s="71"/>
      <c r="E216" s="94" t="s">
        <v>1709</v>
      </c>
      <c r="J216" s="85">
        <f>J218</f>
        <v>0</v>
      </c>
    </row>
    <row r="217" spans="1:37" hidden="1" x14ac:dyDescent="0.25">
      <c r="A217" s="1645"/>
      <c r="B217" s="75"/>
      <c r="C217" s="75"/>
      <c r="D217" s="71"/>
      <c r="J217" s="85"/>
    </row>
    <row r="218" spans="1:37" hidden="1" x14ac:dyDescent="0.25">
      <c r="A218" s="1645" t="s">
        <v>63</v>
      </c>
      <c r="B218" s="1645"/>
      <c r="C218" s="1645"/>
      <c r="D218" s="1645"/>
      <c r="E218" s="94" t="s">
        <v>75</v>
      </c>
      <c r="J218" s="85">
        <f>J223</f>
        <v>0</v>
      </c>
    </row>
    <row r="219" spans="1:37" hidden="1" x14ac:dyDescent="0.25">
      <c r="A219" s="1645" t="s">
        <v>27</v>
      </c>
      <c r="B219" s="1645"/>
      <c r="C219" s="1645"/>
      <c r="D219" s="1645"/>
      <c r="E219" s="94" t="s">
        <v>34</v>
      </c>
      <c r="J219" s="85">
        <f>J223</f>
        <v>0</v>
      </c>
    </row>
    <row r="220" spans="1:37" hidden="1" x14ac:dyDescent="0.25">
      <c r="A220" s="1644" t="s">
        <v>1083</v>
      </c>
      <c r="B220" s="1645"/>
      <c r="C220" s="1645"/>
      <c r="D220" s="1645"/>
      <c r="E220" s="94"/>
      <c r="J220" s="85"/>
    </row>
    <row r="221" spans="1:37" ht="31.5" hidden="1" customHeight="1" x14ac:dyDescent="0.25">
      <c r="A221" s="1581" t="s">
        <v>8</v>
      </c>
      <c r="B221" s="1898" t="s">
        <v>35</v>
      </c>
      <c r="C221" s="1898"/>
      <c r="D221" s="1898"/>
      <c r="E221" s="1898"/>
      <c r="F221" s="1898"/>
      <c r="G221" s="1898"/>
      <c r="H221" s="1898"/>
      <c r="I221" s="1898"/>
      <c r="J221" s="1581" t="s">
        <v>256</v>
      </c>
    </row>
    <row r="222" spans="1:37" hidden="1" x14ac:dyDescent="0.25">
      <c r="A222" s="1630">
        <v>1</v>
      </c>
      <c r="B222" s="2462" t="s">
        <v>1070</v>
      </c>
      <c r="C222" s="2463"/>
      <c r="D222" s="2464"/>
      <c r="E222" s="2464"/>
      <c r="F222" s="2464"/>
      <c r="G222" s="2464"/>
      <c r="H222" s="2464"/>
      <c r="I222" s="2465"/>
      <c r="J222" s="393"/>
    </row>
    <row r="223" spans="1:37" hidden="1" x14ac:dyDescent="0.25">
      <c r="A223" s="1946" t="s">
        <v>39</v>
      </c>
      <c r="B223" s="1947"/>
      <c r="C223" s="2096"/>
      <c r="D223" s="1947"/>
      <c r="E223" s="1947"/>
      <c r="F223" s="1947"/>
      <c r="G223" s="1947"/>
      <c r="H223" s="1947"/>
      <c r="I223" s="1948"/>
      <c r="J223" s="101">
        <f>SUM(J222:J222)</f>
        <v>0</v>
      </c>
      <c r="K223" s="351">
        <v>0</v>
      </c>
      <c r="L223" s="83">
        <f>J223-K223</f>
        <v>0</v>
      </c>
    </row>
    <row r="224" spans="1:37" hidden="1" x14ac:dyDescent="0.25">
      <c r="Y224" s="1644" t="s">
        <v>306</v>
      </c>
      <c r="Z224" s="1644"/>
      <c r="AA224" s="1644"/>
      <c r="AB224" s="1644"/>
      <c r="AC224" s="1644"/>
      <c r="AD224" s="1644"/>
      <c r="AE224" s="1644"/>
      <c r="AF224" s="60"/>
      <c r="AG224" s="69"/>
      <c r="AH224" s="69"/>
      <c r="AI224" s="174"/>
      <c r="AJ224" s="81"/>
      <c r="AK224" s="75"/>
    </row>
    <row r="225" spans="1:37" x14ac:dyDescent="0.25">
      <c r="A225" s="1645" t="s">
        <v>147</v>
      </c>
      <c r="B225" s="72"/>
      <c r="C225" s="72"/>
      <c r="D225" s="72"/>
      <c r="E225" s="94" t="s">
        <v>1726</v>
      </c>
      <c r="F225" s="72"/>
      <c r="G225" s="72"/>
      <c r="H225" s="74"/>
      <c r="I225" s="74"/>
      <c r="J225" s="92">
        <f>J227+J234+J248+J241</f>
        <v>6000</v>
      </c>
      <c r="Y225" s="1898" t="s">
        <v>8</v>
      </c>
      <c r="Z225" s="2080" t="s">
        <v>1</v>
      </c>
      <c r="AA225" s="1916"/>
      <c r="AB225" s="2468"/>
      <c r="AC225" s="2468"/>
      <c r="AD225" s="2081"/>
      <c r="AE225" s="1899" t="s">
        <v>1476</v>
      </c>
      <c r="AF225" s="1911"/>
      <c r="AG225" s="1911"/>
      <c r="AH225" s="1912"/>
      <c r="AI225" s="81"/>
      <c r="AJ225" s="70"/>
      <c r="AK225" s="75"/>
    </row>
    <row r="226" spans="1:37" ht="15" customHeight="1" x14ac:dyDescent="0.25">
      <c r="E226" s="73"/>
      <c r="Y226" s="1898"/>
      <c r="Z226" s="2009"/>
      <c r="AA226" s="1961"/>
      <c r="AB226" s="1961"/>
      <c r="AC226" s="1961"/>
      <c r="AD226" s="1962"/>
      <c r="AE226" s="1581" t="s">
        <v>515</v>
      </c>
      <c r="AF226" s="1581" t="s">
        <v>55</v>
      </c>
      <c r="AG226" s="1588" t="s">
        <v>265</v>
      </c>
      <c r="AH226" s="1588" t="s">
        <v>256</v>
      </c>
      <c r="AI226" s="81"/>
      <c r="AJ226" s="70"/>
      <c r="AK226" s="75"/>
    </row>
    <row r="227" spans="1:37" ht="17.25" customHeight="1" x14ac:dyDescent="0.25">
      <c r="A227" s="1645" t="s">
        <v>63</v>
      </c>
      <c r="B227" s="1645"/>
      <c r="C227" s="1645"/>
      <c r="D227" s="1645"/>
      <c r="E227" s="94" t="s">
        <v>122</v>
      </c>
      <c r="F227" s="1645"/>
      <c r="J227" s="85">
        <f>J232</f>
        <v>500</v>
      </c>
      <c r="Y227" s="1630">
        <v>1</v>
      </c>
      <c r="Z227" s="1921" t="s">
        <v>57</v>
      </c>
      <c r="AA227" s="2006"/>
      <c r="AB227" s="2078"/>
      <c r="AC227" s="2078"/>
      <c r="AD227" s="2079"/>
      <c r="AE227" s="1640" t="s">
        <v>1479</v>
      </c>
      <c r="AF227" s="103">
        <v>753.75260000000003</v>
      </c>
      <c r="AG227" s="1588">
        <v>55.86</v>
      </c>
      <c r="AH227" s="1588">
        <f t="shared" ref="AH227:AH234" si="4">AF227*AG227</f>
        <v>42104.62</v>
      </c>
      <c r="AI227" s="1656"/>
      <c r="AJ227" s="1656"/>
    </row>
    <row r="228" spans="1:37" ht="14.25" customHeight="1" x14ac:dyDescent="0.25">
      <c r="A228" s="1645" t="s">
        <v>27</v>
      </c>
      <c r="B228" s="1645"/>
      <c r="C228" s="1645"/>
      <c r="D228" s="1645"/>
      <c r="E228" s="94" t="s">
        <v>34</v>
      </c>
      <c r="F228" s="1645"/>
      <c r="J228" s="85">
        <f>J232</f>
        <v>500</v>
      </c>
      <c r="Y228" s="1630">
        <v>2</v>
      </c>
      <c r="Z228" s="1921" t="s">
        <v>57</v>
      </c>
      <c r="AA228" s="2006"/>
      <c r="AB228" s="2078"/>
      <c r="AC228" s="2078"/>
      <c r="AD228" s="2079"/>
      <c r="AE228" s="1640" t="s">
        <v>1480</v>
      </c>
      <c r="AF228" s="103">
        <f>4986+355.7603+10.2904</f>
        <v>5352.0506999999998</v>
      </c>
      <c r="AG228" s="1588">
        <v>55.86</v>
      </c>
      <c r="AH228" s="1588">
        <f t="shared" si="4"/>
        <v>298965.55</v>
      </c>
      <c r="AI228" s="1656"/>
      <c r="AJ228" s="1696"/>
    </row>
    <row r="229" spans="1:37" ht="16.5" customHeight="1" x14ac:dyDescent="0.25">
      <c r="A229" s="1644" t="s">
        <v>1084</v>
      </c>
      <c r="B229" s="1645"/>
      <c r="C229" s="1645"/>
      <c r="D229" s="1645"/>
      <c r="E229" s="94"/>
      <c r="F229" s="1645"/>
      <c r="J229" s="85"/>
      <c r="Y229" s="1630">
        <v>3</v>
      </c>
      <c r="Z229" s="1921" t="s">
        <v>58</v>
      </c>
      <c r="AA229" s="2006"/>
      <c r="AB229" s="2078"/>
      <c r="AC229" s="2078"/>
      <c r="AD229" s="2079"/>
      <c r="AE229" s="1640" t="s">
        <v>1479</v>
      </c>
      <c r="AF229" s="1390">
        <v>1027.07999</v>
      </c>
      <c r="AG229" s="65">
        <v>59.856000000000002</v>
      </c>
      <c r="AH229" s="1588">
        <f t="shared" si="4"/>
        <v>61476.9</v>
      </c>
      <c r="AI229" s="1656"/>
      <c r="AJ229" s="1656"/>
    </row>
    <row r="230" spans="1:37" s="765" customFormat="1" ht="30" x14ac:dyDescent="0.25">
      <c r="A230" s="1581" t="s">
        <v>8</v>
      </c>
      <c r="B230" s="1898" t="s">
        <v>35</v>
      </c>
      <c r="C230" s="1898"/>
      <c r="D230" s="1898"/>
      <c r="E230" s="1898"/>
      <c r="F230" s="1898"/>
      <c r="G230" s="1898"/>
      <c r="H230" s="1898"/>
      <c r="I230" s="1898"/>
      <c r="J230" s="1581" t="s">
        <v>256</v>
      </c>
      <c r="K230" s="1603"/>
      <c r="L230" s="1603"/>
      <c r="M230" s="1603"/>
      <c r="N230" s="1603"/>
      <c r="Y230" s="1630">
        <v>4</v>
      </c>
      <c r="Z230" s="1921" t="s">
        <v>58</v>
      </c>
      <c r="AA230" s="2006"/>
      <c r="AB230" s="2078"/>
      <c r="AC230" s="2078"/>
      <c r="AD230" s="2079"/>
      <c r="AE230" s="1640" t="s">
        <v>1480</v>
      </c>
      <c r="AF230" s="103">
        <f>6972.4023+500-35.1895</f>
        <v>7437.2128000000002</v>
      </c>
      <c r="AG230" s="65">
        <v>59.856000000000002</v>
      </c>
      <c r="AH230" s="1588">
        <f t="shared" si="4"/>
        <v>445161.81</v>
      </c>
      <c r="AI230" s="1656"/>
      <c r="AJ230" s="1696"/>
      <c r="AK230" s="61"/>
    </row>
    <row r="231" spans="1:37" ht="15" customHeight="1" x14ac:dyDescent="0.25">
      <c r="A231" s="1630">
        <v>1</v>
      </c>
      <c r="B231" s="2462" t="s">
        <v>124</v>
      </c>
      <c r="C231" s="2463"/>
      <c r="D231" s="2464"/>
      <c r="E231" s="2464"/>
      <c r="F231" s="2464"/>
      <c r="G231" s="2464"/>
      <c r="H231" s="2464"/>
      <c r="I231" s="2465"/>
      <c r="J231" s="393">
        <v>500</v>
      </c>
      <c r="Y231" s="1630">
        <v>5</v>
      </c>
      <c r="Z231" s="1921" t="s">
        <v>1483</v>
      </c>
      <c r="AA231" s="2006"/>
      <c r="AB231" s="1933"/>
      <c r="AC231" s="1933"/>
      <c r="AD231" s="1934"/>
      <c r="AE231" s="1640" t="s">
        <v>1479</v>
      </c>
      <c r="AF231" s="1390">
        <v>1027.07998</v>
      </c>
      <c r="AG231" s="65">
        <v>119.712</v>
      </c>
      <c r="AH231" s="1588">
        <f t="shared" si="4"/>
        <v>122953.8</v>
      </c>
      <c r="AI231" s="1656"/>
      <c r="AJ231" s="1656"/>
    </row>
    <row r="232" spans="1:37" ht="15" customHeight="1" x14ac:dyDescent="0.25">
      <c r="A232" s="1946" t="s">
        <v>39</v>
      </c>
      <c r="B232" s="1947"/>
      <c r="C232" s="2096"/>
      <c r="D232" s="1947"/>
      <c r="E232" s="1947"/>
      <c r="F232" s="1947"/>
      <c r="G232" s="1947"/>
      <c r="H232" s="1947"/>
      <c r="I232" s="1948"/>
      <c r="J232" s="101">
        <f>SUM(J231:J231)</f>
        <v>500</v>
      </c>
      <c r="K232" s="351">
        <v>0</v>
      </c>
      <c r="L232" s="83">
        <f>J232-K232</f>
        <v>500</v>
      </c>
      <c r="Y232" s="1630">
        <v>6</v>
      </c>
      <c r="Z232" s="1921" t="s">
        <v>1481</v>
      </c>
      <c r="AA232" s="2006"/>
      <c r="AB232" s="1933"/>
      <c r="AC232" s="1933"/>
      <c r="AD232" s="1934"/>
      <c r="AE232" s="1640" t="s">
        <v>1480</v>
      </c>
      <c r="AF232" s="103">
        <f>1779.9993+92.5965</f>
        <v>1872.5958000000001</v>
      </c>
      <c r="AG232" s="65">
        <v>14.2</v>
      </c>
      <c r="AH232" s="1588">
        <f t="shared" si="4"/>
        <v>26590.86</v>
      </c>
      <c r="AI232" s="1656"/>
      <c r="AJ232" s="1696"/>
    </row>
    <row r="233" spans="1:37" ht="12.75" customHeight="1" x14ac:dyDescent="0.25">
      <c r="Y233" s="1630">
        <v>7</v>
      </c>
      <c r="Z233" s="1921" t="s">
        <v>1482</v>
      </c>
      <c r="AA233" s="2006"/>
      <c r="AB233" s="1933"/>
      <c r="AC233" s="1933"/>
      <c r="AD233" s="1934"/>
      <c r="AE233" s="1640" t="s">
        <v>1480</v>
      </c>
      <c r="AF233" s="103">
        <f>5180.0026+384.2743</f>
        <v>5564.2768999999998</v>
      </c>
      <c r="AG233" s="65">
        <v>3.9</v>
      </c>
      <c r="AH233" s="1588">
        <f t="shared" si="4"/>
        <v>21700.68</v>
      </c>
      <c r="AI233" s="1656"/>
      <c r="AJ233" s="1696"/>
    </row>
    <row r="234" spans="1:37" ht="15" customHeight="1" x14ac:dyDescent="0.25">
      <c r="A234" s="1645" t="s">
        <v>63</v>
      </c>
      <c r="B234" s="1645"/>
      <c r="C234" s="1645"/>
      <c r="D234" s="1645"/>
      <c r="E234" s="94" t="s">
        <v>123</v>
      </c>
      <c r="F234" s="1645"/>
      <c r="J234" s="85">
        <f>J239</f>
        <v>500</v>
      </c>
      <c r="Y234" s="1630">
        <v>8</v>
      </c>
      <c r="Z234" s="1921" t="s">
        <v>1485</v>
      </c>
      <c r="AA234" s="2006"/>
      <c r="AB234" s="1933"/>
      <c r="AC234" s="1933"/>
      <c r="AD234" s="1934"/>
      <c r="AE234" s="1640" t="s">
        <v>1479</v>
      </c>
      <c r="AF234" s="103">
        <v>513.54100000000005</v>
      </c>
      <c r="AG234" s="65">
        <v>59.856000000000002</v>
      </c>
      <c r="AH234" s="1588">
        <f t="shared" si="4"/>
        <v>30738.51</v>
      </c>
      <c r="AI234" s="1656"/>
      <c r="AJ234" s="1656"/>
    </row>
    <row r="235" spans="1:37" ht="15.75" customHeight="1" x14ac:dyDescent="0.25">
      <c r="A235" s="1645" t="s">
        <v>27</v>
      </c>
      <c r="B235" s="1645"/>
      <c r="C235" s="1645"/>
      <c r="D235" s="1645"/>
      <c r="E235" s="94" t="s">
        <v>34</v>
      </c>
      <c r="F235" s="1645"/>
      <c r="J235" s="85">
        <f>J239</f>
        <v>500</v>
      </c>
      <c r="Y235" s="1630">
        <v>9</v>
      </c>
      <c r="Z235" s="1921" t="s">
        <v>1484</v>
      </c>
      <c r="AA235" s="2006"/>
      <c r="AB235" s="1933"/>
      <c r="AC235" s="1933"/>
      <c r="AD235" s="1934"/>
      <c r="AE235" s="1640" t="s">
        <v>1480</v>
      </c>
      <c r="AF235" s="103">
        <f>1780-301.5586</f>
        <v>1478.4413999999999</v>
      </c>
      <c r="AG235" s="65">
        <v>138.27000000000001</v>
      </c>
      <c r="AH235" s="1588">
        <f>AF235*AG235</f>
        <v>204424.09</v>
      </c>
      <c r="AI235" s="1656"/>
      <c r="AJ235" s="1696"/>
    </row>
    <row r="236" spans="1:37" ht="15.75" customHeight="1" x14ac:dyDescent="0.25">
      <c r="A236" s="1644" t="s">
        <v>1085</v>
      </c>
      <c r="B236" s="1645"/>
      <c r="C236" s="1645"/>
      <c r="D236" s="1645"/>
      <c r="E236" s="94"/>
      <c r="F236" s="1645"/>
      <c r="J236" s="85"/>
      <c r="Y236" s="1630">
        <v>10</v>
      </c>
      <c r="Z236" s="1921" t="s">
        <v>1484</v>
      </c>
      <c r="AA236" s="2006"/>
      <c r="AB236" s="1933"/>
      <c r="AC236" s="1933"/>
      <c r="AD236" s="1934"/>
      <c r="AE236" s="1640" t="s">
        <v>1480</v>
      </c>
      <c r="AF236" s="103">
        <f>5420.21+321.2535</f>
        <v>5741.4634999999998</v>
      </c>
      <c r="AG236" s="65">
        <v>4.79</v>
      </c>
      <c r="AH236" s="1588">
        <f>AF236*AG236</f>
        <v>27501.61</v>
      </c>
      <c r="AI236" s="1656"/>
      <c r="AJ236" s="1696"/>
    </row>
    <row r="237" spans="1:37" s="765" customFormat="1" ht="29.25" customHeight="1" x14ac:dyDescent="0.25">
      <c r="A237" s="1581" t="s">
        <v>8</v>
      </c>
      <c r="B237" s="1899" t="s">
        <v>35</v>
      </c>
      <c r="C237" s="1998"/>
      <c r="D237" s="1900"/>
      <c r="E237" s="1900"/>
      <c r="F237" s="1900"/>
      <c r="G237" s="1900"/>
      <c r="H237" s="1900"/>
      <c r="I237" s="1901"/>
      <c r="J237" s="1581" t="s">
        <v>256</v>
      </c>
      <c r="K237" s="1603"/>
      <c r="L237" s="1603"/>
      <c r="M237" s="1603"/>
      <c r="N237" s="1603"/>
      <c r="Y237" s="1944" t="s">
        <v>39</v>
      </c>
      <c r="Z237" s="1945"/>
      <c r="AA237" s="1945"/>
      <c r="AB237" s="1945"/>
      <c r="AC237" s="1945"/>
      <c r="AD237" s="1945"/>
      <c r="AE237" s="1912"/>
      <c r="AF237" s="66" t="s">
        <v>82</v>
      </c>
      <c r="AG237" s="66" t="s">
        <v>82</v>
      </c>
      <c r="AH237" s="66">
        <f>SUM(AH227:AH236)</f>
        <v>1281618.43</v>
      </c>
      <c r="AI237" s="1656" t="s">
        <v>1478</v>
      </c>
      <c r="AJ237" s="1044" t="s">
        <v>1486</v>
      </c>
      <c r="AK237" s="61"/>
    </row>
    <row r="238" spans="1:37" x14ac:dyDescent="0.25">
      <c r="A238" s="1630">
        <v>1</v>
      </c>
      <c r="B238" s="2462" t="s">
        <v>821</v>
      </c>
      <c r="C238" s="2463"/>
      <c r="D238" s="2464"/>
      <c r="E238" s="2464"/>
      <c r="F238" s="2464"/>
      <c r="G238" s="2464"/>
      <c r="H238" s="2464"/>
      <c r="I238" s="2465"/>
      <c r="J238" s="393">
        <v>500</v>
      </c>
      <c r="Y238" s="1924" t="s">
        <v>514</v>
      </c>
      <c r="Z238" s="1925"/>
      <c r="AA238" s="1925"/>
      <c r="AB238" s="1925"/>
      <c r="AC238" s="1925"/>
      <c r="AD238" s="1925"/>
      <c r="AE238" s="1925"/>
      <c r="AF238" s="1925"/>
      <c r="AG238" s="1925"/>
      <c r="AH238" s="1925"/>
      <c r="AI238" s="81"/>
      <c r="AJ238" s="1799"/>
    </row>
    <row r="239" spans="1:37" x14ac:dyDescent="0.25">
      <c r="A239" s="1946" t="s">
        <v>39</v>
      </c>
      <c r="B239" s="1947"/>
      <c r="C239" s="2096"/>
      <c r="D239" s="1947"/>
      <c r="E239" s="1947"/>
      <c r="F239" s="1947"/>
      <c r="G239" s="1947"/>
      <c r="H239" s="1947"/>
      <c r="I239" s="1948"/>
      <c r="J239" s="101">
        <f>SUM(J238:J238)</f>
        <v>500</v>
      </c>
      <c r="Y239" s="1913" t="s">
        <v>1134</v>
      </c>
      <c r="Z239" s="1913"/>
      <c r="AA239" s="1913"/>
      <c r="AB239" s="1913"/>
      <c r="AC239" s="1913"/>
      <c r="AD239" s="1913"/>
      <c r="AE239" s="1913"/>
      <c r="AF239" s="1913"/>
      <c r="AG239" s="1913"/>
      <c r="AH239" s="1594">
        <v>0</v>
      </c>
      <c r="AI239" s="81"/>
      <c r="AJ239" s="1699"/>
    </row>
    <row r="240" spans="1:37" x14ac:dyDescent="0.25">
      <c r="Y240" s="1913" t="s">
        <v>153</v>
      </c>
      <c r="Z240" s="1913"/>
      <c r="AA240" s="1913"/>
      <c r="AB240" s="1913"/>
      <c r="AC240" s="1913"/>
      <c r="AD240" s="1913"/>
      <c r="AE240" s="1913"/>
      <c r="AF240" s="1913"/>
      <c r="AG240" s="1913"/>
      <c r="AH240" s="1594">
        <f>257273.83+504275.06+111385.98</f>
        <v>872934.87</v>
      </c>
      <c r="AI240" s="344">
        <f>257273.83+121912.06+109966.03+111028.14+117311.83+35193.58+111385.98</f>
        <v>864071.45</v>
      </c>
      <c r="AJ240" s="81">
        <f>AH240-AI240</f>
        <v>8863.42</v>
      </c>
    </row>
    <row r="241" spans="1:37" hidden="1" x14ac:dyDescent="0.25">
      <c r="A241" s="1645" t="s">
        <v>63</v>
      </c>
      <c r="B241" s="1645"/>
      <c r="C241" s="1645"/>
      <c r="D241" s="1645"/>
      <c r="E241" s="94" t="s">
        <v>1293</v>
      </c>
      <c r="F241" s="1645"/>
      <c r="J241" s="85">
        <f>J246</f>
        <v>0</v>
      </c>
      <c r="Y241" s="1891" t="s">
        <v>619</v>
      </c>
      <c r="Z241" s="1891"/>
      <c r="AA241" s="1891"/>
      <c r="AB241" s="1891"/>
      <c r="AC241" s="1891"/>
      <c r="AD241" s="1891"/>
      <c r="AE241" s="1891"/>
      <c r="AF241" s="1891"/>
      <c r="AG241" s="1891"/>
      <c r="AH241" s="1588">
        <v>70000</v>
      </c>
      <c r="AI241" s="344">
        <v>0</v>
      </c>
      <c r="AJ241" s="81">
        <f>AH241-AI241</f>
        <v>70000</v>
      </c>
    </row>
    <row r="242" spans="1:37" hidden="1" x14ac:dyDescent="0.25">
      <c r="A242" s="1645" t="s">
        <v>27</v>
      </c>
      <c r="B242" s="1645"/>
      <c r="C242" s="1645"/>
      <c r="D242" s="1645"/>
      <c r="E242" s="94" t="s">
        <v>34</v>
      </c>
      <c r="F242" s="1645"/>
      <c r="J242" s="85">
        <f>J246</f>
        <v>0</v>
      </c>
      <c r="Y242" s="1891" t="s">
        <v>1147</v>
      </c>
      <c r="Z242" s="1891"/>
      <c r="AA242" s="1891"/>
      <c r="AB242" s="1891"/>
      <c r="AC242" s="1891"/>
      <c r="AD242" s="1891"/>
      <c r="AE242" s="1891"/>
      <c r="AF242" s="1891"/>
      <c r="AG242" s="1891"/>
      <c r="AH242" s="360">
        <f>AH237-AH240-AH241-211227.48</f>
        <v>127456.08</v>
      </c>
      <c r="AI242" s="99"/>
      <c r="AJ242" s="99"/>
    </row>
    <row r="243" spans="1:37" hidden="1" x14ac:dyDescent="0.25">
      <c r="A243" s="1644" t="s">
        <v>1295</v>
      </c>
      <c r="B243" s="1645"/>
      <c r="C243" s="1645"/>
      <c r="D243" s="1645"/>
      <c r="E243" s="94"/>
      <c r="F243" s="1645"/>
      <c r="J243" s="85"/>
      <c r="Y243" s="1586"/>
      <c r="Z243" s="1586"/>
      <c r="AA243" s="1586"/>
      <c r="AB243" s="1586"/>
      <c r="AC243" s="1586"/>
      <c r="AD243" s="1586"/>
      <c r="AE243" s="1586"/>
      <c r="AF243" s="1586"/>
      <c r="AG243" s="1586"/>
      <c r="AH243" s="109"/>
      <c r="AI243" s="99"/>
      <c r="AJ243" s="99"/>
    </row>
    <row r="244" spans="1:37" s="765" customFormat="1" ht="29.25" hidden="1" customHeight="1" x14ac:dyDescent="0.25">
      <c r="A244" s="1581" t="s">
        <v>8</v>
      </c>
      <c r="B244" s="1899" t="s">
        <v>35</v>
      </c>
      <c r="C244" s="1998"/>
      <c r="D244" s="1900"/>
      <c r="E244" s="1900"/>
      <c r="F244" s="1900"/>
      <c r="G244" s="1900"/>
      <c r="H244" s="1900"/>
      <c r="I244" s="1901"/>
      <c r="J244" s="1581" t="s">
        <v>256</v>
      </c>
      <c r="K244" s="1603"/>
      <c r="L244" s="1603"/>
      <c r="M244" s="1603"/>
      <c r="N244" s="1603"/>
      <c r="Y244" s="1630">
        <v>11</v>
      </c>
      <c r="Z244" s="1921" t="s">
        <v>1269</v>
      </c>
      <c r="AA244" s="2006"/>
      <c r="AB244" s="2078"/>
      <c r="AC244" s="2078"/>
      <c r="AD244" s="2079"/>
      <c r="AE244" s="1640" t="s">
        <v>1479</v>
      </c>
      <c r="AF244" s="1654">
        <v>71.499998000000005</v>
      </c>
      <c r="AG244" s="1655">
        <v>821.56799999999998</v>
      </c>
      <c r="AH244" s="1588">
        <f>AF244*AG244</f>
        <v>58742.11</v>
      </c>
      <c r="AI244" s="1656"/>
      <c r="AJ244" s="1657"/>
      <c r="AK244" s="61"/>
    </row>
    <row r="245" spans="1:37" ht="15" hidden="1" customHeight="1" x14ac:dyDescent="0.25">
      <c r="A245" s="1630">
        <v>1</v>
      </c>
      <c r="B245" s="2462" t="s">
        <v>1294</v>
      </c>
      <c r="C245" s="2463"/>
      <c r="D245" s="2464"/>
      <c r="E245" s="2464"/>
      <c r="F245" s="2464"/>
      <c r="G245" s="2464"/>
      <c r="H245" s="2464"/>
      <c r="I245" s="2465"/>
      <c r="J245" s="393"/>
      <c r="Y245" s="1630">
        <v>12</v>
      </c>
      <c r="Z245" s="1921" t="s">
        <v>1269</v>
      </c>
      <c r="AA245" s="2006"/>
      <c r="AB245" s="2078"/>
      <c r="AC245" s="2078"/>
      <c r="AD245" s="2079"/>
      <c r="AE245" s="1640" t="s">
        <v>1674</v>
      </c>
      <c r="AF245" s="1654">
        <v>412.5</v>
      </c>
      <c r="AG245" s="1655">
        <v>821.56799999999998</v>
      </c>
      <c r="AH245" s="1588">
        <f>AF245*AG245</f>
        <v>338896.8</v>
      </c>
      <c r="AI245" s="1656"/>
      <c r="AJ245" s="1657"/>
    </row>
    <row r="246" spans="1:37" ht="14.25" hidden="1" customHeight="1" x14ac:dyDescent="0.25">
      <c r="A246" s="1946" t="s">
        <v>39</v>
      </c>
      <c r="B246" s="1947"/>
      <c r="C246" s="2096"/>
      <c r="D246" s="1947"/>
      <c r="E246" s="1947"/>
      <c r="F246" s="1947"/>
      <c r="G246" s="1947"/>
      <c r="H246" s="1947"/>
      <c r="I246" s="1948"/>
      <c r="J246" s="101">
        <f>SUM(J245:J245)</f>
        <v>0</v>
      </c>
      <c r="K246" s="351"/>
      <c r="Y246" s="1630">
        <v>13</v>
      </c>
      <c r="Z246" s="1921" t="s">
        <v>1269</v>
      </c>
      <c r="AA246" s="2006"/>
      <c r="AB246" s="2078"/>
      <c r="AC246" s="2078"/>
      <c r="AD246" s="2079"/>
      <c r="AE246" s="1640" t="s">
        <v>1675</v>
      </c>
      <c r="AF246" s="1654">
        <v>508.2</v>
      </c>
      <c r="AG246" s="1655">
        <v>946.84799999999996</v>
      </c>
      <c r="AH246" s="1588">
        <f>AF246*AG246</f>
        <v>481188.15</v>
      </c>
      <c r="AI246" s="1656"/>
      <c r="AJ246" s="1657"/>
    </row>
    <row r="247" spans="1:37" hidden="1" x14ac:dyDescent="0.25">
      <c r="Y247" s="1895" t="s">
        <v>39</v>
      </c>
      <c r="Z247" s="1895"/>
      <c r="AA247" s="1895"/>
      <c r="AB247" s="1895"/>
      <c r="AC247" s="1895"/>
      <c r="AD247" s="1895"/>
      <c r="AE247" s="1895"/>
      <c r="AF247" s="1659">
        <f>SUM(AF244:AF246)</f>
        <v>992.19999800000005</v>
      </c>
      <c r="AG247" s="1589" t="s">
        <v>82</v>
      </c>
      <c r="AH247" s="1589">
        <f>SUM(AH244:AH246)</f>
        <v>878827.06</v>
      </c>
      <c r="AI247" s="1656" t="s">
        <v>1478</v>
      </c>
      <c r="AJ247" s="1044" t="s">
        <v>1486</v>
      </c>
    </row>
    <row r="248" spans="1:37" s="75" customFormat="1" x14ac:dyDescent="0.2">
      <c r="A248" s="71" t="s">
        <v>63</v>
      </c>
      <c r="B248" s="71"/>
      <c r="C248" s="71"/>
      <c r="D248" s="71"/>
      <c r="E248" s="94" t="s">
        <v>103</v>
      </c>
      <c r="F248" s="71"/>
      <c r="G248" s="72"/>
      <c r="H248" s="74"/>
      <c r="I248" s="74"/>
      <c r="J248" s="92">
        <f>J253</f>
        <v>5000</v>
      </c>
      <c r="Y248" s="1924" t="s">
        <v>514</v>
      </c>
      <c r="Z248" s="1925"/>
      <c r="AA248" s="1925"/>
      <c r="AB248" s="1925"/>
      <c r="AC248" s="1925"/>
      <c r="AD248" s="1925"/>
      <c r="AE248" s="1925"/>
      <c r="AF248" s="1925"/>
      <c r="AG248" s="1925"/>
      <c r="AH248" s="1925"/>
      <c r="AI248" s="102"/>
      <c r="AJ248" s="102"/>
      <c r="AK248" s="61"/>
    </row>
    <row r="249" spans="1:37" s="75" customFormat="1" x14ac:dyDescent="0.25">
      <c r="A249" s="71" t="s">
        <v>27</v>
      </c>
      <c r="B249" s="71"/>
      <c r="C249" s="71"/>
      <c r="D249" s="71"/>
      <c r="E249" s="94" t="s">
        <v>34</v>
      </c>
      <c r="F249" s="71"/>
      <c r="G249" s="72"/>
      <c r="H249" s="74"/>
      <c r="I249" s="74"/>
      <c r="J249" s="92">
        <f>J253</f>
        <v>5000</v>
      </c>
      <c r="Y249" s="1913" t="s">
        <v>1134</v>
      </c>
      <c r="Z249" s="1913"/>
      <c r="AA249" s="1913"/>
      <c r="AB249" s="1913"/>
      <c r="AC249" s="1913"/>
      <c r="AD249" s="1913"/>
      <c r="AE249" s="1913"/>
      <c r="AF249" s="1913"/>
      <c r="AG249" s="1913"/>
      <c r="AH249" s="1616">
        <v>58742.11</v>
      </c>
      <c r="AI249" s="344">
        <v>58742.11</v>
      </c>
      <c r="AJ249" s="81">
        <f>AH249-AI249</f>
        <v>0</v>
      </c>
      <c r="AK249" s="61"/>
    </row>
    <row r="250" spans="1:37" s="75" customFormat="1" x14ac:dyDescent="0.25">
      <c r="A250" s="72" t="s">
        <v>1086</v>
      </c>
      <c r="B250" s="71"/>
      <c r="C250" s="71"/>
      <c r="D250" s="71"/>
      <c r="E250" s="94"/>
      <c r="F250" s="71"/>
      <c r="G250" s="72"/>
      <c r="H250" s="74"/>
      <c r="I250" s="74"/>
      <c r="J250" s="92"/>
      <c r="Y250" s="1913" t="s">
        <v>153</v>
      </c>
      <c r="Z250" s="1913"/>
      <c r="AA250" s="1913"/>
      <c r="AB250" s="1913"/>
      <c r="AC250" s="1913"/>
      <c r="AD250" s="1913"/>
      <c r="AE250" s="1913"/>
      <c r="AF250" s="1913"/>
      <c r="AG250" s="1913"/>
      <c r="AH250" s="1616">
        <f>392898.45-100000+36303.85</f>
        <v>329202.3</v>
      </c>
      <c r="AI250" s="344">
        <f>45186.24+49704.86+54223.49+54223.49+54223.49</f>
        <v>257561.57</v>
      </c>
      <c r="AJ250" s="81">
        <f>AH250-AI250</f>
        <v>71640.73</v>
      </c>
      <c r="AK250" s="61"/>
    </row>
    <row r="251" spans="1:37" s="765" customFormat="1" ht="29.25" customHeight="1" x14ac:dyDescent="0.25">
      <c r="A251" s="1581" t="s">
        <v>8</v>
      </c>
      <c r="B251" s="1898" t="s">
        <v>35</v>
      </c>
      <c r="C251" s="1898"/>
      <c r="D251" s="1898"/>
      <c r="E251" s="1898"/>
      <c r="F251" s="1898"/>
      <c r="G251" s="1898"/>
      <c r="H251" s="1898"/>
      <c r="I251" s="1898"/>
      <c r="J251" s="1581" t="s">
        <v>256</v>
      </c>
      <c r="K251" s="1603"/>
      <c r="L251" s="1603"/>
      <c r="M251" s="1603"/>
      <c r="N251" s="1603"/>
      <c r="Y251" s="1891" t="s">
        <v>619</v>
      </c>
      <c r="Z251" s="1891"/>
      <c r="AA251" s="1891"/>
      <c r="AB251" s="1891"/>
      <c r="AC251" s="1891"/>
      <c r="AD251" s="1891"/>
      <c r="AE251" s="1891"/>
      <c r="AF251" s="1891"/>
      <c r="AG251" s="1891"/>
      <c r="AH251" s="1588">
        <f>150000-100000-20000</f>
        <v>30000</v>
      </c>
      <c r="AI251" s="344">
        <v>0</v>
      </c>
      <c r="AJ251" s="81">
        <f>AH251-AI251</f>
        <v>30000</v>
      </c>
      <c r="AK251" s="61"/>
    </row>
    <row r="252" spans="1:37" x14ac:dyDescent="0.25">
      <c r="A252" s="1630">
        <v>1</v>
      </c>
      <c r="B252" s="2462" t="s">
        <v>125</v>
      </c>
      <c r="C252" s="2463"/>
      <c r="D252" s="2464"/>
      <c r="E252" s="2464"/>
      <c r="F252" s="2464"/>
      <c r="G252" s="2464"/>
      <c r="H252" s="2464"/>
      <c r="I252" s="2465"/>
      <c r="J252" s="393">
        <v>5000</v>
      </c>
      <c r="Y252" s="1891" t="s">
        <v>1147</v>
      </c>
      <c r="Z252" s="1891"/>
      <c r="AA252" s="1891"/>
      <c r="AB252" s="1891"/>
      <c r="AC252" s="1891"/>
      <c r="AD252" s="1891"/>
      <c r="AE252" s="1891"/>
      <c r="AF252" s="1891"/>
      <c r="AG252" s="1891"/>
      <c r="AH252" s="360">
        <f>AH247-AH250-AH249-AH251-100000</f>
        <v>360882.65</v>
      </c>
      <c r="AI252" s="1700"/>
      <c r="AJ252" s="108"/>
    </row>
    <row r="253" spans="1:37" x14ac:dyDescent="0.25">
      <c r="A253" s="1946" t="s">
        <v>39</v>
      </c>
      <c r="B253" s="1947"/>
      <c r="C253" s="2096"/>
      <c r="D253" s="1947"/>
      <c r="E253" s="1947"/>
      <c r="F253" s="1947"/>
      <c r="G253" s="1947"/>
      <c r="H253" s="1947"/>
      <c r="I253" s="1948"/>
      <c r="J253" s="101">
        <f>SUM(J252:J252)</f>
        <v>5000</v>
      </c>
      <c r="K253" s="351">
        <v>0</v>
      </c>
      <c r="L253" s="83">
        <f>J253-K253</f>
        <v>5000</v>
      </c>
      <c r="Y253" s="63"/>
      <c r="Z253" s="63"/>
      <c r="AA253" s="63"/>
      <c r="AB253" s="63"/>
      <c r="AC253" s="63"/>
      <c r="AD253" s="63"/>
      <c r="AE253" s="63"/>
      <c r="AF253" s="64"/>
      <c r="AG253" s="64"/>
      <c r="AH253" s="64"/>
      <c r="AI253" s="108"/>
      <c r="AJ253" s="108"/>
    </row>
    <row r="254" spans="1:37" x14ac:dyDescent="0.25">
      <c r="Y254" s="1630">
        <v>14</v>
      </c>
      <c r="Z254" s="1921" t="s">
        <v>456</v>
      </c>
      <c r="AA254" s="2078"/>
      <c r="AB254" s="2078"/>
      <c r="AC254" s="2078"/>
      <c r="AD254" s="2078"/>
      <c r="AE254" s="2466"/>
      <c r="AF254" s="2466"/>
      <c r="AG254" s="2467"/>
      <c r="AH254" s="1588">
        <v>0</v>
      </c>
      <c r="AI254" s="108"/>
      <c r="AJ254" s="108"/>
    </row>
    <row r="255" spans="1:37" s="70" customFormat="1" x14ac:dyDescent="0.25">
      <c r="A255" s="1644" t="s">
        <v>1229</v>
      </c>
      <c r="B255" s="1644"/>
      <c r="C255" s="1644"/>
      <c r="D255" s="1644"/>
      <c r="E255" s="1644"/>
      <c r="F255" s="1644"/>
      <c r="G255" s="1644"/>
      <c r="H255" s="60"/>
      <c r="I255" s="69"/>
      <c r="J255" s="69">
        <v>0</v>
      </c>
      <c r="Y255" s="1944" t="s">
        <v>39</v>
      </c>
      <c r="Z255" s="1945"/>
      <c r="AA255" s="1945"/>
      <c r="AB255" s="1945"/>
      <c r="AC255" s="1945"/>
      <c r="AD255" s="1945"/>
      <c r="AE255" s="1912" t="s">
        <v>82</v>
      </c>
      <c r="AF255" s="1804" t="s">
        <v>82</v>
      </c>
      <c r="AG255" s="66" t="s">
        <v>82</v>
      </c>
      <c r="AH255" s="66">
        <f>SUM(AH254:AH254)</f>
        <v>0</v>
      </c>
      <c r="AI255" s="108"/>
      <c r="AJ255" s="108"/>
      <c r="AK255" s="61"/>
    </row>
    <row r="256" spans="1:37" s="70" customFormat="1" x14ac:dyDescent="0.25">
      <c r="A256" s="1644" t="s">
        <v>1244</v>
      </c>
      <c r="B256" s="1644"/>
      <c r="C256" s="1644"/>
      <c r="D256" s="1644"/>
      <c r="E256" s="1644"/>
      <c r="F256" s="1644"/>
      <c r="G256" s="1644"/>
      <c r="H256" s="60"/>
      <c r="I256" s="69"/>
      <c r="J256" s="69">
        <f>J258</f>
        <v>0</v>
      </c>
      <c r="Y256" s="1924" t="s">
        <v>514</v>
      </c>
      <c r="Z256" s="1925"/>
      <c r="AA256" s="1925"/>
      <c r="AB256" s="1925"/>
      <c r="AC256" s="1925"/>
      <c r="AD256" s="1925"/>
      <c r="AE256" s="1925"/>
      <c r="AF256" s="1925"/>
      <c r="AG256" s="1925"/>
      <c r="AH256" s="1925"/>
      <c r="AI256" s="108"/>
      <c r="AJ256" s="108"/>
      <c r="AK256" s="61"/>
    </row>
    <row r="257" spans="1:37" hidden="1" x14ac:dyDescent="0.25">
      <c r="Y257" s="1913" t="s">
        <v>1134</v>
      </c>
      <c r="Z257" s="1913"/>
      <c r="AA257" s="1913"/>
      <c r="AB257" s="1913"/>
      <c r="AC257" s="1913"/>
      <c r="AD257" s="1913"/>
      <c r="AE257" s="1913"/>
      <c r="AF257" s="1913"/>
      <c r="AG257" s="1913"/>
      <c r="AH257" s="1594">
        <v>0</v>
      </c>
      <c r="AI257" s="108"/>
      <c r="AJ257" s="108"/>
    </row>
    <row r="258" spans="1:37" hidden="1" x14ac:dyDescent="0.25">
      <c r="A258" s="1645" t="s">
        <v>147</v>
      </c>
      <c r="B258" s="75"/>
      <c r="C258" s="75"/>
      <c r="D258" s="71"/>
      <c r="E258" s="94" t="s">
        <v>1727</v>
      </c>
      <c r="J258" s="85">
        <f>J260+J267</f>
        <v>0</v>
      </c>
      <c r="Y258" s="1913" t="s">
        <v>153</v>
      </c>
      <c r="Z258" s="1913"/>
      <c r="AA258" s="1913"/>
      <c r="AB258" s="1913"/>
      <c r="AC258" s="1913"/>
      <c r="AD258" s="1913"/>
      <c r="AE258" s="1913"/>
      <c r="AF258" s="1913"/>
      <c r="AG258" s="1913"/>
      <c r="AH258" s="1594">
        <v>0</v>
      </c>
      <c r="AI258" s="108"/>
      <c r="AJ258" s="108"/>
    </row>
    <row r="259" spans="1:37" hidden="1" x14ac:dyDescent="0.25">
      <c r="A259" s="1645"/>
      <c r="B259" s="75"/>
      <c r="C259" s="75"/>
      <c r="D259" s="71"/>
      <c r="J259" s="85"/>
      <c r="Y259" s="1891" t="s">
        <v>619</v>
      </c>
      <c r="Z259" s="1891"/>
      <c r="AA259" s="1891"/>
      <c r="AB259" s="1891"/>
      <c r="AC259" s="1891"/>
      <c r="AD259" s="1891"/>
      <c r="AE259" s="1891"/>
      <c r="AF259" s="1891"/>
      <c r="AG259" s="1891"/>
      <c r="AH259" s="1588">
        <v>0</v>
      </c>
      <c r="AI259" s="108"/>
      <c r="AJ259" s="108"/>
    </row>
    <row r="260" spans="1:37" hidden="1" x14ac:dyDescent="0.25">
      <c r="A260" s="1645" t="s">
        <v>63</v>
      </c>
      <c r="B260" s="1645"/>
      <c r="C260" s="1645"/>
      <c r="D260" s="1645"/>
      <c r="E260" s="94" t="s">
        <v>123</v>
      </c>
      <c r="F260" s="1645"/>
      <c r="J260" s="85">
        <f>J265</f>
        <v>0</v>
      </c>
      <c r="Y260" s="1891" t="s">
        <v>1147</v>
      </c>
      <c r="Z260" s="1891"/>
      <c r="AA260" s="1891"/>
      <c r="AB260" s="1891"/>
      <c r="AC260" s="1891"/>
      <c r="AD260" s="1891"/>
      <c r="AE260" s="1891"/>
      <c r="AF260" s="1891"/>
      <c r="AG260" s="1891"/>
      <c r="AH260" s="360">
        <f>AH255-AH257-AH258-AH259</f>
        <v>0</v>
      </c>
      <c r="AI260" s="108"/>
      <c r="AJ260" s="99"/>
    </row>
    <row r="261" spans="1:37" hidden="1" x14ac:dyDescent="0.25">
      <c r="A261" s="1645" t="s">
        <v>27</v>
      </c>
      <c r="B261" s="1645"/>
      <c r="C261" s="1645"/>
      <c r="D261" s="1645"/>
      <c r="E261" s="94" t="s">
        <v>34</v>
      </c>
      <c r="F261" s="1645"/>
      <c r="J261" s="85">
        <f>J265</f>
        <v>0</v>
      </c>
      <c r="Y261" s="1944" t="s">
        <v>483</v>
      </c>
      <c r="Z261" s="1945"/>
      <c r="AA261" s="1945"/>
      <c r="AB261" s="1945"/>
      <c r="AC261" s="1945"/>
      <c r="AD261" s="1945"/>
      <c r="AE261" s="1912" t="s">
        <v>82</v>
      </c>
      <c r="AF261" s="1659" t="s">
        <v>82</v>
      </c>
      <c r="AG261" s="1589" t="s">
        <v>82</v>
      </c>
      <c r="AH261" s="1589">
        <f>AH237+AH247+AH255-311227.48</f>
        <v>1849218.01</v>
      </c>
      <c r="AI261" s="108"/>
      <c r="AJ261" s="79"/>
    </row>
    <row r="262" spans="1:37" hidden="1" x14ac:dyDescent="0.25">
      <c r="A262" s="1644" t="s">
        <v>1087</v>
      </c>
      <c r="B262" s="1645"/>
      <c r="C262" s="1645"/>
      <c r="D262" s="1645"/>
      <c r="E262" s="94"/>
      <c r="F262" s="1645"/>
      <c r="J262" s="85"/>
      <c r="Y262" s="1924" t="s">
        <v>514</v>
      </c>
      <c r="Z262" s="1925"/>
      <c r="AA262" s="1925"/>
      <c r="AB262" s="1925"/>
      <c r="AC262" s="1925"/>
      <c r="AD262" s="1925"/>
      <c r="AE262" s="1925"/>
      <c r="AF262" s="1925"/>
      <c r="AG262" s="1925"/>
      <c r="AH262" s="1925"/>
      <c r="AI262" s="108"/>
      <c r="AJ262" s="79"/>
    </row>
    <row r="263" spans="1:37" s="765" customFormat="1" ht="29.25" hidden="1" customHeight="1" x14ac:dyDescent="0.25">
      <c r="A263" s="1581" t="s">
        <v>8</v>
      </c>
      <c r="B263" s="1899" t="s">
        <v>35</v>
      </c>
      <c r="C263" s="1998"/>
      <c r="D263" s="1900"/>
      <c r="E263" s="1900"/>
      <c r="F263" s="1900"/>
      <c r="G263" s="1900"/>
      <c r="H263" s="1900"/>
      <c r="I263" s="1901"/>
      <c r="J263" s="1581" t="s">
        <v>256</v>
      </c>
      <c r="K263" s="1603"/>
      <c r="L263" s="1603"/>
      <c r="M263" s="1603"/>
      <c r="N263" s="1603"/>
      <c r="Y263" s="2124" t="s">
        <v>1134</v>
      </c>
      <c r="Z263" s="2124"/>
      <c r="AA263" s="2124"/>
      <c r="AB263" s="2124"/>
      <c r="AC263" s="2124"/>
      <c r="AD263" s="2124"/>
      <c r="AE263" s="2124"/>
      <c r="AF263" s="2124"/>
      <c r="AG263" s="2124"/>
      <c r="AH263" s="1709">
        <f>AH239+AH249+AH257</f>
        <v>58742.11</v>
      </c>
      <c r="AI263" s="99"/>
      <c r="AJ263" s="79"/>
      <c r="AK263" s="61"/>
    </row>
    <row r="264" spans="1:37" hidden="1" x14ac:dyDescent="0.25">
      <c r="A264" s="1630">
        <v>1</v>
      </c>
      <c r="B264" s="2462" t="s">
        <v>822</v>
      </c>
      <c r="C264" s="2463"/>
      <c r="D264" s="2464"/>
      <c r="E264" s="2464"/>
      <c r="F264" s="2464"/>
      <c r="G264" s="2464"/>
      <c r="H264" s="2464"/>
      <c r="I264" s="2465"/>
      <c r="J264" s="393"/>
      <c r="Y264" s="2124" t="s">
        <v>153</v>
      </c>
      <c r="Z264" s="2124"/>
      <c r="AA264" s="2124"/>
      <c r="AB264" s="2124"/>
      <c r="AC264" s="2124"/>
      <c r="AD264" s="2124"/>
      <c r="AE264" s="2124"/>
      <c r="AF264" s="2124"/>
      <c r="AG264" s="2124"/>
      <c r="AH264" s="1709">
        <f>AH240+AH250+AH258</f>
        <v>1202137.17</v>
      </c>
      <c r="AI264" s="718">
        <f>AI240+AI250</f>
        <v>1121633.02</v>
      </c>
      <c r="AJ264" s="79"/>
      <c r="AK264" s="75"/>
    </row>
    <row r="265" spans="1:37" hidden="1" x14ac:dyDescent="0.25">
      <c r="A265" s="1946" t="s">
        <v>39</v>
      </c>
      <c r="B265" s="1947"/>
      <c r="C265" s="2096"/>
      <c r="D265" s="1947"/>
      <c r="E265" s="1947"/>
      <c r="F265" s="1947"/>
      <c r="G265" s="1947"/>
      <c r="H265" s="1947"/>
      <c r="I265" s="1948"/>
      <c r="J265" s="101">
        <f>SUM(J264:J264)</f>
        <v>0</v>
      </c>
      <c r="Y265" s="2107" t="s">
        <v>619</v>
      </c>
      <c r="Z265" s="2107"/>
      <c r="AA265" s="2107"/>
      <c r="AB265" s="2107"/>
      <c r="AC265" s="2107"/>
      <c r="AD265" s="2107"/>
      <c r="AE265" s="2107"/>
      <c r="AF265" s="2107"/>
      <c r="AG265" s="2107"/>
      <c r="AH265" s="1589">
        <f>AH241+AH251+AH259</f>
        <v>100000</v>
      </c>
      <c r="AI265" s="99"/>
      <c r="AJ265" s="79"/>
      <c r="AK265" s="75"/>
    </row>
    <row r="266" spans="1:37" hidden="1" x14ac:dyDescent="0.25">
      <c r="Y266" s="2107" t="s">
        <v>1147</v>
      </c>
      <c r="Z266" s="2107"/>
      <c r="AA266" s="2107"/>
      <c r="AB266" s="2107"/>
      <c r="AC266" s="2107"/>
      <c r="AD266" s="2107"/>
      <c r="AE266" s="2107"/>
      <c r="AF266" s="2107"/>
      <c r="AG266" s="2107"/>
      <c r="AH266" s="80">
        <f>AH242+AH252+AH260</f>
        <v>488338.73</v>
      </c>
      <c r="AI266" s="99"/>
      <c r="AJ266" s="79"/>
      <c r="AK266" s="75"/>
    </row>
    <row r="267" spans="1:37" hidden="1" x14ac:dyDescent="0.25">
      <c r="A267" s="1645" t="s">
        <v>63</v>
      </c>
      <c r="B267" s="1645"/>
      <c r="C267" s="1645"/>
      <c r="D267" s="1645"/>
      <c r="E267" s="94" t="s">
        <v>126</v>
      </c>
      <c r="F267" s="1645"/>
      <c r="J267" s="85">
        <f>J271</f>
        <v>0</v>
      </c>
    </row>
    <row r="268" spans="1:37" ht="18.75" hidden="1" customHeight="1" x14ac:dyDescent="0.25">
      <c r="A268" s="1645" t="s">
        <v>27</v>
      </c>
      <c r="B268" s="1645"/>
      <c r="C268" s="1645"/>
      <c r="D268" s="1645"/>
      <c r="E268" s="94" t="s">
        <v>34</v>
      </c>
      <c r="F268" s="1645"/>
      <c r="J268" s="85">
        <f>J271</f>
        <v>0</v>
      </c>
    </row>
    <row r="269" spans="1:37" s="765" customFormat="1" ht="29.25" hidden="1" customHeight="1" x14ac:dyDescent="0.25">
      <c r="A269" s="1581" t="s">
        <v>8</v>
      </c>
      <c r="B269" s="1899" t="s">
        <v>35</v>
      </c>
      <c r="C269" s="1998"/>
      <c r="D269" s="1900"/>
      <c r="E269" s="1900"/>
      <c r="F269" s="1900"/>
      <c r="G269" s="1900"/>
      <c r="H269" s="1900"/>
      <c r="I269" s="1901"/>
      <c r="J269" s="1581" t="s">
        <v>256</v>
      </c>
      <c r="K269" s="1603"/>
      <c r="L269" s="1603"/>
      <c r="M269" s="1603"/>
      <c r="N269" s="1603"/>
    </row>
    <row r="270" spans="1:37" ht="31.5" hidden="1" customHeight="1" x14ac:dyDescent="0.25">
      <c r="A270" s="1630">
        <v>1</v>
      </c>
      <c r="B270" s="2462" t="s">
        <v>822</v>
      </c>
      <c r="C270" s="2463"/>
      <c r="D270" s="2464"/>
      <c r="E270" s="2464"/>
      <c r="F270" s="2464"/>
      <c r="G270" s="2464"/>
      <c r="H270" s="2464"/>
      <c r="I270" s="2465"/>
      <c r="J270" s="393"/>
    </row>
    <row r="271" spans="1:37" ht="16.5" hidden="1" customHeight="1" x14ac:dyDescent="0.25">
      <c r="A271" s="1946" t="s">
        <v>39</v>
      </c>
      <c r="B271" s="1947"/>
      <c r="C271" s="2096"/>
      <c r="D271" s="1947"/>
      <c r="E271" s="1947"/>
      <c r="F271" s="1947"/>
      <c r="G271" s="1947"/>
      <c r="H271" s="1947"/>
      <c r="I271" s="1948"/>
      <c r="J271" s="101">
        <f>SUM(J270:J270)</f>
        <v>0</v>
      </c>
    </row>
    <row r="272" spans="1:37" ht="16.5" hidden="1" customHeight="1" x14ac:dyDescent="0.25">
      <c r="A272" s="63"/>
      <c r="B272" s="63"/>
      <c r="C272" s="63"/>
      <c r="D272" s="63"/>
      <c r="E272" s="63"/>
      <c r="F272" s="63"/>
      <c r="G272" s="63"/>
      <c r="H272" s="63"/>
      <c r="I272" s="63"/>
      <c r="J272" s="92"/>
    </row>
    <row r="273" spans="1:28" x14ac:dyDescent="0.25">
      <c r="A273" s="1644" t="s">
        <v>1231</v>
      </c>
      <c r="J273" s="69">
        <f>J276+J745</f>
        <v>11892100.75</v>
      </c>
      <c r="L273" s="79"/>
    </row>
    <row r="274" spans="1:28" hidden="1" x14ac:dyDescent="0.25">
      <c r="A274" s="1644" t="s">
        <v>823</v>
      </c>
      <c r="B274" s="74"/>
      <c r="C274" s="74"/>
      <c r="D274" s="74"/>
      <c r="E274" s="74"/>
      <c r="F274" s="74"/>
      <c r="G274" s="74"/>
      <c r="H274" s="98"/>
      <c r="I274" s="98"/>
      <c r="J274" s="98"/>
      <c r="K274" s="79"/>
      <c r="L274" s="79"/>
      <c r="M274" s="79"/>
      <c r="N274" s="79"/>
      <c r="O274" s="70"/>
      <c r="P274" s="70"/>
      <c r="Q274" s="70"/>
      <c r="R274" s="70"/>
      <c r="S274" s="70"/>
      <c r="T274" s="70"/>
    </row>
    <row r="275" spans="1:28" x14ac:dyDescent="0.25">
      <c r="B275" s="74"/>
      <c r="C275" s="74"/>
      <c r="D275" s="74"/>
      <c r="E275" s="74"/>
      <c r="F275" s="74"/>
      <c r="G275" s="74"/>
      <c r="H275" s="98"/>
      <c r="I275" s="98"/>
      <c r="J275" s="98"/>
      <c r="K275" s="79"/>
      <c r="L275" s="79"/>
      <c r="M275" s="79"/>
      <c r="N275" s="79"/>
      <c r="O275" s="70"/>
      <c r="P275" s="70"/>
      <c r="Q275" s="70"/>
      <c r="R275" s="70"/>
      <c r="S275" s="70"/>
      <c r="T275" s="70"/>
    </row>
    <row r="276" spans="1:28" x14ac:dyDescent="0.25">
      <c r="A276" s="1645" t="s">
        <v>147</v>
      </c>
      <c r="B276" s="72"/>
      <c r="C276" s="72"/>
      <c r="D276" s="72"/>
      <c r="E276" s="94" t="s">
        <v>71</v>
      </c>
      <c r="F276" s="72"/>
      <c r="G276" s="72"/>
      <c r="H276" s="74"/>
      <c r="I276" s="74"/>
      <c r="J276" s="92">
        <f>J278+J312+J327+J521+J597+J617+J659+J680+J604+J673+J736</f>
        <v>2782143.67</v>
      </c>
    </row>
    <row r="277" spans="1:28" x14ac:dyDescent="0.25">
      <c r="K277" s="79"/>
    </row>
    <row r="278" spans="1:28" s="75" customFormat="1" hidden="1" x14ac:dyDescent="0.25">
      <c r="A278" s="71" t="s">
        <v>63</v>
      </c>
      <c r="B278" s="71"/>
      <c r="C278" s="71"/>
      <c r="D278" s="71"/>
      <c r="E278" s="94" t="s">
        <v>76</v>
      </c>
      <c r="F278" s="71"/>
      <c r="G278" s="72"/>
      <c r="H278" s="74"/>
      <c r="I278" s="74"/>
      <c r="J278" s="92">
        <f>J279</f>
        <v>0</v>
      </c>
      <c r="K278" s="363"/>
      <c r="L278" s="773"/>
    </row>
    <row r="279" spans="1:28" s="75" customFormat="1" ht="13.5" hidden="1" customHeight="1" x14ac:dyDescent="0.25">
      <c r="A279" s="71" t="s">
        <v>27</v>
      </c>
      <c r="B279" s="71"/>
      <c r="C279" s="71"/>
      <c r="D279" s="71"/>
      <c r="E279" s="94" t="s">
        <v>34</v>
      </c>
      <c r="F279" s="71"/>
      <c r="G279" s="72"/>
      <c r="H279" s="74"/>
      <c r="I279" s="74"/>
      <c r="J279" s="92">
        <f>J288+J300+J310</f>
        <v>0</v>
      </c>
    </row>
    <row r="280" spans="1:28" hidden="1" x14ac:dyDescent="0.25">
      <c r="A280" s="1644" t="s">
        <v>307</v>
      </c>
      <c r="E280" s="72"/>
      <c r="I280" s="69"/>
      <c r="J280" s="69"/>
      <c r="K280" s="174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</row>
    <row r="281" spans="1:28" hidden="1" x14ac:dyDescent="0.25">
      <c r="A281" s="1898" t="s">
        <v>8</v>
      </c>
      <c r="B281" s="1898" t="s">
        <v>35</v>
      </c>
      <c r="C281" s="1898"/>
      <c r="D281" s="1898"/>
      <c r="E281" s="1898"/>
      <c r="F281" s="1898" t="s">
        <v>272</v>
      </c>
      <c r="G281" s="1899" t="s">
        <v>1476</v>
      </c>
      <c r="H281" s="1998"/>
      <c r="I281" s="1998"/>
      <c r="J281" s="1999"/>
      <c r="K281" s="81" t="s">
        <v>1478</v>
      </c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</row>
    <row r="282" spans="1:28" ht="33" hidden="1" customHeight="1" x14ac:dyDescent="0.25">
      <c r="A282" s="1898"/>
      <c r="B282" s="1898"/>
      <c r="C282" s="1898"/>
      <c r="D282" s="1898"/>
      <c r="E282" s="1898"/>
      <c r="F282" s="1898"/>
      <c r="G282" s="1581" t="s">
        <v>248</v>
      </c>
      <c r="H282" s="1581" t="s">
        <v>274</v>
      </c>
      <c r="I282" s="1588" t="s">
        <v>264</v>
      </c>
      <c r="J282" s="1588" t="s">
        <v>256</v>
      </c>
      <c r="K282" s="81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</row>
    <row r="283" spans="1:28" ht="15.75" hidden="1" customHeight="1" x14ac:dyDescent="0.25">
      <c r="A283" s="1902" t="s">
        <v>339</v>
      </c>
      <c r="B283" s="2104"/>
      <c r="C283" s="2105"/>
      <c r="D283" s="2104"/>
      <c r="E283" s="2104"/>
      <c r="F283" s="2104"/>
      <c r="G283" s="2104"/>
      <c r="H283" s="2104"/>
      <c r="I283" s="2104"/>
      <c r="J283" s="2106"/>
      <c r="K283" s="81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</row>
    <row r="284" spans="1:28" hidden="1" x14ac:dyDescent="0.25">
      <c r="A284" s="1582">
        <v>1</v>
      </c>
      <c r="B284" s="2063" t="s">
        <v>1073</v>
      </c>
      <c r="C284" s="2064"/>
      <c r="D284" s="2065"/>
      <c r="E284" s="2065"/>
      <c r="F284" s="1581" t="s">
        <v>750</v>
      </c>
      <c r="G284" s="541"/>
      <c r="H284" s="1687">
        <f>12-7-1-1</f>
        <v>3</v>
      </c>
      <c r="I284" s="1595">
        <v>100</v>
      </c>
      <c r="J284" s="1588">
        <f>H284*I284*G284</f>
        <v>0</v>
      </c>
      <c r="K284" s="1688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</row>
    <row r="285" spans="1:28" hidden="1" x14ac:dyDescent="0.25">
      <c r="A285" s="1582">
        <v>2</v>
      </c>
      <c r="B285" s="2063" t="s">
        <v>1074</v>
      </c>
      <c r="C285" s="2064"/>
      <c r="D285" s="2065"/>
      <c r="E285" s="2065"/>
      <c r="F285" s="1581" t="s">
        <v>750</v>
      </c>
      <c r="G285" s="541"/>
      <c r="H285" s="1687">
        <f>12-7-1-1</f>
        <v>3</v>
      </c>
      <c r="I285" s="1800">
        <v>200.005</v>
      </c>
      <c r="J285" s="1588">
        <f>H285*I285*G285</f>
        <v>0</v>
      </c>
      <c r="K285" s="1688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</row>
    <row r="286" spans="1:28" hidden="1" x14ac:dyDescent="0.25">
      <c r="A286" s="1582">
        <v>3</v>
      </c>
      <c r="B286" s="2063" t="s">
        <v>1075</v>
      </c>
      <c r="C286" s="2064"/>
      <c r="D286" s="2065"/>
      <c r="E286" s="2065"/>
      <c r="F286" s="1581" t="s">
        <v>750</v>
      </c>
      <c r="G286" s="541"/>
      <c r="H286" s="1687">
        <f>12-7-1-1</f>
        <v>3</v>
      </c>
      <c r="I286" s="1595">
        <v>1900</v>
      </c>
      <c r="J286" s="1588">
        <f>H286*I286*G286</f>
        <v>0</v>
      </c>
      <c r="K286" s="1688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</row>
    <row r="287" spans="1:28" hidden="1" x14ac:dyDescent="0.25">
      <c r="A287" s="1582">
        <v>4</v>
      </c>
      <c r="B287" s="2131" t="s">
        <v>1076</v>
      </c>
      <c r="C287" s="2131"/>
      <c r="D287" s="2131"/>
      <c r="E287" s="2131"/>
      <c r="F287" s="2131"/>
      <c r="G287" s="2131"/>
      <c r="H287" s="2131"/>
      <c r="I287" s="2131"/>
      <c r="J287" s="1595"/>
      <c r="K287" s="1688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</row>
    <row r="288" spans="1:28" hidden="1" x14ac:dyDescent="0.25">
      <c r="A288" s="2130" t="s">
        <v>39</v>
      </c>
      <c r="B288" s="2099"/>
      <c r="C288" s="2100"/>
      <c r="D288" s="2099"/>
      <c r="E288" s="2099"/>
      <c r="F288" s="2099"/>
      <c r="G288" s="2099"/>
      <c r="H288" s="2099"/>
      <c r="I288" s="2101"/>
      <c r="J288" s="1343">
        <f>SUM(J284:J287)</f>
        <v>0</v>
      </c>
      <c r="K288" s="344">
        <v>0</v>
      </c>
      <c r="L288" s="81">
        <f>J288-K288</f>
        <v>0</v>
      </c>
      <c r="M288" s="75" t="s">
        <v>1372</v>
      </c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</row>
    <row r="289" spans="1:28" ht="15" hidden="1" customHeight="1" x14ac:dyDescent="0.25">
      <c r="A289" s="1924" t="s">
        <v>514</v>
      </c>
      <c r="B289" s="1925"/>
      <c r="C289" s="1925"/>
      <c r="D289" s="1925"/>
      <c r="E289" s="1925"/>
      <c r="F289" s="1925"/>
      <c r="G289" s="1925"/>
      <c r="H289" s="1925"/>
      <c r="I289" s="1925"/>
      <c r="J289" s="1925"/>
      <c r="K289" s="355"/>
      <c r="L289" s="81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</row>
    <row r="290" spans="1:28" hidden="1" x14ac:dyDescent="0.25">
      <c r="A290" s="1913" t="s">
        <v>1134</v>
      </c>
      <c r="B290" s="1913"/>
      <c r="C290" s="1913"/>
      <c r="D290" s="1913"/>
      <c r="E290" s="1913"/>
      <c r="F290" s="1913"/>
      <c r="G290" s="1913"/>
      <c r="H290" s="1913"/>
      <c r="I290" s="1913"/>
      <c r="J290" s="1594">
        <v>0</v>
      </c>
      <c r="K290" s="344"/>
      <c r="L290" s="81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</row>
    <row r="291" spans="1:28" hidden="1" x14ac:dyDescent="0.25">
      <c r="A291" s="1913" t="s">
        <v>153</v>
      </c>
      <c r="B291" s="1913"/>
      <c r="C291" s="1913"/>
      <c r="D291" s="1913"/>
      <c r="E291" s="1913"/>
      <c r="F291" s="1913"/>
      <c r="G291" s="1913"/>
      <c r="H291" s="1913"/>
      <c r="I291" s="1913"/>
      <c r="J291" s="1594"/>
      <c r="K291" s="61"/>
      <c r="L291" s="61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</row>
    <row r="292" spans="1:28" hidden="1" x14ac:dyDescent="0.25">
      <c r="A292" s="1891" t="s">
        <v>619</v>
      </c>
      <c r="B292" s="1891"/>
      <c r="C292" s="1891"/>
      <c r="D292" s="1891"/>
      <c r="E292" s="1891"/>
      <c r="F292" s="1891"/>
      <c r="G292" s="1891"/>
      <c r="H292" s="1891"/>
      <c r="I292" s="1891"/>
      <c r="J292" s="1588">
        <f>J288-J290-J291-J293</f>
        <v>0</v>
      </c>
      <c r="K292" s="61"/>
      <c r="L292" s="61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</row>
    <row r="293" spans="1:28" hidden="1" x14ac:dyDescent="0.25">
      <c r="A293" s="1891" t="s">
        <v>1147</v>
      </c>
      <c r="B293" s="1891"/>
      <c r="C293" s="1891"/>
      <c r="D293" s="1891"/>
      <c r="E293" s="1891"/>
      <c r="F293" s="1891"/>
      <c r="G293" s="1891"/>
      <c r="H293" s="1891"/>
      <c r="I293" s="1891"/>
      <c r="J293" s="360">
        <v>0</v>
      </c>
      <c r="K293" s="87"/>
      <c r="L293" s="81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</row>
    <row r="294" spans="1:28" hidden="1" x14ac:dyDescent="0.25">
      <c r="A294" s="1689"/>
      <c r="B294" s="1690"/>
      <c r="C294" s="1690"/>
      <c r="D294" s="1690"/>
      <c r="E294" s="1690"/>
      <c r="F294" s="1690"/>
      <c r="G294" s="1690"/>
      <c r="H294" s="1690"/>
      <c r="I294" s="1690"/>
      <c r="J294" s="64"/>
      <c r="K294" s="351"/>
      <c r="L294" s="81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</row>
    <row r="295" spans="1:28" hidden="1" x14ac:dyDescent="0.25">
      <c r="A295" s="1644" t="s">
        <v>307</v>
      </c>
      <c r="K295" s="344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</row>
    <row r="296" spans="1:28" hidden="1" x14ac:dyDescent="0.25">
      <c r="A296" s="1898" t="s">
        <v>8</v>
      </c>
      <c r="B296" s="1898" t="s">
        <v>35</v>
      </c>
      <c r="C296" s="1898"/>
      <c r="D296" s="1898"/>
      <c r="E296" s="1898"/>
      <c r="F296" s="1898" t="s">
        <v>272</v>
      </c>
      <c r="G296" s="1899" t="s">
        <v>1476</v>
      </c>
      <c r="H296" s="1998"/>
      <c r="I296" s="1998"/>
      <c r="J296" s="1999"/>
      <c r="K296" s="344" t="s">
        <v>1478</v>
      </c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</row>
    <row r="297" spans="1:28" ht="32.25" hidden="1" customHeight="1" x14ac:dyDescent="0.25">
      <c r="A297" s="1898"/>
      <c r="B297" s="1898"/>
      <c r="C297" s="1898"/>
      <c r="D297" s="1898"/>
      <c r="E297" s="1898"/>
      <c r="F297" s="1898"/>
      <c r="G297" s="1581" t="s">
        <v>248</v>
      </c>
      <c r="H297" s="1581" t="s">
        <v>274</v>
      </c>
      <c r="I297" s="1588" t="s">
        <v>264</v>
      </c>
      <c r="J297" s="1588" t="s">
        <v>256</v>
      </c>
      <c r="K297" s="344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</row>
    <row r="298" spans="1:28" ht="15" hidden="1" customHeight="1" x14ac:dyDescent="0.25">
      <c r="A298" s="1902" t="s">
        <v>725</v>
      </c>
      <c r="B298" s="2104"/>
      <c r="C298" s="2105"/>
      <c r="D298" s="2104"/>
      <c r="E298" s="2104"/>
      <c r="F298" s="2104"/>
      <c r="G298" s="2104"/>
      <c r="H298" s="2104"/>
      <c r="I298" s="2104"/>
      <c r="J298" s="2106"/>
      <c r="K298" s="344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</row>
    <row r="299" spans="1:28" hidden="1" x14ac:dyDescent="0.25">
      <c r="A299" s="1581">
        <v>1</v>
      </c>
      <c r="B299" s="2097" t="s">
        <v>497</v>
      </c>
      <c r="C299" s="2064"/>
      <c r="D299" s="2064"/>
      <c r="E299" s="2064"/>
      <c r="F299" s="1581" t="s">
        <v>750</v>
      </c>
      <c r="G299" s="59"/>
      <c r="H299" s="59">
        <f>12-7-1-1</f>
        <v>3</v>
      </c>
      <c r="I299" s="1588">
        <v>850</v>
      </c>
      <c r="J299" s="1588">
        <f>G299*H299*I299</f>
        <v>0</v>
      </c>
      <c r="K299" s="344"/>
      <c r="L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</row>
    <row r="300" spans="1:28" hidden="1" x14ac:dyDescent="0.25">
      <c r="A300" s="2098" t="s">
        <v>39</v>
      </c>
      <c r="B300" s="2099"/>
      <c r="C300" s="2100"/>
      <c r="D300" s="2099"/>
      <c r="E300" s="2099"/>
      <c r="F300" s="2099"/>
      <c r="G300" s="2099"/>
      <c r="H300" s="2099"/>
      <c r="I300" s="2101"/>
      <c r="J300" s="1343">
        <f>SUM(J299:J299)</f>
        <v>0</v>
      </c>
      <c r="K300" s="344">
        <v>0</v>
      </c>
      <c r="L300" s="81">
        <f>J300-K300</f>
        <v>0</v>
      </c>
      <c r="M300" s="75" t="s">
        <v>1372</v>
      </c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</row>
    <row r="301" spans="1:28" ht="15.75" hidden="1" customHeight="1" x14ac:dyDescent="0.25">
      <c r="A301" s="1924" t="s">
        <v>514</v>
      </c>
      <c r="B301" s="1925"/>
      <c r="C301" s="1925"/>
      <c r="D301" s="1925"/>
      <c r="E301" s="1925"/>
      <c r="F301" s="1925"/>
      <c r="G301" s="1925"/>
      <c r="H301" s="1925"/>
      <c r="I301" s="1925"/>
      <c r="J301" s="1925"/>
      <c r="K301" s="344"/>
      <c r="L301" s="70"/>
      <c r="M301" s="75" t="s">
        <v>1372</v>
      </c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</row>
    <row r="302" spans="1:28" hidden="1" x14ac:dyDescent="0.25">
      <c r="A302" s="1913" t="s">
        <v>1134</v>
      </c>
      <c r="B302" s="1913"/>
      <c r="C302" s="1913"/>
      <c r="D302" s="1913"/>
      <c r="E302" s="1913"/>
      <c r="F302" s="1913"/>
      <c r="G302" s="1913"/>
      <c r="H302" s="1913"/>
      <c r="I302" s="1913"/>
      <c r="J302" s="1594">
        <v>0</v>
      </c>
      <c r="K302" s="344"/>
      <c r="L302" s="70"/>
      <c r="M302" s="75" t="s">
        <v>1372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</row>
    <row r="303" spans="1:28" hidden="1" x14ac:dyDescent="0.25">
      <c r="A303" s="1913" t="s">
        <v>153</v>
      </c>
      <c r="B303" s="1913"/>
      <c r="C303" s="1913"/>
      <c r="D303" s="1913"/>
      <c r="E303" s="1913"/>
      <c r="F303" s="1913"/>
      <c r="G303" s="1913"/>
      <c r="H303" s="1913"/>
      <c r="I303" s="1913"/>
      <c r="J303" s="1594"/>
      <c r="K303" s="61"/>
      <c r="L303" s="61"/>
      <c r="M303" s="75" t="s">
        <v>1372</v>
      </c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</row>
    <row r="304" spans="1:28" hidden="1" x14ac:dyDescent="0.25">
      <c r="A304" s="1891" t="s">
        <v>619</v>
      </c>
      <c r="B304" s="1891"/>
      <c r="C304" s="1891"/>
      <c r="D304" s="1891"/>
      <c r="E304" s="1891"/>
      <c r="F304" s="1891"/>
      <c r="G304" s="1891"/>
      <c r="H304" s="1891"/>
      <c r="I304" s="1891"/>
      <c r="J304" s="1588">
        <f>J300-J302-J303-J305</f>
        <v>0</v>
      </c>
      <c r="K304" s="344"/>
      <c r="L304" s="81"/>
      <c r="M304" s="75" t="s">
        <v>1372</v>
      </c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</row>
    <row r="305" spans="1:29" s="75" customFormat="1" hidden="1" x14ac:dyDescent="0.25">
      <c r="A305" s="1892" t="s">
        <v>1147</v>
      </c>
      <c r="B305" s="2010"/>
      <c r="C305" s="2010"/>
      <c r="D305" s="2010"/>
      <c r="E305" s="2010"/>
      <c r="F305" s="2010"/>
      <c r="G305" s="2010"/>
      <c r="H305" s="2010"/>
      <c r="I305" s="2129"/>
      <c r="J305" s="360">
        <v>0</v>
      </c>
      <c r="K305" s="344"/>
      <c r="M305" s="75" t="s">
        <v>1372</v>
      </c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</row>
    <row r="306" spans="1:29" s="75" customFormat="1" hidden="1" x14ac:dyDescent="0.25">
      <c r="A306" s="1644"/>
      <c r="B306" s="1644"/>
      <c r="C306" s="1644"/>
      <c r="D306" s="1644"/>
      <c r="E306" s="1644"/>
      <c r="F306" s="1644"/>
      <c r="G306" s="1644"/>
      <c r="H306" s="60"/>
      <c r="I306" s="69"/>
      <c r="J306" s="69"/>
      <c r="K306" s="718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</row>
    <row r="307" spans="1:29" s="75" customFormat="1" hidden="1" x14ac:dyDescent="0.25">
      <c r="A307" s="1644" t="s">
        <v>307</v>
      </c>
      <c r="B307" s="1645"/>
      <c r="C307" s="1645"/>
      <c r="D307" s="1645"/>
      <c r="E307" s="94"/>
      <c r="F307" s="1645"/>
      <c r="G307" s="1644"/>
      <c r="H307" s="60"/>
      <c r="I307" s="60"/>
      <c r="J307" s="85"/>
      <c r="K307" s="718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</row>
    <row r="308" spans="1:29" s="75" customFormat="1" ht="30" hidden="1" x14ac:dyDescent="0.25">
      <c r="A308" s="1581" t="s">
        <v>8</v>
      </c>
      <c r="B308" s="1899" t="s">
        <v>35</v>
      </c>
      <c r="C308" s="1998"/>
      <c r="D308" s="1900"/>
      <c r="E308" s="1900"/>
      <c r="F308" s="1900"/>
      <c r="G308" s="1900"/>
      <c r="H308" s="1900"/>
      <c r="I308" s="1901"/>
      <c r="J308" s="1581" t="s">
        <v>256</v>
      </c>
      <c r="K308" s="718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</row>
    <row r="309" spans="1:29" s="75" customFormat="1" hidden="1" x14ac:dyDescent="0.25">
      <c r="A309" s="1630">
        <v>1</v>
      </c>
      <c r="B309" s="2462" t="s">
        <v>497</v>
      </c>
      <c r="C309" s="2463"/>
      <c r="D309" s="2464"/>
      <c r="E309" s="2464"/>
      <c r="F309" s="2464"/>
      <c r="G309" s="2464"/>
      <c r="H309" s="2464"/>
      <c r="I309" s="2465"/>
      <c r="J309" s="393"/>
      <c r="K309" s="718"/>
      <c r="L309" s="75" t="s">
        <v>1372</v>
      </c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</row>
    <row r="310" spans="1:29" s="75" customFormat="1" hidden="1" x14ac:dyDescent="0.25">
      <c r="A310" s="1946" t="s">
        <v>39</v>
      </c>
      <c r="B310" s="1947"/>
      <c r="C310" s="2096"/>
      <c r="D310" s="1947"/>
      <c r="E310" s="1947"/>
      <c r="F310" s="1947"/>
      <c r="G310" s="1947"/>
      <c r="H310" s="1947"/>
      <c r="I310" s="1948"/>
      <c r="J310" s="101">
        <f>SUM(J309:J309)</f>
        <v>0</v>
      </c>
      <c r="K310" s="718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</row>
    <row r="311" spans="1:29" s="75" customFormat="1" hidden="1" x14ac:dyDescent="0.25">
      <c r="A311" s="1644"/>
      <c r="B311" s="1644"/>
      <c r="C311" s="1644"/>
      <c r="D311" s="1644"/>
      <c r="E311" s="1644"/>
      <c r="F311" s="1644"/>
      <c r="G311" s="1644"/>
      <c r="H311" s="60"/>
      <c r="I311" s="69"/>
      <c r="J311" s="69"/>
      <c r="K311" s="718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</row>
    <row r="312" spans="1:29" s="75" customFormat="1" x14ac:dyDescent="0.25">
      <c r="A312" s="71" t="s">
        <v>63</v>
      </c>
      <c r="B312" s="71"/>
      <c r="C312" s="71"/>
      <c r="D312" s="71"/>
      <c r="E312" s="94" t="s">
        <v>77</v>
      </c>
      <c r="F312" s="71"/>
      <c r="G312" s="72"/>
      <c r="H312" s="74"/>
      <c r="I312" s="74"/>
      <c r="J312" s="92">
        <f>SUM(J313:J315)</f>
        <v>238097.66</v>
      </c>
      <c r="K312" s="363"/>
      <c r="L312" s="773"/>
    </row>
    <row r="313" spans="1:29" s="75" customFormat="1" x14ac:dyDescent="0.25">
      <c r="A313" s="71" t="s">
        <v>27</v>
      </c>
      <c r="B313" s="71"/>
      <c r="C313" s="71"/>
      <c r="D313" s="71"/>
      <c r="E313" s="94" t="s">
        <v>34</v>
      </c>
      <c r="F313" s="71"/>
      <c r="G313" s="72"/>
      <c r="H313" s="74"/>
      <c r="I313" s="74"/>
      <c r="J313" s="92">
        <f>J324</f>
        <v>27592.87</v>
      </c>
      <c r="K313" s="83">
        <v>0</v>
      </c>
      <c r="L313" s="91" t="b">
        <f>J313=K313</f>
        <v>0</v>
      </c>
      <c r="M313" s="79"/>
    </row>
    <row r="314" spans="1:29" s="75" customFormat="1" ht="14.25" customHeight="1" x14ac:dyDescent="0.25">
      <c r="A314" s="71" t="s">
        <v>27</v>
      </c>
      <c r="B314" s="71"/>
      <c r="C314" s="71"/>
      <c r="D314" s="71"/>
      <c r="E314" s="94" t="s">
        <v>142</v>
      </c>
      <c r="F314" s="71"/>
      <c r="G314" s="72"/>
      <c r="H314" s="74"/>
      <c r="I314" s="74"/>
      <c r="J314" s="92">
        <f>J325</f>
        <v>210504.79</v>
      </c>
      <c r="K314" s="83">
        <v>0</v>
      </c>
      <c r="L314" s="91" t="b">
        <f>J314=K314</f>
        <v>0</v>
      </c>
      <c r="M314" s="79"/>
    </row>
    <row r="315" spans="1:29" s="75" customFormat="1" ht="14.25" hidden="1" customHeight="1" x14ac:dyDescent="0.25">
      <c r="A315" s="71" t="s">
        <v>27</v>
      </c>
      <c r="B315" s="71"/>
      <c r="C315" s="71"/>
      <c r="D315" s="71"/>
      <c r="E315" s="94" t="s">
        <v>119</v>
      </c>
      <c r="F315" s="71"/>
      <c r="G315" s="72"/>
      <c r="H315" s="74"/>
      <c r="I315" s="74"/>
      <c r="J315" s="92"/>
    </row>
    <row r="316" spans="1:29" ht="16.5" customHeight="1" x14ac:dyDescent="0.25">
      <c r="A316" s="1644" t="s">
        <v>306</v>
      </c>
      <c r="I316" s="69"/>
      <c r="J316" s="69"/>
      <c r="K316" s="174"/>
      <c r="L316" s="81"/>
      <c r="M316" s="81"/>
      <c r="N316" s="70"/>
      <c r="O316" s="70"/>
      <c r="P316" s="70"/>
      <c r="Q316" s="70"/>
      <c r="R316" s="70"/>
      <c r="S316" s="70"/>
      <c r="T316" s="70"/>
      <c r="U316" s="70"/>
      <c r="V316" s="70"/>
      <c r="W316" s="70"/>
    </row>
    <row r="317" spans="1:29" ht="15" customHeight="1" x14ac:dyDescent="0.25">
      <c r="A317" s="1898" t="s">
        <v>8</v>
      </c>
      <c r="B317" s="1898" t="s">
        <v>35</v>
      </c>
      <c r="C317" s="1898"/>
      <c r="D317" s="1898"/>
      <c r="E317" s="1898"/>
      <c r="F317" s="1898" t="s">
        <v>272</v>
      </c>
      <c r="G317" s="1899" t="s">
        <v>1827</v>
      </c>
      <c r="H317" s="1911"/>
      <c r="I317" s="1911"/>
      <c r="J317" s="1912"/>
      <c r="K317" s="81" t="s">
        <v>1478</v>
      </c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</row>
    <row r="318" spans="1:29" ht="45" x14ac:dyDescent="0.25">
      <c r="A318" s="1898"/>
      <c r="B318" s="1898"/>
      <c r="C318" s="1898"/>
      <c r="D318" s="1898"/>
      <c r="E318" s="1898"/>
      <c r="F318" s="1898"/>
      <c r="G318" s="1581" t="s">
        <v>515</v>
      </c>
      <c r="H318" s="1581" t="s">
        <v>55</v>
      </c>
      <c r="I318" s="1588" t="s">
        <v>265</v>
      </c>
      <c r="J318" s="1588" t="s">
        <v>256</v>
      </c>
      <c r="K318" s="81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</row>
    <row r="319" spans="1:29" ht="30" hidden="1" x14ac:dyDescent="0.25">
      <c r="A319" s="2042">
        <v>1</v>
      </c>
      <c r="B319" s="2108" t="s">
        <v>1841</v>
      </c>
      <c r="C319" s="2109"/>
      <c r="D319" s="2109"/>
      <c r="E319" s="2109"/>
      <c r="F319" s="1175" t="s">
        <v>1646</v>
      </c>
      <c r="G319" s="1612" t="s">
        <v>1842</v>
      </c>
      <c r="H319" s="1363"/>
      <c r="I319" s="1695">
        <v>946.84799999999996</v>
      </c>
      <c r="J319" s="1367">
        <f>H319*I319</f>
        <v>0</v>
      </c>
      <c r="K319" s="1656"/>
      <c r="L319" s="1044"/>
      <c r="M319" s="1045"/>
      <c r="N319" s="1658"/>
      <c r="O319" s="70"/>
    </row>
    <row r="320" spans="1:29" ht="30" hidden="1" customHeight="1" x14ac:dyDescent="0.25">
      <c r="A320" s="2042"/>
      <c r="B320" s="2110"/>
      <c r="C320" s="2111"/>
      <c r="D320" s="2111"/>
      <c r="E320" s="2111"/>
      <c r="F320" s="1175" t="s">
        <v>1646</v>
      </c>
      <c r="G320" s="1612" t="s">
        <v>1843</v>
      </c>
      <c r="H320" s="1363"/>
      <c r="I320" s="1695">
        <v>946.84799999999996</v>
      </c>
      <c r="J320" s="1367">
        <f>H320*I320</f>
        <v>0</v>
      </c>
      <c r="K320" s="1656"/>
      <c r="L320" s="1696"/>
      <c r="M320" s="2"/>
      <c r="N320" s="1658"/>
      <c r="O320" s="70"/>
    </row>
    <row r="321" spans="1:38" ht="30" customHeight="1" x14ac:dyDescent="0.25">
      <c r="A321" s="2043"/>
      <c r="B321" s="2032"/>
      <c r="C321" s="2033"/>
      <c r="D321" s="2033"/>
      <c r="E321" s="2033"/>
      <c r="F321" s="1175" t="s">
        <v>1646</v>
      </c>
      <c r="G321" s="1612" t="s">
        <v>1844</v>
      </c>
      <c r="H321" s="1363">
        <v>224</v>
      </c>
      <c r="I321" s="1368">
        <v>1062.9359999999999</v>
      </c>
      <c r="J321" s="1363">
        <f>H321*I321</f>
        <v>238097.66</v>
      </c>
      <c r="K321" s="1656"/>
      <c r="L321" s="1697"/>
      <c r="M321" s="2"/>
      <c r="N321" s="1658"/>
      <c r="O321" s="70"/>
    </row>
    <row r="322" spans="1:38" x14ac:dyDescent="0.25">
      <c r="A322" s="2035" t="s">
        <v>39</v>
      </c>
      <c r="B322" s="2035"/>
      <c r="C322" s="2035"/>
      <c r="D322" s="2035"/>
      <c r="E322" s="2035"/>
      <c r="F322" s="2035"/>
      <c r="G322" s="2035"/>
      <c r="H322" s="2035"/>
      <c r="I322" s="2035"/>
      <c r="J322" s="1369">
        <f>SUM(J319:J321)</f>
        <v>238097.66</v>
      </c>
      <c r="K322" s="341"/>
      <c r="L322" s="70"/>
      <c r="M322" s="70"/>
      <c r="N322" s="1698"/>
      <c r="O322" s="1699"/>
    </row>
    <row r="323" spans="1:38" ht="15" customHeight="1" x14ac:dyDescent="0.25">
      <c r="A323" s="1952" t="s">
        <v>514</v>
      </c>
      <c r="B323" s="1952"/>
      <c r="C323" s="1952"/>
      <c r="D323" s="1952"/>
      <c r="E323" s="1952"/>
      <c r="F323" s="1952"/>
      <c r="G323" s="1952"/>
      <c r="H323" s="1952"/>
      <c r="I323" s="1952"/>
      <c r="J323" s="1542"/>
      <c r="K323" s="1644"/>
      <c r="L323" s="1644"/>
      <c r="M323" s="1644"/>
      <c r="N323" s="1644"/>
      <c r="O323" s="60"/>
      <c r="P323" s="69"/>
      <c r="Q323" s="69"/>
      <c r="R323" s="81"/>
      <c r="S323" s="70"/>
      <c r="T323" s="70"/>
      <c r="U323" s="70"/>
      <c r="V323" s="70"/>
      <c r="W323" s="79"/>
      <c r="X323" s="79"/>
      <c r="Y323" s="79"/>
      <c r="Z323" s="79"/>
      <c r="AA323" s="79"/>
      <c r="AB323" s="79"/>
      <c r="AC323" s="79"/>
      <c r="AD323" s="79"/>
      <c r="AE323" s="79"/>
      <c r="AF323" s="79"/>
      <c r="AG323" s="79"/>
      <c r="AH323" s="79"/>
      <c r="AI323" s="79"/>
      <c r="AJ323" s="79"/>
      <c r="AK323" s="75"/>
      <c r="AL323" s="75"/>
    </row>
    <row r="324" spans="1:38" ht="15" customHeight="1" x14ac:dyDescent="0.25">
      <c r="A324" s="1929" t="s">
        <v>2029</v>
      </c>
      <c r="B324" s="1929"/>
      <c r="C324" s="1929"/>
      <c r="D324" s="1929"/>
      <c r="E324" s="1929"/>
      <c r="F324" s="1929"/>
      <c r="G324" s="1929"/>
      <c r="H324" s="1929"/>
      <c r="I324" s="1929"/>
      <c r="J324" s="1363">
        <f>37592.87-10000</f>
        <v>27592.87</v>
      </c>
      <c r="K324" s="351"/>
      <c r="L324" s="83"/>
      <c r="M324" s="82"/>
      <c r="N324" s="1644"/>
      <c r="O324" s="60"/>
      <c r="P324" s="69"/>
      <c r="Q324" s="69"/>
      <c r="R324" s="81"/>
      <c r="S324" s="70"/>
      <c r="T324" s="70"/>
      <c r="U324" s="70"/>
      <c r="V324" s="70"/>
      <c r="W324" s="79"/>
      <c r="X324" s="79"/>
      <c r="Y324" s="79"/>
      <c r="Z324" s="79"/>
      <c r="AA324" s="79"/>
      <c r="AB324" s="79"/>
      <c r="AC324" s="79"/>
      <c r="AD324" s="79"/>
      <c r="AE324" s="79"/>
      <c r="AF324" s="79"/>
      <c r="AG324" s="79"/>
      <c r="AH324" s="79"/>
      <c r="AI324" s="79"/>
      <c r="AJ324" s="79"/>
      <c r="AK324" s="75"/>
      <c r="AL324" s="75"/>
    </row>
    <row r="325" spans="1:38" ht="15" customHeight="1" x14ac:dyDescent="0.25">
      <c r="A325" s="1929" t="s">
        <v>2030</v>
      </c>
      <c r="B325" s="1929"/>
      <c r="C325" s="1929"/>
      <c r="D325" s="1929"/>
      <c r="E325" s="1929"/>
      <c r="F325" s="1929"/>
      <c r="G325" s="1929"/>
      <c r="H325" s="1929"/>
      <c r="I325" s="1929"/>
      <c r="J325" s="1363">
        <f>J322-J324</f>
        <v>210504.79</v>
      </c>
      <c r="K325" s="61"/>
      <c r="L325" s="61"/>
      <c r="M325" s="82"/>
      <c r="N325" s="1543"/>
      <c r="O325" s="60"/>
      <c r="P325" s="69"/>
      <c r="Q325" s="69"/>
      <c r="R325" s="81"/>
      <c r="S325" s="70"/>
      <c r="T325" s="70"/>
      <c r="U325" s="70"/>
      <c r="V325" s="70"/>
      <c r="W325" s="79"/>
      <c r="X325" s="79"/>
      <c r="Y325" s="79"/>
      <c r="Z325" s="79"/>
      <c r="AA325" s="79"/>
      <c r="AB325" s="79"/>
      <c r="AC325" s="79"/>
      <c r="AD325" s="79"/>
      <c r="AE325" s="79"/>
      <c r="AF325" s="79"/>
      <c r="AG325" s="79"/>
      <c r="AH325" s="79"/>
      <c r="AI325" s="79"/>
      <c r="AJ325" s="79"/>
      <c r="AK325" s="75"/>
      <c r="AL325" s="75"/>
    </row>
    <row r="326" spans="1:38" x14ac:dyDescent="0.25">
      <c r="A326" s="1600"/>
      <c r="B326" s="1600"/>
      <c r="C326" s="1600"/>
      <c r="D326" s="1600"/>
      <c r="E326" s="1600"/>
      <c r="F326" s="1600"/>
      <c r="G326" s="1600"/>
      <c r="H326" s="1600"/>
      <c r="I326" s="1600"/>
      <c r="J326" s="741"/>
      <c r="K326" s="341"/>
      <c r="L326" s="70"/>
      <c r="M326" s="70"/>
      <c r="N326" s="1698"/>
      <c r="O326" s="1699"/>
    </row>
    <row r="327" spans="1:38" x14ac:dyDescent="0.25">
      <c r="A327" s="71" t="s">
        <v>63</v>
      </c>
      <c r="B327" s="71"/>
      <c r="C327" s="71"/>
      <c r="D327" s="71"/>
      <c r="E327" s="94" t="s">
        <v>78</v>
      </c>
      <c r="F327" s="71"/>
      <c r="G327" s="72"/>
      <c r="H327" s="74"/>
      <c r="I327" s="74"/>
      <c r="J327" s="92">
        <f>J328+J511</f>
        <v>941600.01</v>
      </c>
      <c r="K327" s="341"/>
      <c r="L327" s="2" t="s">
        <v>1284</v>
      </c>
      <c r="O327" s="765"/>
      <c r="P327" s="70"/>
      <c r="Q327" s="70"/>
      <c r="R327" s="70"/>
      <c r="S327" s="70"/>
      <c r="T327" s="70"/>
    </row>
    <row r="328" spans="1:38" x14ac:dyDescent="0.25">
      <c r="A328" s="1645" t="s">
        <v>27</v>
      </c>
      <c r="B328" s="1645"/>
      <c r="C328" s="1645"/>
      <c r="D328" s="1645"/>
      <c r="E328" s="773" t="s">
        <v>34</v>
      </c>
      <c r="F328" s="71"/>
      <c r="J328" s="85">
        <f>J479+J488+J500+J508</f>
        <v>895788.51</v>
      </c>
      <c r="K328" s="341"/>
      <c r="L328" s="2" t="s">
        <v>1285</v>
      </c>
      <c r="M328" s="341"/>
      <c r="N328" s="341"/>
      <c r="O328" s="765"/>
    </row>
    <row r="329" spans="1:38" s="765" customFormat="1" hidden="1" x14ac:dyDescent="0.25">
      <c r="A329" s="1644" t="s">
        <v>1080</v>
      </c>
      <c r="B329" s="72"/>
      <c r="C329" s="72"/>
      <c r="D329" s="75"/>
      <c r="E329" s="71"/>
      <c r="F329" s="1644"/>
      <c r="G329" s="1644"/>
      <c r="H329" s="60"/>
      <c r="I329" s="69"/>
      <c r="J329" s="69"/>
    </row>
    <row r="330" spans="1:38" s="765" customFormat="1" ht="15" hidden="1" customHeight="1" x14ac:dyDescent="0.25">
      <c r="A330" s="1898" t="s">
        <v>8</v>
      </c>
      <c r="B330" s="1914" t="s">
        <v>1</v>
      </c>
      <c r="C330" s="1916"/>
      <c r="D330" s="1915"/>
      <c r="E330" s="1915"/>
      <c r="F330" s="1898" t="s">
        <v>735</v>
      </c>
      <c r="G330" s="1898"/>
      <c r="H330" s="1898"/>
      <c r="I330" s="1898"/>
      <c r="J330" s="1898"/>
      <c r="P330" s="838"/>
    </row>
    <row r="331" spans="1:38" s="765" customFormat="1" ht="30" hidden="1" x14ac:dyDescent="0.25">
      <c r="A331" s="1898"/>
      <c r="B331" s="1918"/>
      <c r="C331" s="1919"/>
      <c r="D331" s="1919"/>
      <c r="E331" s="1919"/>
      <c r="F331" s="1581" t="s">
        <v>736</v>
      </c>
      <c r="G331" s="1581" t="s">
        <v>737</v>
      </c>
      <c r="H331" s="1581" t="s">
        <v>738</v>
      </c>
      <c r="I331" s="1588" t="s">
        <v>254</v>
      </c>
      <c r="J331" s="1588" t="s">
        <v>256</v>
      </c>
      <c r="K331" s="61"/>
      <c r="L331" s="1603"/>
      <c r="M331" s="1603"/>
      <c r="N331" s="1603"/>
    </row>
    <row r="332" spans="1:38" s="765" customFormat="1" ht="15" hidden="1" customHeight="1" x14ac:dyDescent="0.25">
      <c r="A332" s="1902" t="s">
        <v>1325</v>
      </c>
      <c r="B332" s="2104"/>
      <c r="C332" s="2105"/>
      <c r="D332" s="2104"/>
      <c r="E332" s="2104"/>
      <c r="F332" s="2104"/>
      <c r="G332" s="2104"/>
      <c r="H332" s="2104"/>
      <c r="I332" s="2104"/>
      <c r="J332" s="2106"/>
      <c r="K332" s="61"/>
      <c r="L332" s="1603"/>
      <c r="M332" s="1603"/>
      <c r="N332" s="1603"/>
    </row>
    <row r="333" spans="1:38" s="765" customFormat="1" hidden="1" x14ac:dyDescent="0.25">
      <c r="A333" s="1630">
        <v>1</v>
      </c>
      <c r="B333" s="1921" t="s">
        <v>1079</v>
      </c>
      <c r="C333" s="2006"/>
      <c r="D333" s="1922"/>
      <c r="E333" s="1922"/>
      <c r="F333" s="1588" t="s">
        <v>739</v>
      </c>
      <c r="G333" s="1588">
        <v>4428.8</v>
      </c>
      <c r="H333" s="1801">
        <v>2.70005E-2</v>
      </c>
      <c r="I333" s="59">
        <v>10</v>
      </c>
      <c r="J333" s="1588">
        <f>G333*H333*I333</f>
        <v>1195.8</v>
      </c>
      <c r="K333" s="61"/>
      <c r="L333" s="1603"/>
      <c r="M333" s="1603"/>
      <c r="N333" s="1603"/>
    </row>
    <row r="334" spans="1:38" s="765" customFormat="1" hidden="1" x14ac:dyDescent="0.25">
      <c r="A334" s="2092">
        <f>A333+1</f>
        <v>2</v>
      </c>
      <c r="B334" s="2029" t="s">
        <v>740</v>
      </c>
      <c r="C334" s="2030"/>
      <c r="D334" s="2030"/>
      <c r="E334" s="2031"/>
      <c r="F334" s="2102" t="s">
        <v>739</v>
      </c>
      <c r="G334" s="2102">
        <v>4428.8</v>
      </c>
      <c r="H334" s="1801">
        <v>2.70005E-2</v>
      </c>
      <c r="I334" s="59">
        <v>10</v>
      </c>
      <c r="J334" s="1588">
        <f>G334*H334*I334</f>
        <v>1195.8</v>
      </c>
      <c r="K334" s="61"/>
      <c r="L334" s="1603"/>
      <c r="M334" s="1603"/>
      <c r="N334" s="1603"/>
    </row>
    <row r="335" spans="1:38" s="765" customFormat="1" hidden="1" x14ac:dyDescent="0.25">
      <c r="A335" s="1906"/>
      <c r="B335" s="2032"/>
      <c r="C335" s="2033"/>
      <c r="D335" s="2033"/>
      <c r="E335" s="2034"/>
      <c r="F335" s="2103"/>
      <c r="G335" s="2103"/>
      <c r="H335" s="875">
        <v>9.3437999999999993E-2</v>
      </c>
      <c r="I335" s="59"/>
      <c r="J335" s="1588">
        <f>G334*H335*I335</f>
        <v>0</v>
      </c>
      <c r="K335" s="61"/>
      <c r="L335" s="1603"/>
      <c r="M335" s="1603"/>
      <c r="N335" s="1603"/>
    </row>
    <row r="336" spans="1:38" s="765" customFormat="1" ht="15" hidden="1" customHeight="1" x14ac:dyDescent="0.25">
      <c r="A336" s="1902" t="s">
        <v>1326</v>
      </c>
      <c r="B336" s="2104"/>
      <c r="C336" s="2105"/>
      <c r="D336" s="2104"/>
      <c r="E336" s="2104"/>
      <c r="F336" s="2104"/>
      <c r="G336" s="2104"/>
      <c r="H336" s="2104"/>
      <c r="I336" s="2104"/>
      <c r="J336" s="2106"/>
      <c r="K336" s="61"/>
      <c r="L336" s="1603"/>
      <c r="M336" s="1603"/>
      <c r="N336" s="1603"/>
    </row>
    <row r="337" spans="1:15" s="765" customFormat="1" hidden="1" x14ac:dyDescent="0.25">
      <c r="A337" s="1630">
        <v>3</v>
      </c>
      <c r="B337" s="1921" t="s">
        <v>1079</v>
      </c>
      <c r="C337" s="2006"/>
      <c r="D337" s="1922"/>
      <c r="E337" s="1922"/>
      <c r="F337" s="1588" t="s">
        <v>739</v>
      </c>
      <c r="G337" s="1588">
        <v>20806.900000000001</v>
      </c>
      <c r="H337" s="1801">
        <v>2.7000199999999999E-2</v>
      </c>
      <c r="I337" s="59">
        <v>10</v>
      </c>
      <c r="J337" s="1588">
        <f>G337*H337*I337</f>
        <v>5617.9</v>
      </c>
      <c r="K337" s="61"/>
      <c r="L337" s="1603"/>
      <c r="M337" s="1603"/>
      <c r="N337" s="1603"/>
    </row>
    <row r="338" spans="1:15" s="765" customFormat="1" hidden="1" x14ac:dyDescent="0.25">
      <c r="A338" s="1630">
        <v>4</v>
      </c>
      <c r="B338" s="1921" t="s">
        <v>740</v>
      </c>
      <c r="C338" s="2006"/>
      <c r="D338" s="1922"/>
      <c r="E338" s="1922"/>
      <c r="F338" s="1588" t="s">
        <v>739</v>
      </c>
      <c r="G338" s="1588">
        <v>20806.900000000001</v>
      </c>
      <c r="H338" s="1801">
        <v>2.7000199999999999E-2</v>
      </c>
      <c r="I338" s="59">
        <v>10</v>
      </c>
      <c r="J338" s="1588">
        <f>G338*H338*I338</f>
        <v>5617.9</v>
      </c>
      <c r="K338" s="61"/>
      <c r="L338" s="1603"/>
      <c r="M338" s="1603"/>
      <c r="N338" s="1603"/>
    </row>
    <row r="339" spans="1:15" s="765" customFormat="1" hidden="1" x14ac:dyDescent="0.25">
      <c r="A339" s="1895" t="s">
        <v>39</v>
      </c>
      <c r="B339" s="1895"/>
      <c r="C339" s="1895"/>
      <c r="D339" s="1895"/>
      <c r="E339" s="1895"/>
      <c r="F339" s="1895"/>
      <c r="G339" s="1895"/>
      <c r="H339" s="1895"/>
      <c r="I339" s="1895"/>
      <c r="J339" s="1589">
        <f>SUM(J333:J338)</f>
        <v>13627.4</v>
      </c>
      <c r="K339" s="61"/>
      <c r="L339" s="1603"/>
      <c r="M339" s="1603"/>
      <c r="N339" s="1603"/>
    </row>
    <row r="340" spans="1:15" s="765" customFormat="1" ht="15" hidden="1" customHeight="1" x14ac:dyDescent="0.25">
      <c r="A340" s="1924" t="s">
        <v>514</v>
      </c>
      <c r="B340" s="1925"/>
      <c r="C340" s="1925"/>
      <c r="D340" s="1925"/>
      <c r="E340" s="1925"/>
      <c r="F340" s="1925"/>
      <c r="G340" s="1925"/>
      <c r="H340" s="1925"/>
      <c r="I340" s="1925"/>
      <c r="J340" s="1925"/>
      <c r="K340" s="61"/>
      <c r="L340" s="1603"/>
      <c r="M340" s="1603"/>
      <c r="N340" s="1603"/>
    </row>
    <row r="341" spans="1:15" s="765" customFormat="1" ht="15" hidden="1" customHeight="1" x14ac:dyDescent="0.25">
      <c r="A341" s="1913" t="s">
        <v>1134</v>
      </c>
      <c r="B341" s="1913"/>
      <c r="C341" s="1913"/>
      <c r="D341" s="1913"/>
      <c r="E341" s="1913"/>
      <c r="F341" s="1913"/>
      <c r="G341" s="1913"/>
      <c r="H341" s="1913"/>
      <c r="I341" s="1913"/>
      <c r="J341" s="1594">
        <v>0</v>
      </c>
      <c r="K341" s="61"/>
      <c r="L341" s="1603"/>
      <c r="M341" s="1603"/>
      <c r="N341" s="1603"/>
    </row>
    <row r="342" spans="1:15" s="765" customFormat="1" ht="15" hidden="1" customHeight="1" x14ac:dyDescent="0.25">
      <c r="A342" s="1913" t="s">
        <v>153</v>
      </c>
      <c r="B342" s="1913"/>
      <c r="C342" s="1913"/>
      <c r="D342" s="1913"/>
      <c r="E342" s="1913"/>
      <c r="F342" s="1913"/>
      <c r="G342" s="1913"/>
      <c r="H342" s="1913"/>
      <c r="I342" s="1913"/>
      <c r="J342" s="1594">
        <f>9539.18+1362.74*3</f>
        <v>13627.4</v>
      </c>
      <c r="K342" s="61"/>
      <c r="L342" s="1603"/>
      <c r="M342" s="1603"/>
      <c r="N342" s="1603"/>
    </row>
    <row r="343" spans="1:15" s="765" customFormat="1" ht="15" hidden="1" customHeight="1" x14ac:dyDescent="0.25">
      <c r="A343" s="1891" t="s">
        <v>619</v>
      </c>
      <c r="B343" s="1891"/>
      <c r="C343" s="1891"/>
      <c r="D343" s="1891"/>
      <c r="E343" s="1891"/>
      <c r="F343" s="1891"/>
      <c r="G343" s="1891"/>
      <c r="H343" s="1891"/>
      <c r="I343" s="1891"/>
      <c r="J343" s="1588">
        <f>J339-J341-J342-J344</f>
        <v>0</v>
      </c>
      <c r="K343" s="61"/>
      <c r="L343" s="1603"/>
      <c r="M343" s="1603"/>
      <c r="N343" s="1603"/>
    </row>
    <row r="344" spans="1:15" s="765" customFormat="1" hidden="1" x14ac:dyDescent="0.25">
      <c r="A344" s="1891" t="s">
        <v>1147</v>
      </c>
      <c r="B344" s="1891"/>
      <c r="C344" s="1891"/>
      <c r="D344" s="1891"/>
      <c r="E344" s="1891"/>
      <c r="F344" s="1891"/>
      <c r="G344" s="1891"/>
      <c r="H344" s="1891"/>
      <c r="I344" s="1891"/>
      <c r="J344" s="360">
        <v>0</v>
      </c>
      <c r="K344" s="61"/>
      <c r="L344" s="1603"/>
      <c r="M344" s="1603"/>
      <c r="N344" s="1603"/>
    </row>
    <row r="345" spans="1:15" s="765" customFormat="1" hidden="1" x14ac:dyDescent="0.25">
      <c r="A345" s="1601"/>
      <c r="B345" s="1601"/>
      <c r="C345" s="1601"/>
      <c r="D345" s="1601"/>
      <c r="E345" s="1601"/>
      <c r="F345" s="1601"/>
      <c r="G345" s="1601"/>
      <c r="H345" s="1601"/>
      <c r="I345" s="1601"/>
      <c r="J345" s="97"/>
      <c r="K345" s="61"/>
      <c r="L345" s="1603"/>
      <c r="M345" s="1603"/>
      <c r="N345" s="1603"/>
    </row>
    <row r="346" spans="1:15" s="765" customFormat="1" hidden="1" x14ac:dyDescent="0.25">
      <c r="A346" s="1" t="s">
        <v>309</v>
      </c>
      <c r="B346" s="1"/>
      <c r="C346" s="1"/>
      <c r="D346" s="1"/>
      <c r="E346" s="1"/>
      <c r="F346" s="1"/>
      <c r="G346" s="1"/>
      <c r="H346" s="4"/>
      <c r="I346" s="4"/>
      <c r="J346" s="4"/>
      <c r="K346" s="341"/>
      <c r="L346" s="829" t="s">
        <v>1286</v>
      </c>
      <c r="M346" s="83" t="e">
        <f>J358+#REF!+#REF!+J482</f>
        <v>#REF!</v>
      </c>
      <c r="N346" s="829" t="s">
        <v>1287</v>
      </c>
      <c r="O346" s="838" t="e">
        <f>K328+M346</f>
        <v>#REF!</v>
      </c>
    </row>
    <row r="347" spans="1:15" s="765" customFormat="1" hidden="1" x14ac:dyDescent="0.25">
      <c r="A347" s="2092" t="s">
        <v>8</v>
      </c>
      <c r="B347" s="1914" t="s">
        <v>1</v>
      </c>
      <c r="C347" s="1916"/>
      <c r="D347" s="1915"/>
      <c r="E347" s="1915"/>
      <c r="F347" s="1917"/>
      <c r="G347" s="1898" t="s">
        <v>1476</v>
      </c>
      <c r="H347" s="1898"/>
      <c r="I347" s="1898"/>
      <c r="J347" s="1898"/>
      <c r="K347" s="70"/>
      <c r="L347" s="1603"/>
      <c r="M347" s="1603"/>
      <c r="N347" s="1603"/>
    </row>
    <row r="348" spans="1:15" s="765" customFormat="1" ht="30" hidden="1" x14ac:dyDescent="0.25">
      <c r="A348" s="2053"/>
      <c r="B348" s="1918"/>
      <c r="C348" s="1919"/>
      <c r="D348" s="1919"/>
      <c r="E348" s="1919"/>
      <c r="F348" s="1920"/>
      <c r="G348" s="1581" t="s">
        <v>736</v>
      </c>
      <c r="H348" s="1581" t="s">
        <v>741</v>
      </c>
      <c r="I348" s="1588" t="s">
        <v>296</v>
      </c>
      <c r="J348" s="1588" t="s">
        <v>256</v>
      </c>
      <c r="K348" s="61"/>
      <c r="L348" s="1603"/>
      <c r="M348" s="1603"/>
      <c r="N348" s="1603"/>
    </row>
    <row r="349" spans="1:15" s="765" customFormat="1" hidden="1" x14ac:dyDescent="0.25">
      <c r="A349" s="1630">
        <v>1</v>
      </c>
      <c r="B349" s="1892" t="s">
        <v>1155</v>
      </c>
      <c r="C349" s="2010"/>
      <c r="D349" s="1893"/>
      <c r="E349" s="1893"/>
      <c r="F349" s="1893"/>
      <c r="G349" s="1581" t="s">
        <v>742</v>
      </c>
      <c r="H349" s="59">
        <v>10</v>
      </c>
      <c r="I349" s="1588">
        <v>120</v>
      </c>
      <c r="J349" s="1588">
        <f>H349*I349</f>
        <v>1200</v>
      </c>
      <c r="K349" s="61"/>
      <c r="L349" s="1603"/>
      <c r="M349" s="1603"/>
      <c r="N349" s="1603"/>
    </row>
    <row r="350" spans="1:15" s="765" customFormat="1" hidden="1" x14ac:dyDescent="0.25">
      <c r="A350" s="1630">
        <v>2</v>
      </c>
      <c r="B350" s="1892" t="s">
        <v>1156</v>
      </c>
      <c r="C350" s="2010"/>
      <c r="D350" s="1893"/>
      <c r="E350" s="1893"/>
      <c r="F350" s="1893"/>
      <c r="G350" s="1581" t="s">
        <v>742</v>
      </c>
      <c r="H350" s="59">
        <f>84-81</f>
        <v>3</v>
      </c>
      <c r="I350" s="1588">
        <f>150-40.15</f>
        <v>109.85</v>
      </c>
      <c r="J350" s="1588">
        <f>H350*I350</f>
        <v>329.55</v>
      </c>
      <c r="K350" s="61"/>
      <c r="L350" s="1052"/>
      <c r="M350" s="1603"/>
      <c r="N350" s="1603"/>
    </row>
    <row r="351" spans="1:15" s="765" customFormat="1" hidden="1" x14ac:dyDescent="0.25">
      <c r="A351" s="1630">
        <v>3</v>
      </c>
      <c r="B351" s="1892" t="s">
        <v>1157</v>
      </c>
      <c r="C351" s="2010"/>
      <c r="D351" s="1893"/>
      <c r="E351" s="1893"/>
      <c r="F351" s="1893"/>
      <c r="G351" s="1581" t="s">
        <v>742</v>
      </c>
      <c r="H351" s="59">
        <v>4</v>
      </c>
      <c r="I351" s="1588">
        <v>100</v>
      </c>
      <c r="J351" s="1588">
        <f>H351*I351</f>
        <v>400</v>
      </c>
      <c r="K351" s="61"/>
      <c r="L351" s="1053"/>
      <c r="M351" s="1603"/>
      <c r="N351" s="1603"/>
    </row>
    <row r="352" spans="1:15" s="765" customFormat="1" hidden="1" x14ac:dyDescent="0.25">
      <c r="A352" s="1630">
        <v>4</v>
      </c>
      <c r="B352" s="1892" t="s">
        <v>1158</v>
      </c>
      <c r="C352" s="2010"/>
      <c r="D352" s="1893"/>
      <c r="E352" s="1893"/>
      <c r="F352" s="1893"/>
      <c r="G352" s="1581" t="s">
        <v>742</v>
      </c>
      <c r="H352" s="59">
        <v>3</v>
      </c>
      <c r="I352" s="1588">
        <v>132</v>
      </c>
      <c r="J352" s="1588">
        <f>H352*I352</f>
        <v>396</v>
      </c>
      <c r="K352" s="61"/>
      <c r="L352" s="1603"/>
      <c r="M352" s="1603"/>
      <c r="N352" s="1603"/>
    </row>
    <row r="353" spans="1:14" s="765" customFormat="1" hidden="1" x14ac:dyDescent="0.25">
      <c r="A353" s="1630">
        <v>5</v>
      </c>
      <c r="B353" s="1892" t="s">
        <v>1159</v>
      </c>
      <c r="C353" s="2010"/>
      <c r="D353" s="1893"/>
      <c r="E353" s="1893"/>
      <c r="F353" s="1893"/>
      <c r="G353" s="1581" t="s">
        <v>742</v>
      </c>
      <c r="H353" s="59">
        <f>27-27</f>
        <v>0</v>
      </c>
      <c r="I353" s="1588">
        <v>170</v>
      </c>
      <c r="J353" s="1588">
        <f>H353*I353</f>
        <v>0</v>
      </c>
      <c r="K353" s="61"/>
      <c r="L353" s="1603"/>
      <c r="M353" s="1603"/>
      <c r="N353" s="1603"/>
    </row>
    <row r="354" spans="1:14" s="765" customFormat="1" hidden="1" x14ac:dyDescent="0.25">
      <c r="A354" s="1895" t="s">
        <v>39</v>
      </c>
      <c r="B354" s="1895"/>
      <c r="C354" s="1895"/>
      <c r="D354" s="1895"/>
      <c r="E354" s="1895"/>
      <c r="F354" s="1895"/>
      <c r="G354" s="1895"/>
      <c r="H354" s="1895"/>
      <c r="I354" s="1895"/>
      <c r="J354" s="1589">
        <f>SUM(J349:J353)</f>
        <v>2325.5500000000002</v>
      </c>
      <c r="K354" s="61"/>
      <c r="L354" s="780"/>
      <c r="M354" s="780"/>
      <c r="N354" s="1603"/>
    </row>
    <row r="355" spans="1:14" s="765" customFormat="1" hidden="1" x14ac:dyDescent="0.25">
      <c r="A355" s="1924" t="s">
        <v>514</v>
      </c>
      <c r="B355" s="1925"/>
      <c r="C355" s="1925"/>
      <c r="D355" s="1925"/>
      <c r="E355" s="1925"/>
      <c r="F355" s="1925"/>
      <c r="G355" s="1925"/>
      <c r="H355" s="1925"/>
      <c r="I355" s="1925"/>
      <c r="J355" s="1925"/>
      <c r="K355" s="61"/>
      <c r="L355" s="1603"/>
      <c r="M355" s="1603"/>
      <c r="N355" s="1603"/>
    </row>
    <row r="356" spans="1:14" s="765" customFormat="1" hidden="1" x14ac:dyDescent="0.25">
      <c r="A356" s="1913" t="s">
        <v>1134</v>
      </c>
      <c r="B356" s="1913"/>
      <c r="C356" s="1913"/>
      <c r="D356" s="1913"/>
      <c r="E356" s="1913"/>
      <c r="F356" s="1913"/>
      <c r="G356" s="1913"/>
      <c r="H356" s="1913"/>
      <c r="I356" s="1913"/>
      <c r="J356" s="1594">
        <v>0</v>
      </c>
      <c r="K356" s="61"/>
      <c r="L356" s="1603"/>
      <c r="M356" s="1603"/>
      <c r="N356" s="1603"/>
    </row>
    <row r="357" spans="1:14" s="765" customFormat="1" hidden="1" x14ac:dyDescent="0.25">
      <c r="A357" s="1913" t="s">
        <v>153</v>
      </c>
      <c r="B357" s="1913"/>
      <c r="C357" s="1913"/>
      <c r="D357" s="1913"/>
      <c r="E357" s="1913"/>
      <c r="F357" s="1913"/>
      <c r="G357" s="1913"/>
      <c r="H357" s="1913"/>
      <c r="I357" s="1913"/>
      <c r="J357" s="1594">
        <v>0</v>
      </c>
      <c r="K357" s="61"/>
      <c r="L357" s="1603"/>
      <c r="M357" s="1603"/>
      <c r="N357" s="1603"/>
    </row>
    <row r="358" spans="1:14" s="765" customFormat="1" hidden="1" x14ac:dyDescent="0.25">
      <c r="A358" s="1891" t="s">
        <v>619</v>
      </c>
      <c r="B358" s="1891"/>
      <c r="C358" s="1891"/>
      <c r="D358" s="1891"/>
      <c r="E358" s="1891"/>
      <c r="F358" s="1891"/>
      <c r="G358" s="1891"/>
      <c r="H358" s="1891"/>
      <c r="I358" s="1891"/>
      <c r="J358" s="1588"/>
      <c r="K358" s="344"/>
      <c r="L358" s="392">
        <f>J358-K358</f>
        <v>0</v>
      </c>
      <c r="M358" s="1603"/>
      <c r="N358" s="1603"/>
    </row>
    <row r="359" spans="1:14" s="765" customFormat="1" hidden="1" x14ac:dyDescent="0.25">
      <c r="A359" s="1601"/>
      <c r="B359" s="1601"/>
      <c r="C359" s="1601"/>
      <c r="D359" s="1601"/>
      <c r="E359" s="1601"/>
      <c r="F359" s="1601"/>
      <c r="G359" s="1601"/>
      <c r="H359" s="1601"/>
      <c r="I359" s="1601"/>
      <c r="J359" s="97"/>
      <c r="K359" s="61"/>
      <c r="L359" s="1603"/>
      <c r="M359" s="1603"/>
      <c r="N359" s="1603"/>
    </row>
    <row r="360" spans="1:14" s="765" customFormat="1" hidden="1" x14ac:dyDescent="0.25">
      <c r="A360" s="1644" t="s">
        <v>743</v>
      </c>
      <c r="B360" s="1"/>
      <c r="C360" s="1"/>
      <c r="D360" s="1"/>
      <c r="E360" s="1"/>
      <c r="F360" s="1"/>
      <c r="G360" s="1"/>
      <c r="H360" s="1"/>
      <c r="I360" s="4"/>
      <c r="J360" s="4"/>
      <c r="K360" s="61"/>
      <c r="L360" s="1603"/>
      <c r="M360" s="1603"/>
      <c r="N360" s="1603"/>
    </row>
    <row r="361" spans="1:14" s="765" customFormat="1" hidden="1" x14ac:dyDescent="0.25">
      <c r="A361" s="1898" t="s">
        <v>8</v>
      </c>
      <c r="B361" s="1898" t="s">
        <v>1</v>
      </c>
      <c r="C361" s="1898"/>
      <c r="D361" s="1898"/>
      <c r="E361" s="1898"/>
      <c r="F361" s="1898"/>
      <c r="G361" s="1898" t="s">
        <v>735</v>
      </c>
      <c r="H361" s="1898" t="s">
        <v>735</v>
      </c>
      <c r="I361" s="1898"/>
      <c r="J361" s="1898"/>
      <c r="K361" s="344"/>
      <c r="L361" s="1603"/>
      <c r="M361" s="1603"/>
      <c r="N361" s="1603"/>
    </row>
    <row r="362" spans="1:14" s="765" customFormat="1" ht="45" hidden="1" x14ac:dyDescent="0.25">
      <c r="A362" s="1898"/>
      <c r="B362" s="1898"/>
      <c r="C362" s="1898"/>
      <c r="D362" s="1898"/>
      <c r="E362" s="1898"/>
      <c r="F362" s="1898"/>
      <c r="G362" s="1581" t="s">
        <v>744</v>
      </c>
      <c r="H362" s="1588" t="s">
        <v>745</v>
      </c>
      <c r="I362" s="1588" t="s">
        <v>746</v>
      </c>
      <c r="J362" s="1588" t="s">
        <v>256</v>
      </c>
      <c r="K362" s="344"/>
      <c r="L362" s="1603"/>
      <c r="M362" s="1603"/>
      <c r="N362" s="1603"/>
    </row>
    <row r="363" spans="1:14" s="765" customFormat="1" hidden="1" x14ac:dyDescent="0.25">
      <c r="A363" s="1581">
        <v>1</v>
      </c>
      <c r="B363" s="1891" t="s">
        <v>1154</v>
      </c>
      <c r="C363" s="1891"/>
      <c r="D363" s="1891"/>
      <c r="E363" s="1891"/>
      <c r="F363" s="1891"/>
      <c r="G363" s="1581">
        <v>1</v>
      </c>
      <c r="H363" s="777">
        <v>681</v>
      </c>
      <c r="I363" s="59">
        <v>1</v>
      </c>
      <c r="J363" s="1588">
        <f>G363*H363*I363</f>
        <v>681</v>
      </c>
      <c r="K363" s="61"/>
      <c r="L363" s="1603"/>
      <c r="M363" s="1603"/>
      <c r="N363" s="1603"/>
    </row>
    <row r="364" spans="1:14" s="765" customFormat="1" hidden="1" x14ac:dyDescent="0.25">
      <c r="A364" s="1946" t="s">
        <v>39</v>
      </c>
      <c r="B364" s="1947"/>
      <c r="C364" s="2096"/>
      <c r="D364" s="1947"/>
      <c r="E364" s="1947"/>
      <c r="F364" s="1947"/>
      <c r="G364" s="1947"/>
      <c r="H364" s="1947"/>
      <c r="I364" s="1948"/>
      <c r="J364" s="1589"/>
      <c r="K364" s="61"/>
      <c r="L364" s="1603"/>
      <c r="M364" s="1603"/>
      <c r="N364" s="1603"/>
    </row>
    <row r="365" spans="1:14" s="765" customFormat="1" hidden="1" x14ac:dyDescent="0.25">
      <c r="A365" s="1599"/>
      <c r="B365" s="1599"/>
      <c r="C365" s="1599"/>
      <c r="D365" s="1599"/>
      <c r="E365" s="1599"/>
      <c r="F365" s="1599"/>
      <c r="G365" s="1599"/>
      <c r="H365" s="1599"/>
      <c r="I365" s="1599"/>
      <c r="J365" s="741"/>
      <c r="K365" s="61"/>
      <c r="L365" s="1603"/>
      <c r="M365" s="1603"/>
      <c r="N365" s="1603"/>
    </row>
    <row r="366" spans="1:14" s="765" customFormat="1" hidden="1" x14ac:dyDescent="0.25">
      <c r="A366" s="1644" t="s">
        <v>308</v>
      </c>
      <c r="B366" s="1679"/>
      <c r="C366" s="1679"/>
      <c r="D366" s="1679"/>
      <c r="E366" s="1679"/>
      <c r="F366" s="1679"/>
      <c r="G366" s="1679"/>
      <c r="H366" s="1679"/>
      <c r="I366" s="4"/>
      <c r="J366" s="4"/>
      <c r="K366" s="61"/>
      <c r="L366" s="1603"/>
      <c r="M366" s="1603"/>
      <c r="N366" s="1603"/>
    </row>
    <row r="367" spans="1:14" s="765" customFormat="1" hidden="1" x14ac:dyDescent="0.25">
      <c r="A367" s="1898" t="s">
        <v>8</v>
      </c>
      <c r="B367" s="1898" t="s">
        <v>1</v>
      </c>
      <c r="C367" s="1898"/>
      <c r="D367" s="1898"/>
      <c r="E367" s="1898"/>
      <c r="F367" s="1898" t="s">
        <v>736</v>
      </c>
      <c r="G367" s="1898" t="s">
        <v>735</v>
      </c>
      <c r="H367" s="1898" t="s">
        <v>735</v>
      </c>
      <c r="I367" s="1898"/>
      <c r="J367" s="1898"/>
      <c r="K367" s="61"/>
      <c r="L367" s="1603"/>
      <c r="M367" s="1603"/>
      <c r="N367" s="1603"/>
    </row>
    <row r="368" spans="1:14" s="765" customFormat="1" ht="45" hidden="1" x14ac:dyDescent="0.25">
      <c r="A368" s="1898"/>
      <c r="B368" s="1898"/>
      <c r="C368" s="1898"/>
      <c r="D368" s="1898"/>
      <c r="E368" s="1898"/>
      <c r="F368" s="1898"/>
      <c r="G368" s="1581" t="s">
        <v>747</v>
      </c>
      <c r="H368" s="1581" t="s">
        <v>748</v>
      </c>
      <c r="I368" s="1581" t="s">
        <v>268</v>
      </c>
      <c r="J368" s="1581" t="s">
        <v>256</v>
      </c>
      <c r="K368" s="1708"/>
      <c r="L368" s="1603"/>
      <c r="M368" s="1603"/>
      <c r="N368" s="1603"/>
    </row>
    <row r="369" spans="1:14" s="765" customFormat="1" ht="29.25" hidden="1" customHeight="1" x14ac:dyDescent="0.25">
      <c r="A369" s="1581">
        <v>1</v>
      </c>
      <c r="B369" s="1891" t="s">
        <v>1160</v>
      </c>
      <c r="C369" s="1891"/>
      <c r="D369" s="1891"/>
      <c r="E369" s="1891"/>
      <c r="F369" s="1581" t="s">
        <v>108</v>
      </c>
      <c r="G369" s="1581">
        <v>2</v>
      </c>
      <c r="H369" s="96">
        <v>11</v>
      </c>
      <c r="I369" s="1588">
        <v>1650</v>
      </c>
      <c r="J369" s="1588">
        <f>G369*H369*I369</f>
        <v>36300</v>
      </c>
      <c r="K369" s="61"/>
      <c r="L369" s="1603"/>
      <c r="M369" s="1603"/>
      <c r="N369" s="1603"/>
    </row>
    <row r="370" spans="1:14" s="765" customFormat="1" hidden="1" x14ac:dyDescent="0.25">
      <c r="A370" s="1946" t="s">
        <v>39</v>
      </c>
      <c r="B370" s="1947"/>
      <c r="C370" s="2096"/>
      <c r="D370" s="1947"/>
      <c r="E370" s="1947"/>
      <c r="F370" s="1947"/>
      <c r="G370" s="1947"/>
      <c r="H370" s="1947"/>
      <c r="I370" s="1948"/>
      <c r="J370" s="1589">
        <f>J369</f>
        <v>36300</v>
      </c>
      <c r="K370" s="61"/>
      <c r="L370" s="1603"/>
      <c r="M370" s="1603"/>
      <c r="N370" s="1603"/>
    </row>
    <row r="371" spans="1:14" s="765" customFormat="1" hidden="1" x14ac:dyDescent="0.25">
      <c r="A371" s="1924" t="s">
        <v>514</v>
      </c>
      <c r="B371" s="1925"/>
      <c r="C371" s="1925"/>
      <c r="D371" s="1925"/>
      <c r="E371" s="1925"/>
      <c r="F371" s="1925"/>
      <c r="G371" s="1925"/>
      <c r="H371" s="1925"/>
      <c r="I371" s="1925"/>
      <c r="J371" s="1925"/>
      <c r="K371" s="61"/>
      <c r="L371" s="1603"/>
      <c r="M371" s="1603"/>
      <c r="N371" s="1603"/>
    </row>
    <row r="372" spans="1:14" s="765" customFormat="1" hidden="1" x14ac:dyDescent="0.25">
      <c r="A372" s="1913" t="s">
        <v>1134</v>
      </c>
      <c r="B372" s="1913"/>
      <c r="C372" s="1913"/>
      <c r="D372" s="1913"/>
      <c r="E372" s="1913"/>
      <c r="F372" s="1913"/>
      <c r="G372" s="1913"/>
      <c r="H372" s="1913"/>
      <c r="I372" s="1913"/>
      <c r="J372" s="1594">
        <v>0</v>
      </c>
      <c r="K372" s="61"/>
      <c r="L372" s="1603"/>
      <c r="M372" s="1603"/>
      <c r="N372" s="1603"/>
    </row>
    <row r="373" spans="1:14" s="765" customFormat="1" hidden="1" x14ac:dyDescent="0.25">
      <c r="A373" s="1913" t="s">
        <v>153</v>
      </c>
      <c r="B373" s="1913"/>
      <c r="C373" s="1913"/>
      <c r="D373" s="1913"/>
      <c r="E373" s="1913"/>
      <c r="F373" s="1913"/>
      <c r="G373" s="1913"/>
      <c r="H373" s="1913"/>
      <c r="I373" s="1913"/>
      <c r="J373" s="1594">
        <f>20004+3300+3300*3+3096</f>
        <v>36300</v>
      </c>
      <c r="K373" s="351"/>
      <c r="L373" s="1603"/>
      <c r="M373" s="1603"/>
      <c r="N373" s="1603"/>
    </row>
    <row r="374" spans="1:14" s="765" customFormat="1" hidden="1" x14ac:dyDescent="0.25">
      <c r="A374" s="1891" t="s">
        <v>619</v>
      </c>
      <c r="B374" s="1891"/>
      <c r="C374" s="1891"/>
      <c r="D374" s="1891"/>
      <c r="E374" s="1891"/>
      <c r="F374" s="1891"/>
      <c r="G374" s="1891"/>
      <c r="H374" s="1891"/>
      <c r="I374" s="1891"/>
      <c r="J374" s="1588">
        <f>J369-J372-J373-J375</f>
        <v>0</v>
      </c>
      <c r="K374" s="61"/>
      <c r="L374" s="1603"/>
      <c r="M374" s="1603"/>
      <c r="N374" s="1603"/>
    </row>
    <row r="375" spans="1:14" s="765" customFormat="1" hidden="1" x14ac:dyDescent="0.25">
      <c r="A375" s="1891" t="s">
        <v>1147</v>
      </c>
      <c r="B375" s="1891"/>
      <c r="C375" s="1891"/>
      <c r="D375" s="1891"/>
      <c r="E375" s="1891"/>
      <c r="F375" s="1891"/>
      <c r="G375" s="1891"/>
      <c r="H375" s="1891"/>
      <c r="I375" s="1891"/>
      <c r="J375" s="360">
        <v>0</v>
      </c>
      <c r="K375" s="61"/>
      <c r="L375" s="1603"/>
      <c r="M375" s="1603"/>
      <c r="N375" s="1603"/>
    </row>
    <row r="376" spans="1:14" s="765" customFormat="1" hidden="1" x14ac:dyDescent="0.25">
      <c r="A376" s="1635"/>
      <c r="B376" s="1635"/>
      <c r="C376" s="1635"/>
      <c r="D376" s="1635"/>
      <c r="E376" s="1635"/>
      <c r="F376" s="1635"/>
      <c r="G376" s="1635"/>
      <c r="H376" s="1635"/>
      <c r="I376" s="1635"/>
      <c r="J376" s="98"/>
      <c r="K376" s="61"/>
      <c r="L376" s="1603"/>
      <c r="M376" s="1603"/>
      <c r="N376" s="1603"/>
    </row>
    <row r="377" spans="1:14" s="765" customFormat="1" hidden="1" x14ac:dyDescent="0.25">
      <c r="A377" s="1644" t="s">
        <v>308</v>
      </c>
      <c r="B377" s="1679"/>
      <c r="C377" s="1679"/>
      <c r="D377" s="1679"/>
      <c r="E377" s="1679"/>
      <c r="F377" s="1679"/>
      <c r="G377" s="1679"/>
      <c r="H377" s="1679"/>
      <c r="I377" s="1635"/>
      <c r="J377" s="98"/>
      <c r="K377" s="1045"/>
      <c r="L377" s="1603"/>
      <c r="M377" s="1603"/>
      <c r="N377" s="1603"/>
    </row>
    <row r="378" spans="1:14" s="765" customFormat="1" hidden="1" x14ac:dyDescent="0.25">
      <c r="A378" s="1898" t="s">
        <v>8</v>
      </c>
      <c r="B378" s="1898" t="s">
        <v>1</v>
      </c>
      <c r="C378" s="1898"/>
      <c r="D378" s="1898"/>
      <c r="E378" s="1898"/>
      <c r="F378" s="1898" t="s">
        <v>736</v>
      </c>
      <c r="G378" s="1898" t="s">
        <v>735</v>
      </c>
      <c r="H378" s="1898" t="s">
        <v>735</v>
      </c>
      <c r="I378" s="1898"/>
      <c r="J378" s="1898"/>
      <c r="K378" s="344"/>
      <c r="L378" s="1603"/>
      <c r="M378" s="1603"/>
      <c r="N378" s="1603"/>
    </row>
    <row r="379" spans="1:14" s="765" customFormat="1" ht="45" hidden="1" x14ac:dyDescent="0.25">
      <c r="A379" s="1898"/>
      <c r="B379" s="1898"/>
      <c r="C379" s="1898"/>
      <c r="D379" s="1898"/>
      <c r="E379" s="1898"/>
      <c r="F379" s="1898"/>
      <c r="G379" s="1581" t="s">
        <v>747</v>
      </c>
      <c r="H379" s="1581" t="s">
        <v>748</v>
      </c>
      <c r="I379" s="1581" t="s">
        <v>268</v>
      </c>
      <c r="J379" s="1581" t="s">
        <v>256</v>
      </c>
      <c r="K379" s="81"/>
      <c r="L379" s="1603"/>
      <c r="M379" s="1603"/>
      <c r="N379" s="1603"/>
    </row>
    <row r="380" spans="1:14" s="765" customFormat="1" ht="29.25" hidden="1" customHeight="1" x14ac:dyDescent="0.25">
      <c r="A380" s="1581">
        <v>1</v>
      </c>
      <c r="B380" s="1891" t="s">
        <v>1161</v>
      </c>
      <c r="C380" s="1891"/>
      <c r="D380" s="1891"/>
      <c r="E380" s="1891"/>
      <c r="F380" s="1581" t="s">
        <v>108</v>
      </c>
      <c r="G380" s="1581">
        <v>2</v>
      </c>
      <c r="H380" s="777">
        <v>1642.2</v>
      </c>
      <c r="I380" s="59">
        <v>11</v>
      </c>
      <c r="J380" s="1588">
        <f>G380*H380*I380</f>
        <v>36128.400000000001</v>
      </c>
      <c r="K380" s="61"/>
      <c r="L380" s="1603"/>
      <c r="M380" s="1603"/>
      <c r="N380" s="1603"/>
    </row>
    <row r="381" spans="1:14" s="765" customFormat="1" hidden="1" x14ac:dyDescent="0.25">
      <c r="A381" s="1895" t="s">
        <v>39</v>
      </c>
      <c r="B381" s="1895"/>
      <c r="C381" s="1895"/>
      <c r="D381" s="1895"/>
      <c r="E381" s="1895"/>
      <c r="F381" s="1895"/>
      <c r="G381" s="1895"/>
      <c r="H381" s="1895"/>
      <c r="I381" s="1895"/>
      <c r="J381" s="1589">
        <f>J380</f>
        <v>36128.400000000001</v>
      </c>
      <c r="K381" s="61"/>
      <c r="L381" s="1603"/>
      <c r="M381" s="1603"/>
      <c r="N381" s="1603"/>
    </row>
    <row r="382" spans="1:14" s="765" customFormat="1" hidden="1" x14ac:dyDescent="0.25">
      <c r="A382" s="1924" t="s">
        <v>514</v>
      </c>
      <c r="B382" s="1925"/>
      <c r="C382" s="1925"/>
      <c r="D382" s="1925"/>
      <c r="E382" s="1925"/>
      <c r="F382" s="1925"/>
      <c r="G382" s="1925"/>
      <c r="H382" s="1925"/>
      <c r="I382" s="1925"/>
      <c r="J382" s="1925"/>
      <c r="K382" s="61"/>
      <c r="L382" s="1603"/>
      <c r="M382" s="1603"/>
      <c r="N382" s="1603"/>
    </row>
    <row r="383" spans="1:14" s="765" customFormat="1" hidden="1" x14ac:dyDescent="0.25">
      <c r="A383" s="1913" t="s">
        <v>1134</v>
      </c>
      <c r="B383" s="1913"/>
      <c r="C383" s="1913"/>
      <c r="D383" s="1913"/>
      <c r="E383" s="1913"/>
      <c r="F383" s="1913"/>
      <c r="G383" s="1913"/>
      <c r="H383" s="1913"/>
      <c r="I383" s="1913"/>
      <c r="J383" s="1594">
        <v>0</v>
      </c>
      <c r="K383" s="61"/>
      <c r="L383" s="1603"/>
      <c r="M383" s="1603"/>
      <c r="N383" s="1603"/>
    </row>
    <row r="384" spans="1:14" s="765" customFormat="1" hidden="1" x14ac:dyDescent="0.25">
      <c r="A384" s="1913" t="s">
        <v>153</v>
      </c>
      <c r="B384" s="1913"/>
      <c r="C384" s="1913"/>
      <c r="D384" s="1913"/>
      <c r="E384" s="1913"/>
      <c r="F384" s="1913"/>
      <c r="G384" s="1913"/>
      <c r="H384" s="1913"/>
      <c r="I384" s="1913"/>
      <c r="J384" s="1594">
        <f>19945.44+3284.4+3284.4*3+3045.36</f>
        <v>36128.400000000001</v>
      </c>
      <c r="K384" s="344"/>
      <c r="L384" s="1603"/>
      <c r="M384" s="1603"/>
      <c r="N384" s="1603"/>
    </row>
    <row r="385" spans="1:14" s="765" customFormat="1" hidden="1" x14ac:dyDescent="0.25">
      <c r="A385" s="1891" t="s">
        <v>619</v>
      </c>
      <c r="B385" s="1891"/>
      <c r="C385" s="1891"/>
      <c r="D385" s="1891"/>
      <c r="E385" s="1891"/>
      <c r="F385" s="1891"/>
      <c r="G385" s="1891"/>
      <c r="H385" s="1891"/>
      <c r="I385" s="1891"/>
      <c r="J385" s="1588">
        <f>J381-J383-J384-J386</f>
        <v>0</v>
      </c>
      <c r="K385" s="61"/>
      <c r="L385" s="1603"/>
      <c r="M385" s="1603"/>
      <c r="N385" s="1603"/>
    </row>
    <row r="386" spans="1:14" s="765" customFormat="1" hidden="1" x14ac:dyDescent="0.25">
      <c r="A386" s="1891" t="s">
        <v>1147</v>
      </c>
      <c r="B386" s="1891"/>
      <c r="C386" s="1891"/>
      <c r="D386" s="1891"/>
      <c r="E386" s="1891"/>
      <c r="F386" s="1891"/>
      <c r="G386" s="1891"/>
      <c r="H386" s="1891"/>
      <c r="I386" s="1891"/>
      <c r="J386" s="360">
        <v>0</v>
      </c>
      <c r="K386" s="61"/>
      <c r="L386" s="1603"/>
      <c r="M386" s="1603"/>
      <c r="N386" s="1603"/>
    </row>
    <row r="387" spans="1:14" s="765" customFormat="1" hidden="1" x14ac:dyDescent="0.25">
      <c r="A387" s="1635"/>
      <c r="B387" s="1635"/>
      <c r="C387" s="1635"/>
      <c r="D387" s="1635"/>
      <c r="E387" s="1635"/>
      <c r="F387" s="1635"/>
      <c r="G387" s="1635"/>
      <c r="H387" s="1635"/>
      <c r="I387" s="1635"/>
      <c r="J387" s="98"/>
      <c r="K387" s="61"/>
      <c r="L387" s="1603"/>
      <c r="M387" s="1603"/>
      <c r="N387" s="1603"/>
    </row>
    <row r="388" spans="1:14" s="765" customFormat="1" hidden="1" x14ac:dyDescent="0.25">
      <c r="A388" s="1908" t="s">
        <v>308</v>
      </c>
      <c r="B388" s="1908"/>
      <c r="C388" s="1908"/>
      <c r="D388" s="1908"/>
      <c r="E388" s="1908"/>
      <c r="F388" s="1908"/>
      <c r="G388" s="1908"/>
      <c r="H388" s="1908"/>
      <c r="I388" s="1635"/>
      <c r="J388" s="98"/>
      <c r="K388" s="61"/>
      <c r="L388" s="1603"/>
      <c r="M388" s="1603"/>
      <c r="N388" s="1603"/>
    </row>
    <row r="389" spans="1:14" s="765" customFormat="1" hidden="1" x14ac:dyDescent="0.25">
      <c r="A389" s="1898" t="s">
        <v>8</v>
      </c>
      <c r="B389" s="1898" t="s">
        <v>1</v>
      </c>
      <c r="C389" s="1898"/>
      <c r="D389" s="1898"/>
      <c r="E389" s="1898"/>
      <c r="F389" s="1898" t="s">
        <v>736</v>
      </c>
      <c r="G389" s="1898" t="s">
        <v>735</v>
      </c>
      <c r="H389" s="1898" t="s">
        <v>735</v>
      </c>
      <c r="I389" s="1898"/>
      <c r="J389" s="1898"/>
      <c r="K389" s="70"/>
      <c r="L389" s="1603"/>
      <c r="M389" s="1603"/>
      <c r="N389" s="1603"/>
    </row>
    <row r="390" spans="1:14" s="765" customFormat="1" ht="45" hidden="1" x14ac:dyDescent="0.25">
      <c r="A390" s="1898"/>
      <c r="B390" s="1898"/>
      <c r="C390" s="1898"/>
      <c r="D390" s="1898"/>
      <c r="E390" s="1898"/>
      <c r="F390" s="1898"/>
      <c r="G390" s="1581" t="s">
        <v>747</v>
      </c>
      <c r="H390" s="1581" t="s">
        <v>748</v>
      </c>
      <c r="I390" s="1581" t="s">
        <v>268</v>
      </c>
      <c r="J390" s="1581" t="s">
        <v>256</v>
      </c>
      <c r="K390" s="61"/>
      <c r="L390" s="1603"/>
      <c r="M390" s="1603"/>
      <c r="N390" s="1603"/>
    </row>
    <row r="391" spans="1:14" s="765" customFormat="1" hidden="1" x14ac:dyDescent="0.25">
      <c r="A391" s="1625">
        <v>1</v>
      </c>
      <c r="B391" s="1907" t="s">
        <v>1162</v>
      </c>
      <c r="C391" s="1908"/>
      <c r="D391" s="1908"/>
      <c r="E391" s="1908"/>
      <c r="F391" s="1625" t="s">
        <v>108</v>
      </c>
      <c r="G391" s="1625">
        <v>2</v>
      </c>
      <c r="H391" s="1665">
        <v>11</v>
      </c>
      <c r="I391" s="801">
        <v>5000</v>
      </c>
      <c r="J391" s="1591">
        <f>G391*H391*I391</f>
        <v>110000</v>
      </c>
      <c r="K391" s="61"/>
      <c r="L391" s="1603"/>
      <c r="M391" s="1603"/>
      <c r="N391" s="1603"/>
    </row>
    <row r="392" spans="1:14" s="765" customFormat="1" hidden="1" x14ac:dyDescent="0.25">
      <c r="A392" s="1946" t="s">
        <v>39</v>
      </c>
      <c r="B392" s="1947"/>
      <c r="C392" s="2096"/>
      <c r="D392" s="1947"/>
      <c r="E392" s="1947"/>
      <c r="F392" s="1947"/>
      <c r="G392" s="1947"/>
      <c r="H392" s="1947"/>
      <c r="I392" s="1948"/>
      <c r="J392" s="1589">
        <f>J391</f>
        <v>110000</v>
      </c>
      <c r="K392" s="61"/>
      <c r="L392" s="1603"/>
      <c r="M392" s="1603"/>
      <c r="N392" s="1603"/>
    </row>
    <row r="393" spans="1:14" s="765" customFormat="1" hidden="1" x14ac:dyDescent="0.25">
      <c r="A393" s="1924" t="s">
        <v>514</v>
      </c>
      <c r="B393" s="1925"/>
      <c r="C393" s="1925"/>
      <c r="D393" s="1925"/>
      <c r="E393" s="1925"/>
      <c r="F393" s="1925"/>
      <c r="G393" s="1925"/>
      <c r="H393" s="1925"/>
      <c r="I393" s="1925"/>
      <c r="J393" s="1925"/>
      <c r="K393" s="1648"/>
      <c r="L393" s="1603"/>
      <c r="M393" s="1603"/>
      <c r="N393" s="1603"/>
    </row>
    <row r="394" spans="1:14" s="765" customFormat="1" hidden="1" x14ac:dyDescent="0.25">
      <c r="A394" s="1913" t="s">
        <v>1134</v>
      </c>
      <c r="B394" s="1913"/>
      <c r="C394" s="1913"/>
      <c r="D394" s="1913"/>
      <c r="E394" s="1913"/>
      <c r="F394" s="1913"/>
      <c r="G394" s="1913"/>
      <c r="H394" s="1913"/>
      <c r="I394" s="1913"/>
      <c r="J394" s="1594">
        <v>30000</v>
      </c>
      <c r="K394" s="344"/>
      <c r="L394" s="1603"/>
      <c r="M394" s="1603"/>
      <c r="N394" s="1603"/>
    </row>
    <row r="395" spans="1:14" s="765" customFormat="1" hidden="1" x14ac:dyDescent="0.25">
      <c r="A395" s="1913" t="s">
        <v>153</v>
      </c>
      <c r="B395" s="1913"/>
      <c r="C395" s="1913"/>
      <c r="D395" s="1913"/>
      <c r="E395" s="1913"/>
      <c r="F395" s="1913"/>
      <c r="G395" s="1913"/>
      <c r="H395" s="1913"/>
      <c r="I395" s="1913"/>
      <c r="J395" s="1594">
        <f>30000+10000*5</f>
        <v>80000</v>
      </c>
      <c r="K395" s="344"/>
      <c r="L395" s="1603"/>
      <c r="M395" s="1603"/>
      <c r="N395" s="1603"/>
    </row>
    <row r="396" spans="1:14" s="765" customFormat="1" hidden="1" x14ac:dyDescent="0.25">
      <c r="A396" s="1891" t="s">
        <v>619</v>
      </c>
      <c r="B396" s="1891"/>
      <c r="C396" s="1891"/>
      <c r="D396" s="1891"/>
      <c r="E396" s="1891"/>
      <c r="F396" s="1891"/>
      <c r="G396" s="1891"/>
      <c r="H396" s="1891"/>
      <c r="I396" s="1891"/>
      <c r="J396" s="1588">
        <f>J392-J394-J395-J397</f>
        <v>0</v>
      </c>
      <c r="K396" s="1648"/>
      <c r="L396" s="1603"/>
      <c r="M396" s="1603"/>
      <c r="N396" s="1603"/>
    </row>
    <row r="397" spans="1:14" s="765" customFormat="1" hidden="1" x14ac:dyDescent="0.25">
      <c r="A397" s="1891" t="s">
        <v>1147</v>
      </c>
      <c r="B397" s="1891"/>
      <c r="C397" s="1891"/>
      <c r="D397" s="1891"/>
      <c r="E397" s="1891"/>
      <c r="F397" s="1891"/>
      <c r="G397" s="1891"/>
      <c r="H397" s="1891"/>
      <c r="I397" s="1891"/>
      <c r="J397" s="360">
        <v>0</v>
      </c>
      <c r="K397" s="61"/>
      <c r="L397" s="1603"/>
      <c r="M397" s="1603"/>
      <c r="N397" s="1603"/>
    </row>
    <row r="398" spans="1:14" s="765" customFormat="1" hidden="1" x14ac:dyDescent="0.25">
      <c r="A398" s="1635"/>
      <c r="B398" s="1635"/>
      <c r="C398" s="1635"/>
      <c r="D398" s="1635"/>
      <c r="E398" s="1635"/>
      <c r="F398" s="1635"/>
      <c r="G398" s="1635"/>
      <c r="H398" s="1635"/>
      <c r="I398" s="1635"/>
      <c r="J398" s="98"/>
      <c r="K398" s="61"/>
      <c r="L398" s="1603"/>
      <c r="M398" s="1603"/>
      <c r="N398" s="1603"/>
    </row>
    <row r="399" spans="1:14" s="765" customFormat="1" hidden="1" x14ac:dyDescent="0.25">
      <c r="A399" s="1908" t="s">
        <v>1068</v>
      </c>
      <c r="B399" s="1908"/>
      <c r="C399" s="1908"/>
      <c r="D399" s="1908"/>
      <c r="E399" s="1908"/>
      <c r="F399" s="1908"/>
      <c r="G399" s="1908"/>
      <c r="H399" s="1908"/>
      <c r="I399" s="1635"/>
      <c r="J399" s="98"/>
      <c r="K399" s="61"/>
      <c r="L399" s="1603"/>
      <c r="M399" s="1603"/>
      <c r="N399" s="1603"/>
    </row>
    <row r="400" spans="1:14" s="765" customFormat="1" hidden="1" x14ac:dyDescent="0.25">
      <c r="A400" s="1898" t="s">
        <v>8</v>
      </c>
      <c r="B400" s="1898" t="s">
        <v>1</v>
      </c>
      <c r="C400" s="1898"/>
      <c r="D400" s="1898"/>
      <c r="E400" s="1898"/>
      <c r="F400" s="1898" t="s">
        <v>736</v>
      </c>
      <c r="G400" s="1898" t="s">
        <v>735</v>
      </c>
      <c r="H400" s="1898" t="s">
        <v>735</v>
      </c>
      <c r="I400" s="1898"/>
      <c r="J400" s="1898"/>
      <c r="K400" s="61"/>
      <c r="L400" s="1603"/>
      <c r="M400" s="1603"/>
      <c r="N400" s="1603"/>
    </row>
    <row r="401" spans="1:14" s="765" customFormat="1" ht="90" hidden="1" x14ac:dyDescent="0.25">
      <c r="A401" s="1898"/>
      <c r="B401" s="1898"/>
      <c r="C401" s="1898"/>
      <c r="D401" s="1898"/>
      <c r="E401" s="1898"/>
      <c r="F401" s="1898"/>
      <c r="G401" s="1899" t="s">
        <v>753</v>
      </c>
      <c r="H401" s="1901"/>
      <c r="I401" s="1581" t="s">
        <v>752</v>
      </c>
      <c r="J401" s="1581" t="s">
        <v>256</v>
      </c>
      <c r="K401" s="61"/>
      <c r="L401" s="1603"/>
      <c r="M401" s="1603"/>
      <c r="N401" s="1603"/>
    </row>
    <row r="402" spans="1:14" s="765" customFormat="1" hidden="1" x14ac:dyDescent="0.25">
      <c r="A402" s="1625">
        <v>1</v>
      </c>
      <c r="B402" s="2125" t="s">
        <v>754</v>
      </c>
      <c r="C402" s="2126"/>
      <c r="D402" s="2127"/>
      <c r="E402" s="2128"/>
      <c r="F402" s="1625" t="s">
        <v>108</v>
      </c>
      <c r="G402" s="1899"/>
      <c r="H402" s="1901"/>
      <c r="I402" s="1588"/>
      <c r="J402" s="1588">
        <f>G402*I402</f>
        <v>0</v>
      </c>
      <c r="K402" s="61"/>
      <c r="L402" s="1603"/>
      <c r="M402" s="1603"/>
      <c r="N402" s="1603"/>
    </row>
    <row r="403" spans="1:14" s="765" customFormat="1" hidden="1" x14ac:dyDescent="0.25">
      <c r="A403" s="1946" t="s">
        <v>39</v>
      </c>
      <c r="B403" s="1947"/>
      <c r="C403" s="2096"/>
      <c r="D403" s="1947"/>
      <c r="E403" s="1947"/>
      <c r="F403" s="1947"/>
      <c r="G403" s="1947"/>
      <c r="H403" s="1947"/>
      <c r="I403" s="1948"/>
      <c r="J403" s="1589">
        <f>J402</f>
        <v>0</v>
      </c>
      <c r="K403" s="61"/>
      <c r="L403" s="1603"/>
      <c r="M403" s="1603"/>
      <c r="N403" s="1603"/>
    </row>
    <row r="404" spans="1:14" s="765" customFormat="1" hidden="1" x14ac:dyDescent="0.25">
      <c r="A404" s="1924" t="s">
        <v>514</v>
      </c>
      <c r="B404" s="1925"/>
      <c r="C404" s="2123"/>
      <c r="D404" s="1925"/>
      <c r="E404" s="1925"/>
      <c r="F404" s="1925"/>
      <c r="G404" s="1925"/>
      <c r="H404" s="1925"/>
      <c r="I404" s="1925"/>
      <c r="J404" s="1925"/>
      <c r="K404" s="344"/>
      <c r="L404" s="1603"/>
      <c r="M404" s="1603"/>
      <c r="N404" s="1603"/>
    </row>
    <row r="405" spans="1:14" s="765" customFormat="1" hidden="1" x14ac:dyDescent="0.25">
      <c r="A405" s="2124" t="s">
        <v>834</v>
      </c>
      <c r="B405" s="2124"/>
      <c r="C405" s="2124"/>
      <c r="D405" s="2124"/>
      <c r="E405" s="2124"/>
      <c r="F405" s="2124"/>
      <c r="G405" s="2124"/>
      <c r="H405" s="2124"/>
      <c r="I405" s="2124"/>
      <c r="J405" s="1709">
        <f>J402</f>
        <v>0</v>
      </c>
      <c r="K405" s="344"/>
      <c r="L405" s="1603"/>
      <c r="M405" s="1603"/>
      <c r="N405" s="1603"/>
    </row>
    <row r="406" spans="1:14" s="765" customFormat="1" hidden="1" x14ac:dyDescent="0.25">
      <c r="A406" s="1891" t="s">
        <v>155</v>
      </c>
      <c r="B406" s="1891"/>
      <c r="C406" s="1891"/>
      <c r="D406" s="1891"/>
      <c r="E406" s="1891"/>
      <c r="F406" s="1891"/>
      <c r="G406" s="1891"/>
      <c r="H406" s="1891"/>
      <c r="I406" s="1891"/>
      <c r="J406" s="1588"/>
      <c r="K406" s="344"/>
      <c r="L406" s="1603"/>
      <c r="M406" s="1603"/>
      <c r="N406" s="1603"/>
    </row>
    <row r="407" spans="1:14" s="765" customFormat="1" hidden="1" x14ac:dyDescent="0.25">
      <c r="A407" s="1753"/>
      <c r="B407" s="1753"/>
      <c r="C407" s="1753"/>
      <c r="D407" s="1753"/>
      <c r="E407" s="1753"/>
      <c r="F407" s="1753"/>
      <c r="G407" s="1753"/>
      <c r="H407" s="1753"/>
      <c r="I407" s="1635"/>
      <c r="J407" s="98"/>
      <c r="K407" s="344"/>
      <c r="L407" s="1603"/>
      <c r="M407" s="1603"/>
      <c r="N407" s="1603"/>
    </row>
    <row r="408" spans="1:14" s="765" customFormat="1" hidden="1" x14ac:dyDescent="0.25">
      <c r="A408" s="1908" t="s">
        <v>308</v>
      </c>
      <c r="B408" s="1908"/>
      <c r="C408" s="1908"/>
      <c r="D408" s="1908"/>
      <c r="E408" s="1908"/>
      <c r="F408" s="1908"/>
      <c r="G408" s="1908"/>
      <c r="H408" s="1908"/>
      <c r="I408" s="1635"/>
      <c r="J408" s="98"/>
      <c r="K408" s="351"/>
      <c r="L408" s="1603"/>
      <c r="M408" s="1603"/>
      <c r="N408" s="1603"/>
    </row>
    <row r="409" spans="1:14" s="765" customFormat="1" hidden="1" x14ac:dyDescent="0.25">
      <c r="A409" s="1898" t="s">
        <v>8</v>
      </c>
      <c r="B409" s="1898" t="s">
        <v>1</v>
      </c>
      <c r="C409" s="1898"/>
      <c r="D409" s="1898"/>
      <c r="E409" s="1898"/>
      <c r="F409" s="1898" t="s">
        <v>736</v>
      </c>
      <c r="G409" s="1898" t="s">
        <v>735</v>
      </c>
      <c r="H409" s="1898" t="s">
        <v>735</v>
      </c>
      <c r="I409" s="1898"/>
      <c r="J409" s="1898"/>
      <c r="K409" s="344"/>
      <c r="L409" s="1603"/>
      <c r="M409" s="1603"/>
      <c r="N409" s="1603"/>
    </row>
    <row r="410" spans="1:14" s="765" customFormat="1" ht="45" hidden="1" x14ac:dyDescent="0.25">
      <c r="A410" s="1898"/>
      <c r="B410" s="1898"/>
      <c r="C410" s="1898"/>
      <c r="D410" s="1898"/>
      <c r="E410" s="1898"/>
      <c r="F410" s="1898"/>
      <c r="G410" s="1581" t="s">
        <v>747</v>
      </c>
      <c r="H410" s="1581" t="s">
        <v>748</v>
      </c>
      <c r="I410" s="1581" t="s">
        <v>268</v>
      </c>
      <c r="J410" s="1581" t="s">
        <v>256</v>
      </c>
      <c r="K410" s="344"/>
      <c r="L410" s="1603"/>
      <c r="M410" s="1603"/>
      <c r="N410" s="1603"/>
    </row>
    <row r="411" spans="1:14" s="765" customFormat="1" ht="27" hidden="1" customHeight="1" x14ac:dyDescent="0.25">
      <c r="A411" s="1625">
        <v>1</v>
      </c>
      <c r="B411" s="1907" t="s">
        <v>1163</v>
      </c>
      <c r="C411" s="1908"/>
      <c r="D411" s="1908"/>
      <c r="E411" s="1908"/>
      <c r="F411" s="1625" t="s">
        <v>108</v>
      </c>
      <c r="G411" s="1625">
        <v>2</v>
      </c>
      <c r="H411" s="1665">
        <v>11</v>
      </c>
      <c r="I411" s="801">
        <v>4000</v>
      </c>
      <c r="J411" s="1591">
        <f>G411*H411*I411</f>
        <v>88000</v>
      </c>
      <c r="K411" s="344"/>
      <c r="L411" s="1603"/>
      <c r="M411" s="1603"/>
      <c r="N411" s="1603"/>
    </row>
    <row r="412" spans="1:14" s="765" customFormat="1" hidden="1" x14ac:dyDescent="0.25">
      <c r="A412" s="1946" t="s">
        <v>39</v>
      </c>
      <c r="B412" s="1947"/>
      <c r="C412" s="2096"/>
      <c r="D412" s="1947"/>
      <c r="E412" s="1947"/>
      <c r="F412" s="1947"/>
      <c r="G412" s="1947"/>
      <c r="H412" s="1947"/>
      <c r="I412" s="1948"/>
      <c r="J412" s="1589">
        <f>J411</f>
        <v>88000</v>
      </c>
      <c r="K412" s="344"/>
      <c r="L412" s="1603"/>
      <c r="M412" s="1603"/>
      <c r="N412" s="1603"/>
    </row>
    <row r="413" spans="1:14" s="765" customFormat="1" hidden="1" x14ac:dyDescent="0.25">
      <c r="A413" s="1924" t="s">
        <v>514</v>
      </c>
      <c r="B413" s="1925"/>
      <c r="C413" s="1925"/>
      <c r="D413" s="1925"/>
      <c r="E413" s="1925"/>
      <c r="F413" s="1925"/>
      <c r="G413" s="1925"/>
      <c r="H413" s="1925"/>
      <c r="I413" s="1925"/>
      <c r="J413" s="1925"/>
      <c r="K413" s="344"/>
      <c r="L413" s="1603"/>
      <c r="M413" s="1603"/>
      <c r="N413" s="1603"/>
    </row>
    <row r="414" spans="1:14" s="765" customFormat="1" hidden="1" x14ac:dyDescent="0.25">
      <c r="A414" s="1913" t="s">
        <v>1134</v>
      </c>
      <c r="B414" s="1913"/>
      <c r="C414" s="1913"/>
      <c r="D414" s="1913"/>
      <c r="E414" s="1913"/>
      <c r="F414" s="1913"/>
      <c r="G414" s="1913"/>
      <c r="H414" s="1913"/>
      <c r="I414" s="1913"/>
      <c r="J414" s="1594">
        <v>0</v>
      </c>
      <c r="K414" s="61"/>
      <c r="L414" s="1603"/>
      <c r="M414" s="1603"/>
      <c r="N414" s="1603"/>
    </row>
    <row r="415" spans="1:14" s="765" customFormat="1" hidden="1" x14ac:dyDescent="0.25">
      <c r="A415" s="1913" t="s">
        <v>153</v>
      </c>
      <c r="B415" s="1913"/>
      <c r="C415" s="1913"/>
      <c r="D415" s="1913"/>
      <c r="E415" s="1913"/>
      <c r="F415" s="1913"/>
      <c r="G415" s="1913"/>
      <c r="H415" s="1913"/>
      <c r="I415" s="1913"/>
      <c r="J415" s="1594">
        <f>48000+8000*5</f>
        <v>88000</v>
      </c>
      <c r="K415" s="344"/>
      <c r="L415" s="1603"/>
      <c r="M415" s="1603"/>
      <c r="N415" s="1603"/>
    </row>
    <row r="416" spans="1:14" s="765" customFormat="1" hidden="1" x14ac:dyDescent="0.25">
      <c r="A416" s="1891" t="s">
        <v>619</v>
      </c>
      <c r="B416" s="1891"/>
      <c r="C416" s="1891"/>
      <c r="D416" s="1891"/>
      <c r="E416" s="1891"/>
      <c r="F416" s="1891"/>
      <c r="G416" s="1891"/>
      <c r="H416" s="1891"/>
      <c r="I416" s="1891"/>
      <c r="J416" s="1588">
        <f>J412-J414-J415-J417</f>
        <v>0</v>
      </c>
      <c r="K416" s="61"/>
      <c r="L416" s="1603"/>
      <c r="M416" s="1603"/>
      <c r="N416" s="1603"/>
    </row>
    <row r="417" spans="1:14" s="765" customFormat="1" hidden="1" x14ac:dyDescent="0.25">
      <c r="A417" s="1891" t="s">
        <v>1147</v>
      </c>
      <c r="B417" s="1891"/>
      <c r="C417" s="1891"/>
      <c r="D417" s="1891"/>
      <c r="E417" s="1891"/>
      <c r="F417" s="1891"/>
      <c r="G417" s="1891"/>
      <c r="H417" s="1891"/>
      <c r="I417" s="1891"/>
      <c r="J417" s="360">
        <v>0</v>
      </c>
      <c r="K417" s="61"/>
      <c r="L417" s="1603"/>
      <c r="M417" s="1603"/>
      <c r="N417" s="1603"/>
    </row>
    <row r="418" spans="1:14" s="765" customFormat="1" hidden="1" x14ac:dyDescent="0.25">
      <c r="A418" s="1635"/>
      <c r="B418" s="1635"/>
      <c r="C418" s="1635"/>
      <c r="D418" s="1635"/>
      <c r="E418" s="1635"/>
      <c r="F418" s="1635"/>
      <c r="G418" s="1635"/>
      <c r="H418" s="1635"/>
      <c r="I418" s="1635"/>
      <c r="J418" s="98"/>
      <c r="K418" s="61"/>
      <c r="L418" s="1603"/>
      <c r="M418" s="1603"/>
      <c r="N418" s="1603"/>
    </row>
    <row r="419" spans="1:14" s="765" customFormat="1" hidden="1" x14ac:dyDescent="0.25">
      <c r="A419" s="1908" t="s">
        <v>308</v>
      </c>
      <c r="B419" s="1908"/>
      <c r="C419" s="1908"/>
      <c r="D419" s="1908"/>
      <c r="E419" s="1908"/>
      <c r="F419" s="1908"/>
      <c r="G419" s="1908"/>
      <c r="H419" s="1908"/>
      <c r="I419" s="1635"/>
      <c r="J419" s="98"/>
      <c r="K419" s="344"/>
      <c r="L419" s="1603"/>
      <c r="M419" s="1603"/>
      <c r="N419" s="1603"/>
    </row>
    <row r="420" spans="1:14" s="765" customFormat="1" hidden="1" x14ac:dyDescent="0.25">
      <c r="A420" s="1898" t="s">
        <v>8</v>
      </c>
      <c r="B420" s="1898" t="s">
        <v>1</v>
      </c>
      <c r="C420" s="1898"/>
      <c r="D420" s="1898"/>
      <c r="E420" s="1898"/>
      <c r="F420" s="1898" t="s">
        <v>736</v>
      </c>
      <c r="G420" s="1898" t="s">
        <v>735</v>
      </c>
      <c r="H420" s="1898" t="s">
        <v>735</v>
      </c>
      <c r="I420" s="1898"/>
      <c r="J420" s="1898"/>
      <c r="K420" s="344"/>
      <c r="L420" s="1603"/>
      <c r="M420" s="1603"/>
      <c r="N420" s="1603"/>
    </row>
    <row r="421" spans="1:14" s="765" customFormat="1" ht="45" hidden="1" x14ac:dyDescent="0.25">
      <c r="A421" s="1898"/>
      <c r="B421" s="1898"/>
      <c r="C421" s="1898"/>
      <c r="D421" s="1898"/>
      <c r="E421" s="1898"/>
      <c r="F421" s="1898"/>
      <c r="G421" s="1581" t="s">
        <v>747</v>
      </c>
      <c r="H421" s="1581" t="s">
        <v>748</v>
      </c>
      <c r="I421" s="1581" t="s">
        <v>268</v>
      </c>
      <c r="J421" s="1581" t="s">
        <v>256</v>
      </c>
      <c r="K421" s="70"/>
      <c r="L421" s="1603"/>
      <c r="M421" s="1603"/>
      <c r="N421" s="1603"/>
    </row>
    <row r="422" spans="1:14" s="765" customFormat="1" ht="27.75" hidden="1" customHeight="1" x14ac:dyDescent="0.25">
      <c r="A422" s="1581">
        <v>1</v>
      </c>
      <c r="B422" s="1891" t="s">
        <v>1164</v>
      </c>
      <c r="C422" s="1891"/>
      <c r="D422" s="1891"/>
      <c r="E422" s="1891"/>
      <c r="F422" s="1581" t="s">
        <v>108</v>
      </c>
      <c r="G422" s="1581">
        <v>7</v>
      </c>
      <c r="H422" s="96">
        <v>9</v>
      </c>
      <c r="I422" s="1588">
        <v>749</v>
      </c>
      <c r="J422" s="1588">
        <f>G422*H422*I422</f>
        <v>47187</v>
      </c>
      <c r="K422" s="343"/>
      <c r="L422" s="1603"/>
      <c r="M422" s="1603"/>
      <c r="N422" s="1603"/>
    </row>
    <row r="423" spans="1:14" s="765" customFormat="1" ht="27.75" hidden="1" customHeight="1" x14ac:dyDescent="0.25">
      <c r="A423" s="1581">
        <v>2</v>
      </c>
      <c r="B423" s="1891" t="s">
        <v>1165</v>
      </c>
      <c r="C423" s="1891"/>
      <c r="D423" s="1891"/>
      <c r="E423" s="1891"/>
      <c r="F423" s="1581" t="s">
        <v>108</v>
      </c>
      <c r="G423" s="1581">
        <v>8</v>
      </c>
      <c r="H423" s="96">
        <v>9</v>
      </c>
      <c r="I423" s="1588">
        <v>749</v>
      </c>
      <c r="J423" s="1588">
        <f>G423*H423*I423</f>
        <v>53928</v>
      </c>
      <c r="K423" s="343"/>
      <c r="L423" s="1603"/>
      <c r="M423" s="1603"/>
      <c r="N423" s="1603"/>
    </row>
    <row r="424" spans="1:14" s="765" customFormat="1" hidden="1" x14ac:dyDescent="0.25">
      <c r="A424" s="1895" t="s">
        <v>39</v>
      </c>
      <c r="B424" s="1895"/>
      <c r="C424" s="1895"/>
      <c r="D424" s="1895"/>
      <c r="E424" s="1895"/>
      <c r="F424" s="1895"/>
      <c r="G424" s="1895"/>
      <c r="H424" s="1895"/>
      <c r="I424" s="1895"/>
      <c r="J424" s="1589">
        <f>SUM(J422:J423)</f>
        <v>101115</v>
      </c>
      <c r="K424" s="61"/>
      <c r="L424" s="1603"/>
      <c r="M424" s="1603"/>
      <c r="N424" s="1603"/>
    </row>
    <row r="425" spans="1:14" s="765" customFormat="1" ht="15" hidden="1" customHeight="1" x14ac:dyDescent="0.25">
      <c r="A425" s="1924" t="s">
        <v>514</v>
      </c>
      <c r="B425" s="1925"/>
      <c r="C425" s="1925"/>
      <c r="D425" s="1925"/>
      <c r="E425" s="1925"/>
      <c r="F425" s="1925"/>
      <c r="G425" s="1925"/>
      <c r="H425" s="1925"/>
      <c r="I425" s="1925"/>
      <c r="J425" s="1925"/>
      <c r="K425" s="61"/>
      <c r="L425" s="1603"/>
      <c r="M425" s="1603"/>
      <c r="N425" s="1603"/>
    </row>
    <row r="426" spans="1:14" s="765" customFormat="1" ht="15" hidden="1" customHeight="1" x14ac:dyDescent="0.25">
      <c r="A426" s="1913" t="s">
        <v>1134</v>
      </c>
      <c r="B426" s="1913"/>
      <c r="C426" s="1913"/>
      <c r="D426" s="1913"/>
      <c r="E426" s="1913"/>
      <c r="F426" s="1913"/>
      <c r="G426" s="1913"/>
      <c r="H426" s="1913"/>
      <c r="I426" s="1913"/>
      <c r="J426" s="1594">
        <v>0</v>
      </c>
      <c r="K426" s="61"/>
      <c r="L426" s="1603"/>
      <c r="M426" s="1603"/>
      <c r="N426" s="1603"/>
    </row>
    <row r="427" spans="1:14" s="765" customFormat="1" ht="15" hidden="1" customHeight="1" x14ac:dyDescent="0.25">
      <c r="A427" s="1913" t="s">
        <v>153</v>
      </c>
      <c r="B427" s="1913"/>
      <c r="C427" s="1913"/>
      <c r="D427" s="1913"/>
      <c r="E427" s="1913"/>
      <c r="F427" s="1913"/>
      <c r="G427" s="1913"/>
      <c r="H427" s="1913"/>
      <c r="I427" s="1913"/>
      <c r="J427" s="1594">
        <f>67410+11235*3</f>
        <v>101115</v>
      </c>
      <c r="K427" s="344"/>
      <c r="L427" s="1603"/>
      <c r="M427" s="1603"/>
      <c r="N427" s="1603"/>
    </row>
    <row r="428" spans="1:14" s="765" customFormat="1" ht="15" hidden="1" customHeight="1" x14ac:dyDescent="0.25">
      <c r="A428" s="1891" t="s">
        <v>619</v>
      </c>
      <c r="B428" s="1891"/>
      <c r="C428" s="1891"/>
      <c r="D428" s="1891"/>
      <c r="E428" s="1891"/>
      <c r="F428" s="1891"/>
      <c r="G428" s="1891"/>
      <c r="H428" s="1891"/>
      <c r="I428" s="1891"/>
      <c r="J428" s="1588">
        <f>J424-J426-J427-J429</f>
        <v>0</v>
      </c>
      <c r="K428" s="61"/>
      <c r="L428" s="1603"/>
      <c r="M428" s="1603"/>
      <c r="N428" s="1603"/>
    </row>
    <row r="429" spans="1:14" s="765" customFormat="1" hidden="1" x14ac:dyDescent="0.25">
      <c r="A429" s="1891" t="s">
        <v>1147</v>
      </c>
      <c r="B429" s="1891"/>
      <c r="C429" s="1891"/>
      <c r="D429" s="1891"/>
      <c r="E429" s="1891"/>
      <c r="F429" s="1891"/>
      <c r="G429" s="1891"/>
      <c r="H429" s="1891"/>
      <c r="I429" s="1891"/>
      <c r="J429" s="360">
        <v>0</v>
      </c>
      <c r="K429" s="61"/>
      <c r="L429" s="1603"/>
      <c r="M429" s="1603"/>
      <c r="N429" s="1603"/>
    </row>
    <row r="430" spans="1:14" s="765" customFormat="1" hidden="1" x14ac:dyDescent="0.25">
      <c r="A430" s="1635"/>
      <c r="B430" s="1635"/>
      <c r="C430" s="1635"/>
      <c r="D430" s="1635"/>
      <c r="E430" s="1635"/>
      <c r="F430" s="1635"/>
      <c r="G430" s="1635"/>
      <c r="H430" s="1635"/>
      <c r="I430" s="1635"/>
      <c r="J430" s="98"/>
      <c r="K430" s="88"/>
      <c r="L430" s="1603"/>
      <c r="M430" s="1603"/>
      <c r="N430" s="1603"/>
    </row>
    <row r="431" spans="1:14" s="765" customFormat="1" hidden="1" x14ac:dyDescent="0.25">
      <c r="A431" s="1908" t="s">
        <v>308</v>
      </c>
      <c r="B431" s="1908"/>
      <c r="C431" s="1908"/>
      <c r="D431" s="1908"/>
      <c r="E431" s="1908"/>
      <c r="F431" s="1908"/>
      <c r="G431" s="1908"/>
      <c r="H431" s="1908"/>
      <c r="I431" s="1635"/>
      <c r="J431" s="98"/>
      <c r="K431" s="61"/>
      <c r="L431" s="1603"/>
      <c r="M431" s="1603"/>
      <c r="N431" s="1603"/>
    </row>
    <row r="432" spans="1:14" s="765" customFormat="1" hidden="1" x14ac:dyDescent="0.25">
      <c r="A432" s="1898" t="s">
        <v>8</v>
      </c>
      <c r="B432" s="1898" t="s">
        <v>1</v>
      </c>
      <c r="C432" s="1898"/>
      <c r="D432" s="1898"/>
      <c r="E432" s="1898"/>
      <c r="F432" s="1898" t="s">
        <v>736</v>
      </c>
      <c r="G432" s="1898" t="s">
        <v>735</v>
      </c>
      <c r="H432" s="1898" t="s">
        <v>735</v>
      </c>
      <c r="I432" s="1898"/>
      <c r="J432" s="1898"/>
      <c r="K432" s="61"/>
      <c r="L432" s="1603"/>
      <c r="M432" s="1603"/>
      <c r="N432" s="1603"/>
    </row>
    <row r="433" spans="1:14" s="765" customFormat="1" ht="45" hidden="1" x14ac:dyDescent="0.25">
      <c r="A433" s="1898"/>
      <c r="B433" s="1898"/>
      <c r="C433" s="1898"/>
      <c r="D433" s="1898"/>
      <c r="E433" s="1898"/>
      <c r="F433" s="1898"/>
      <c r="G433" s="1581" t="s">
        <v>747</v>
      </c>
      <c r="H433" s="1581" t="s">
        <v>748</v>
      </c>
      <c r="I433" s="1581" t="s">
        <v>268</v>
      </c>
      <c r="J433" s="1581" t="s">
        <v>256</v>
      </c>
      <c r="K433" s="88"/>
      <c r="L433" s="1603"/>
      <c r="M433" s="1603"/>
      <c r="N433" s="1603"/>
    </row>
    <row r="434" spans="1:14" s="765" customFormat="1" ht="29.25" hidden="1" customHeight="1" x14ac:dyDescent="0.25">
      <c r="A434" s="1581">
        <v>1</v>
      </c>
      <c r="B434" s="2523" t="s">
        <v>1166</v>
      </c>
      <c r="C434" s="2523"/>
      <c r="D434" s="2523"/>
      <c r="E434" s="2523"/>
      <c r="F434" s="1625" t="s">
        <v>108</v>
      </c>
      <c r="G434" s="1625">
        <v>1</v>
      </c>
      <c r="H434" s="1665">
        <v>11</v>
      </c>
      <c r="I434" s="801">
        <v>12000</v>
      </c>
      <c r="J434" s="801">
        <f>G434*H434*I434</f>
        <v>132000</v>
      </c>
      <c r="K434" s="61"/>
      <c r="L434" s="1603"/>
      <c r="M434" s="1603"/>
      <c r="N434" s="1603"/>
    </row>
    <row r="435" spans="1:14" s="765" customFormat="1" hidden="1" x14ac:dyDescent="0.25">
      <c r="A435" s="1946" t="s">
        <v>39</v>
      </c>
      <c r="B435" s="1947"/>
      <c r="C435" s="2096"/>
      <c r="D435" s="1947"/>
      <c r="E435" s="1947"/>
      <c r="F435" s="1947"/>
      <c r="G435" s="1947"/>
      <c r="H435" s="1947"/>
      <c r="I435" s="1948"/>
      <c r="J435" s="1589">
        <f>SUM(J434:J434)</f>
        <v>132000</v>
      </c>
      <c r="K435" s="61"/>
      <c r="L435" s="1603"/>
      <c r="M435" s="1603"/>
      <c r="N435" s="1603"/>
    </row>
    <row r="436" spans="1:14" s="765" customFormat="1" hidden="1" x14ac:dyDescent="0.25">
      <c r="A436" s="1924" t="s">
        <v>514</v>
      </c>
      <c r="B436" s="1925"/>
      <c r="C436" s="1925"/>
      <c r="D436" s="1925"/>
      <c r="E436" s="1925"/>
      <c r="F436" s="1925"/>
      <c r="G436" s="1925"/>
      <c r="H436" s="1925"/>
      <c r="I436" s="1925"/>
      <c r="J436" s="1925"/>
      <c r="K436" s="88"/>
      <c r="L436" s="1603"/>
      <c r="M436" s="1603"/>
      <c r="N436" s="1603"/>
    </row>
    <row r="437" spans="1:14" s="765" customFormat="1" hidden="1" x14ac:dyDescent="0.25">
      <c r="A437" s="1913" t="s">
        <v>1134</v>
      </c>
      <c r="B437" s="1913"/>
      <c r="C437" s="1913"/>
      <c r="D437" s="1913"/>
      <c r="E437" s="1913"/>
      <c r="F437" s="1913"/>
      <c r="G437" s="1913"/>
      <c r="H437" s="1913"/>
      <c r="I437" s="1913"/>
      <c r="J437" s="1594">
        <v>0</v>
      </c>
      <c r="K437" s="88"/>
      <c r="L437" s="1603"/>
      <c r="M437" s="1603"/>
      <c r="N437" s="1603"/>
    </row>
    <row r="438" spans="1:14" s="765" customFormat="1" hidden="1" x14ac:dyDescent="0.25">
      <c r="A438" s="1913" t="s">
        <v>153</v>
      </c>
      <c r="B438" s="1913"/>
      <c r="C438" s="1913"/>
      <c r="D438" s="1913"/>
      <c r="E438" s="1913"/>
      <c r="F438" s="1913"/>
      <c r="G438" s="1913"/>
      <c r="H438" s="1913"/>
      <c r="I438" s="1913"/>
      <c r="J438" s="1594">
        <f>72000+12000+12000*4</f>
        <v>132000</v>
      </c>
      <c r="K438" s="344"/>
      <c r="L438" s="1603"/>
      <c r="M438" s="1603"/>
      <c r="N438" s="1603"/>
    </row>
    <row r="439" spans="1:14" s="765" customFormat="1" hidden="1" x14ac:dyDescent="0.25">
      <c r="A439" s="1891" t="s">
        <v>619</v>
      </c>
      <c r="B439" s="1891"/>
      <c r="C439" s="1891"/>
      <c r="D439" s="1891"/>
      <c r="E439" s="1891"/>
      <c r="F439" s="1891"/>
      <c r="G439" s="1891"/>
      <c r="H439" s="1891"/>
      <c r="I439" s="1891"/>
      <c r="J439" s="1588">
        <f>J435-J437-J438-J440</f>
        <v>0</v>
      </c>
      <c r="K439" s="88"/>
      <c r="L439" s="1603"/>
      <c r="M439" s="1603"/>
      <c r="N439" s="1603"/>
    </row>
    <row r="440" spans="1:14" s="765" customFormat="1" hidden="1" x14ac:dyDescent="0.25">
      <c r="A440" s="1891" t="s">
        <v>1147</v>
      </c>
      <c r="B440" s="1891"/>
      <c r="C440" s="1891"/>
      <c r="D440" s="1891"/>
      <c r="E440" s="1891"/>
      <c r="F440" s="1891"/>
      <c r="G440" s="1891"/>
      <c r="H440" s="1891"/>
      <c r="I440" s="1891"/>
      <c r="J440" s="360">
        <v>0</v>
      </c>
      <c r="K440" s="88"/>
      <c r="L440" s="1603"/>
      <c r="M440" s="1603"/>
      <c r="N440" s="1603"/>
    </row>
    <row r="441" spans="1:14" s="765" customFormat="1" hidden="1" x14ac:dyDescent="0.25">
      <c r="A441" s="1635"/>
      <c r="B441" s="1635"/>
      <c r="C441" s="1635"/>
      <c r="D441" s="1635"/>
      <c r="E441" s="1635"/>
      <c r="F441" s="1635"/>
      <c r="G441" s="1635"/>
      <c r="H441" s="1635"/>
      <c r="I441" s="1635"/>
      <c r="J441" s="98"/>
      <c r="K441" s="88"/>
      <c r="L441" s="1603"/>
      <c r="M441" s="1603"/>
      <c r="N441" s="1603"/>
    </row>
    <row r="442" spans="1:14" s="765" customFormat="1" hidden="1" x14ac:dyDescent="0.25">
      <c r="A442" s="1908" t="s">
        <v>308</v>
      </c>
      <c r="B442" s="1908"/>
      <c r="C442" s="1908"/>
      <c r="D442" s="1908"/>
      <c r="E442" s="1908"/>
      <c r="F442" s="1908"/>
      <c r="G442" s="1908"/>
      <c r="H442" s="1908"/>
      <c r="I442" s="1635"/>
      <c r="J442" s="98"/>
      <c r="K442" s="88"/>
      <c r="L442" s="1603"/>
      <c r="M442" s="1603"/>
      <c r="N442" s="1603"/>
    </row>
    <row r="443" spans="1:14" s="765" customFormat="1" hidden="1" x14ac:dyDescent="0.25">
      <c r="A443" s="1898" t="s">
        <v>8</v>
      </c>
      <c r="B443" s="1898" t="s">
        <v>1</v>
      </c>
      <c r="C443" s="1898"/>
      <c r="D443" s="1898"/>
      <c r="E443" s="1898"/>
      <c r="F443" s="1898" t="s">
        <v>736</v>
      </c>
      <c r="G443" s="1898" t="s">
        <v>735</v>
      </c>
      <c r="H443" s="1898" t="s">
        <v>735</v>
      </c>
      <c r="I443" s="1898"/>
      <c r="J443" s="1898"/>
      <c r="K443" s="88"/>
      <c r="L443" s="1603"/>
      <c r="M443" s="1603"/>
      <c r="N443" s="1603"/>
    </row>
    <row r="444" spans="1:14" s="765" customFormat="1" ht="45" hidden="1" x14ac:dyDescent="0.25">
      <c r="A444" s="1898"/>
      <c r="B444" s="1898"/>
      <c r="C444" s="1898"/>
      <c r="D444" s="1898"/>
      <c r="E444" s="1898"/>
      <c r="F444" s="1898"/>
      <c r="G444" s="1581" t="s">
        <v>747</v>
      </c>
      <c r="H444" s="1581" t="s">
        <v>748</v>
      </c>
      <c r="I444" s="1581" t="s">
        <v>268</v>
      </c>
      <c r="J444" s="1581" t="s">
        <v>256</v>
      </c>
      <c r="K444" s="88"/>
      <c r="L444" s="1603"/>
      <c r="M444" s="1603"/>
      <c r="N444" s="1603"/>
    </row>
    <row r="445" spans="1:14" s="765" customFormat="1" ht="30" hidden="1" customHeight="1" x14ac:dyDescent="0.25">
      <c r="A445" s="1581">
        <v>1</v>
      </c>
      <c r="B445" s="2523" t="s">
        <v>1167</v>
      </c>
      <c r="C445" s="2523"/>
      <c r="D445" s="2523"/>
      <c r="E445" s="2523"/>
      <c r="F445" s="1625" t="s">
        <v>108</v>
      </c>
      <c r="G445" s="1625">
        <v>1</v>
      </c>
      <c r="H445" s="1665">
        <v>11</v>
      </c>
      <c r="I445" s="801">
        <v>12000</v>
      </c>
      <c r="J445" s="801">
        <f>G445*H445*I445</f>
        <v>132000</v>
      </c>
      <c r="K445" s="88"/>
      <c r="L445" s="1603"/>
      <c r="M445" s="1603"/>
      <c r="N445" s="1603"/>
    </row>
    <row r="446" spans="1:14" s="765" customFormat="1" hidden="1" x14ac:dyDescent="0.25">
      <c r="A446" s="1946" t="s">
        <v>39</v>
      </c>
      <c r="B446" s="1947"/>
      <c r="C446" s="2096"/>
      <c r="D446" s="1947"/>
      <c r="E446" s="1947"/>
      <c r="F446" s="1947"/>
      <c r="G446" s="1947"/>
      <c r="H446" s="1947"/>
      <c r="I446" s="1948"/>
      <c r="J446" s="1589">
        <f>SUM(J445:J445)</f>
        <v>132000</v>
      </c>
      <c r="K446" s="88"/>
      <c r="L446" s="1603"/>
      <c r="M446" s="1603"/>
      <c r="N446" s="1603"/>
    </row>
    <row r="447" spans="1:14" s="765" customFormat="1" hidden="1" x14ac:dyDescent="0.25">
      <c r="A447" s="1924" t="s">
        <v>514</v>
      </c>
      <c r="B447" s="1925"/>
      <c r="C447" s="1925"/>
      <c r="D447" s="1925"/>
      <c r="E447" s="1925"/>
      <c r="F447" s="1925"/>
      <c r="G447" s="1925"/>
      <c r="H447" s="1925"/>
      <c r="I447" s="1925"/>
      <c r="J447" s="1925"/>
      <c r="K447" s="88"/>
      <c r="L447" s="1603"/>
      <c r="M447" s="1603"/>
      <c r="N447" s="1603"/>
    </row>
    <row r="448" spans="1:14" s="765" customFormat="1" hidden="1" x14ac:dyDescent="0.25">
      <c r="A448" s="1913" t="s">
        <v>1134</v>
      </c>
      <c r="B448" s="1913"/>
      <c r="C448" s="1913"/>
      <c r="D448" s="1913"/>
      <c r="E448" s="1913"/>
      <c r="F448" s="1913"/>
      <c r="G448" s="1913"/>
      <c r="H448" s="1913"/>
      <c r="I448" s="1913"/>
      <c r="J448" s="1594">
        <v>0</v>
      </c>
      <c r="K448" s="88"/>
      <c r="L448" s="1603"/>
      <c r="M448" s="1603"/>
      <c r="N448" s="1603"/>
    </row>
    <row r="449" spans="1:14" s="765" customFormat="1" hidden="1" x14ac:dyDescent="0.25">
      <c r="A449" s="1913" t="s">
        <v>153</v>
      </c>
      <c r="B449" s="1913"/>
      <c r="C449" s="1913"/>
      <c r="D449" s="1913"/>
      <c r="E449" s="1913"/>
      <c r="F449" s="1913"/>
      <c r="G449" s="1913"/>
      <c r="H449" s="1913"/>
      <c r="I449" s="1913"/>
      <c r="J449" s="1594">
        <f>72000+12000+12000*4</f>
        <v>132000</v>
      </c>
      <c r="K449" s="344"/>
      <c r="L449" s="1603"/>
      <c r="M449" s="1603"/>
      <c r="N449" s="1603"/>
    </row>
    <row r="450" spans="1:14" s="765" customFormat="1" hidden="1" x14ac:dyDescent="0.25">
      <c r="A450" s="1891" t="s">
        <v>619</v>
      </c>
      <c r="B450" s="1891"/>
      <c r="C450" s="1891"/>
      <c r="D450" s="1891"/>
      <c r="E450" s="1891"/>
      <c r="F450" s="1891"/>
      <c r="G450" s="1891"/>
      <c r="H450" s="1891"/>
      <c r="I450" s="1891"/>
      <c r="J450" s="1588">
        <f>J446-J448-J449-J451</f>
        <v>0</v>
      </c>
      <c r="K450" s="88"/>
      <c r="L450" s="1603"/>
      <c r="M450" s="1603"/>
      <c r="N450" s="1603"/>
    </row>
    <row r="451" spans="1:14" s="765" customFormat="1" hidden="1" x14ac:dyDescent="0.25">
      <c r="A451" s="1891" t="s">
        <v>1147</v>
      </c>
      <c r="B451" s="1891"/>
      <c r="C451" s="1891"/>
      <c r="D451" s="1891"/>
      <c r="E451" s="1891"/>
      <c r="F451" s="1891"/>
      <c r="G451" s="1891"/>
      <c r="H451" s="1891"/>
      <c r="I451" s="1891"/>
      <c r="J451" s="360">
        <v>0</v>
      </c>
      <c r="K451" s="88"/>
      <c r="L451" s="1603"/>
      <c r="M451" s="1603"/>
      <c r="N451" s="1603"/>
    </row>
    <row r="452" spans="1:14" s="765" customFormat="1" hidden="1" x14ac:dyDescent="0.25">
      <c r="A452" s="1644"/>
      <c r="B452" s="1644"/>
      <c r="C452" s="1644"/>
      <c r="D452" s="1644"/>
      <c r="E452" s="1644"/>
      <c r="F452" s="1644"/>
      <c r="G452" s="1644"/>
      <c r="H452" s="60"/>
      <c r="I452" s="69"/>
      <c r="J452" s="69"/>
      <c r="K452" s="88"/>
      <c r="L452" s="1603"/>
      <c r="M452" s="1603"/>
      <c r="N452" s="1603"/>
    </row>
    <row r="453" spans="1:14" s="765" customFormat="1" hidden="1" x14ac:dyDescent="0.25">
      <c r="A453" s="1908" t="s">
        <v>308</v>
      </c>
      <c r="B453" s="1908"/>
      <c r="C453" s="1908"/>
      <c r="D453" s="1908"/>
      <c r="E453" s="1908"/>
      <c r="F453" s="1908"/>
      <c r="G453" s="1908"/>
      <c r="H453" s="1908"/>
      <c r="I453" s="1635"/>
      <c r="J453" s="98"/>
      <c r="K453" s="88"/>
      <c r="L453" s="1603"/>
      <c r="M453" s="1603"/>
      <c r="N453" s="1603"/>
    </row>
    <row r="454" spans="1:14" s="765" customFormat="1" hidden="1" x14ac:dyDescent="0.25">
      <c r="A454" s="1898" t="s">
        <v>8</v>
      </c>
      <c r="B454" s="1898" t="s">
        <v>1</v>
      </c>
      <c r="C454" s="1898"/>
      <c r="D454" s="1898"/>
      <c r="E454" s="1898"/>
      <c r="F454" s="1898" t="s">
        <v>736</v>
      </c>
      <c r="G454" s="1898" t="s">
        <v>735</v>
      </c>
      <c r="H454" s="1898" t="s">
        <v>735</v>
      </c>
      <c r="I454" s="1898"/>
      <c r="J454" s="1898"/>
      <c r="K454" s="81"/>
      <c r="L454" s="1603"/>
      <c r="M454" s="1603"/>
      <c r="N454" s="1603"/>
    </row>
    <row r="455" spans="1:14" s="765" customFormat="1" ht="45" hidden="1" x14ac:dyDescent="0.25">
      <c r="A455" s="1898"/>
      <c r="B455" s="1898"/>
      <c r="C455" s="1898"/>
      <c r="D455" s="1898"/>
      <c r="E455" s="1898"/>
      <c r="F455" s="1898"/>
      <c r="G455" s="1581" t="s">
        <v>747</v>
      </c>
      <c r="H455" s="1581" t="s">
        <v>748</v>
      </c>
      <c r="I455" s="1581" t="s">
        <v>268</v>
      </c>
      <c r="J455" s="1581" t="s">
        <v>256</v>
      </c>
      <c r="K455" s="88"/>
      <c r="L455" s="1603"/>
      <c r="M455" s="1603"/>
      <c r="N455" s="1603"/>
    </row>
    <row r="456" spans="1:14" s="765" customFormat="1" ht="30.75" hidden="1" customHeight="1" x14ac:dyDescent="0.25">
      <c r="A456" s="1581">
        <v>1</v>
      </c>
      <c r="B456" s="1891" t="s">
        <v>1092</v>
      </c>
      <c r="C456" s="1891"/>
      <c r="D456" s="1891"/>
      <c r="E456" s="1891"/>
      <c r="F456" s="1581" t="s">
        <v>108</v>
      </c>
      <c r="G456" s="1625">
        <v>1</v>
      </c>
      <c r="H456" s="1665">
        <v>11</v>
      </c>
      <c r="I456" s="801">
        <v>4000</v>
      </c>
      <c r="J456" s="1591">
        <f>G456*H456*I456</f>
        <v>44000</v>
      </c>
      <c r="K456" s="344"/>
      <c r="L456" s="1603"/>
      <c r="M456" s="1603"/>
      <c r="N456" s="1603"/>
    </row>
    <row r="457" spans="1:14" s="765" customFormat="1" hidden="1" x14ac:dyDescent="0.25">
      <c r="A457" s="1895" t="s">
        <v>39</v>
      </c>
      <c r="B457" s="1895"/>
      <c r="C457" s="1895"/>
      <c r="D457" s="1895"/>
      <c r="E457" s="1895"/>
      <c r="F457" s="1895"/>
      <c r="G457" s="1895"/>
      <c r="H457" s="1895"/>
      <c r="I457" s="1895"/>
      <c r="J457" s="1589">
        <f>SUM(J456:J456)</f>
        <v>44000</v>
      </c>
      <c r="K457" s="88"/>
      <c r="L457" s="1603"/>
      <c r="M457" s="1603"/>
      <c r="N457" s="1603"/>
    </row>
    <row r="458" spans="1:14" s="765" customFormat="1" hidden="1" x14ac:dyDescent="0.25">
      <c r="A458" s="1924" t="s">
        <v>514</v>
      </c>
      <c r="B458" s="1925"/>
      <c r="C458" s="1925"/>
      <c r="D458" s="1925"/>
      <c r="E458" s="1925"/>
      <c r="F458" s="1925"/>
      <c r="G458" s="1925"/>
      <c r="H458" s="1925"/>
      <c r="I458" s="1925"/>
      <c r="J458" s="1925"/>
      <c r="K458" s="81"/>
      <c r="L458" s="1603"/>
      <c r="M458" s="1603"/>
      <c r="N458" s="1603"/>
    </row>
    <row r="459" spans="1:14" s="765" customFormat="1" hidden="1" x14ac:dyDescent="0.25">
      <c r="A459" s="1913" t="s">
        <v>1134</v>
      </c>
      <c r="B459" s="1913"/>
      <c r="C459" s="1913"/>
      <c r="D459" s="1913"/>
      <c r="E459" s="1913"/>
      <c r="F459" s="1913"/>
      <c r="G459" s="1913"/>
      <c r="H459" s="1913"/>
      <c r="I459" s="1913"/>
      <c r="J459" s="1594">
        <v>0</v>
      </c>
      <c r="K459" s="344"/>
      <c r="L459" s="1603"/>
      <c r="M459" s="1603"/>
      <c r="N459" s="1603"/>
    </row>
    <row r="460" spans="1:14" s="765" customFormat="1" hidden="1" x14ac:dyDescent="0.25">
      <c r="A460" s="1913" t="s">
        <v>153</v>
      </c>
      <c r="B460" s="1913"/>
      <c r="C460" s="1913"/>
      <c r="D460" s="1913"/>
      <c r="E460" s="1913"/>
      <c r="F460" s="1913"/>
      <c r="G460" s="1913"/>
      <c r="H460" s="1913"/>
      <c r="I460" s="1913"/>
      <c r="J460" s="1594">
        <f>24000+4000+4000*4</f>
        <v>44000</v>
      </c>
      <c r="K460" s="344"/>
      <c r="L460" s="1603"/>
      <c r="M460" s="1603"/>
      <c r="N460" s="1603"/>
    </row>
    <row r="461" spans="1:14" s="765" customFormat="1" hidden="1" x14ac:dyDescent="0.25">
      <c r="A461" s="1891" t="s">
        <v>619</v>
      </c>
      <c r="B461" s="1891"/>
      <c r="C461" s="1891"/>
      <c r="D461" s="1891"/>
      <c r="E461" s="1891"/>
      <c r="F461" s="1891"/>
      <c r="G461" s="1891"/>
      <c r="H461" s="1891"/>
      <c r="I461" s="1891"/>
      <c r="J461" s="1588">
        <f>J457-J460</f>
        <v>0</v>
      </c>
      <c r="K461" s="81"/>
      <c r="L461" s="1603"/>
      <c r="M461" s="1603"/>
      <c r="N461" s="1603"/>
    </row>
    <row r="462" spans="1:14" s="765" customFormat="1" hidden="1" x14ac:dyDescent="0.25">
      <c r="A462" s="1891" t="s">
        <v>1147</v>
      </c>
      <c r="B462" s="1891"/>
      <c r="C462" s="1891"/>
      <c r="D462" s="1891"/>
      <c r="E462" s="1891"/>
      <c r="F462" s="1891"/>
      <c r="G462" s="1891"/>
      <c r="H462" s="1891"/>
      <c r="I462" s="1891"/>
      <c r="J462" s="360">
        <v>0</v>
      </c>
      <c r="K462" s="81"/>
      <c r="L462" s="1603"/>
      <c r="M462" s="1603"/>
      <c r="N462" s="1603"/>
    </row>
    <row r="463" spans="1:14" s="765" customFormat="1" hidden="1" x14ac:dyDescent="0.25">
      <c r="A463" s="1644"/>
      <c r="B463" s="1644"/>
      <c r="C463" s="1644"/>
      <c r="D463" s="1644"/>
      <c r="E463" s="1644"/>
      <c r="F463" s="1644"/>
      <c r="G463" s="1644"/>
      <c r="H463" s="60"/>
      <c r="I463" s="69"/>
      <c r="J463" s="69"/>
      <c r="K463" s="81"/>
      <c r="L463" s="1603"/>
      <c r="M463" s="1603"/>
      <c r="N463" s="1603"/>
    </row>
    <row r="464" spans="1:14" s="765" customFormat="1" hidden="1" x14ac:dyDescent="0.25">
      <c r="A464" s="1908" t="s">
        <v>308</v>
      </c>
      <c r="B464" s="1908"/>
      <c r="C464" s="1908"/>
      <c r="D464" s="1908"/>
      <c r="E464" s="1908"/>
      <c r="F464" s="1908"/>
      <c r="G464" s="1908"/>
      <c r="H464" s="1908"/>
      <c r="I464" s="1635"/>
      <c r="J464" s="98"/>
      <c r="K464" s="81"/>
      <c r="L464" s="1603"/>
      <c r="M464" s="1603"/>
      <c r="N464" s="1603"/>
    </row>
    <row r="465" spans="1:14" s="765" customFormat="1" hidden="1" x14ac:dyDescent="0.25">
      <c r="A465" s="1898" t="s">
        <v>8</v>
      </c>
      <c r="B465" s="1898" t="s">
        <v>1</v>
      </c>
      <c r="C465" s="1898"/>
      <c r="D465" s="1898"/>
      <c r="E465" s="1898"/>
      <c r="F465" s="1898" t="s">
        <v>736</v>
      </c>
      <c r="G465" s="1898" t="s">
        <v>735</v>
      </c>
      <c r="H465" s="1898" t="s">
        <v>735</v>
      </c>
      <c r="I465" s="1898"/>
      <c r="J465" s="1898"/>
      <c r="K465" s="81"/>
      <c r="L465" s="1603"/>
      <c r="M465" s="1603"/>
      <c r="N465" s="1603"/>
    </row>
    <row r="466" spans="1:14" s="765" customFormat="1" ht="45" hidden="1" x14ac:dyDescent="0.25">
      <c r="A466" s="1898"/>
      <c r="B466" s="1898"/>
      <c r="C466" s="1898"/>
      <c r="D466" s="1898"/>
      <c r="E466" s="1898"/>
      <c r="F466" s="1898"/>
      <c r="G466" s="1581" t="s">
        <v>747</v>
      </c>
      <c r="H466" s="1581" t="s">
        <v>748</v>
      </c>
      <c r="I466" s="1581" t="s">
        <v>268</v>
      </c>
      <c r="J466" s="1581" t="s">
        <v>256</v>
      </c>
      <c r="K466" s="81"/>
      <c r="L466" s="1603"/>
      <c r="M466" s="1603"/>
      <c r="N466" s="1603"/>
    </row>
    <row r="467" spans="1:14" s="765" customFormat="1" ht="30" hidden="1" customHeight="1" x14ac:dyDescent="0.25">
      <c r="A467" s="1581">
        <v>1</v>
      </c>
      <c r="B467" s="1891" t="s">
        <v>1093</v>
      </c>
      <c r="C467" s="1891"/>
      <c r="D467" s="1891"/>
      <c r="E467" s="1891"/>
      <c r="F467" s="1581" t="s">
        <v>108</v>
      </c>
      <c r="G467" s="1625">
        <v>1</v>
      </c>
      <c r="H467" s="1665">
        <v>11</v>
      </c>
      <c r="I467" s="801">
        <v>4000</v>
      </c>
      <c r="J467" s="1591">
        <f>G467*H467*I467</f>
        <v>44000</v>
      </c>
      <c r="K467" s="81"/>
      <c r="L467" s="1603"/>
      <c r="M467" s="1603"/>
      <c r="N467" s="1603"/>
    </row>
    <row r="468" spans="1:14" s="765" customFormat="1" hidden="1" x14ac:dyDescent="0.25">
      <c r="A468" s="1895" t="s">
        <v>39</v>
      </c>
      <c r="B468" s="1895"/>
      <c r="C468" s="1895"/>
      <c r="D468" s="1895"/>
      <c r="E468" s="1895"/>
      <c r="F468" s="1895"/>
      <c r="G468" s="1895"/>
      <c r="H468" s="1895"/>
      <c r="I468" s="1895"/>
      <c r="J468" s="1589">
        <f>SUM(J467:J467)</f>
        <v>44000</v>
      </c>
      <c r="K468" s="81"/>
      <c r="L468" s="1603"/>
      <c r="M468" s="1603"/>
      <c r="N468" s="1603"/>
    </row>
    <row r="469" spans="1:14" s="765" customFormat="1" hidden="1" x14ac:dyDescent="0.25">
      <c r="A469" s="1924" t="s">
        <v>514</v>
      </c>
      <c r="B469" s="1925"/>
      <c r="C469" s="1925"/>
      <c r="D469" s="1925"/>
      <c r="E469" s="1925"/>
      <c r="F469" s="1925"/>
      <c r="G469" s="1925"/>
      <c r="H469" s="1925"/>
      <c r="I469" s="1925"/>
      <c r="J469" s="1925"/>
      <c r="K469" s="81"/>
      <c r="L469" s="1603"/>
      <c r="M469" s="1603"/>
      <c r="N469" s="1603"/>
    </row>
    <row r="470" spans="1:14" s="765" customFormat="1" hidden="1" x14ac:dyDescent="0.25">
      <c r="A470" s="1913" t="s">
        <v>1134</v>
      </c>
      <c r="B470" s="1913"/>
      <c r="C470" s="1913"/>
      <c r="D470" s="1913"/>
      <c r="E470" s="1913"/>
      <c r="F470" s="1913"/>
      <c r="G470" s="1913"/>
      <c r="H470" s="1913"/>
      <c r="I470" s="1913"/>
      <c r="J470" s="1594">
        <v>0</v>
      </c>
      <c r="K470" s="81"/>
      <c r="L470" s="1603"/>
      <c r="M470" s="1603"/>
      <c r="N470" s="1603"/>
    </row>
    <row r="471" spans="1:14" s="765" customFormat="1" hidden="1" x14ac:dyDescent="0.25">
      <c r="A471" s="1913" t="s">
        <v>153</v>
      </c>
      <c r="B471" s="1913"/>
      <c r="C471" s="1913"/>
      <c r="D471" s="1913"/>
      <c r="E471" s="1913"/>
      <c r="F471" s="1913"/>
      <c r="G471" s="1913"/>
      <c r="H471" s="1913"/>
      <c r="I471" s="1913"/>
      <c r="J471" s="1594">
        <f>24000+4000+4000*4</f>
        <v>44000</v>
      </c>
      <c r="K471" s="344"/>
      <c r="L471" s="1603"/>
      <c r="M471" s="1603"/>
      <c r="N471" s="1603"/>
    </row>
    <row r="472" spans="1:14" s="765" customFormat="1" hidden="1" x14ac:dyDescent="0.25">
      <c r="A472" s="1891" t="s">
        <v>619</v>
      </c>
      <c r="B472" s="1891"/>
      <c r="C472" s="1891"/>
      <c r="D472" s="1891"/>
      <c r="E472" s="1891"/>
      <c r="F472" s="1891"/>
      <c r="G472" s="1891"/>
      <c r="H472" s="1891"/>
      <c r="I472" s="1891"/>
      <c r="J472" s="1588">
        <f>J468-J471</f>
        <v>0</v>
      </c>
      <c r="K472" s="81"/>
      <c r="L472" s="1603"/>
      <c r="M472" s="1603"/>
      <c r="N472" s="1603"/>
    </row>
    <row r="473" spans="1:14" s="765" customFormat="1" hidden="1" x14ac:dyDescent="0.25">
      <c r="A473" s="1891" t="s">
        <v>1147</v>
      </c>
      <c r="B473" s="1891"/>
      <c r="C473" s="1891"/>
      <c r="D473" s="1891"/>
      <c r="E473" s="1891"/>
      <c r="F473" s="1891"/>
      <c r="G473" s="1891"/>
      <c r="H473" s="1891"/>
      <c r="I473" s="1891"/>
      <c r="J473" s="360">
        <v>0</v>
      </c>
      <c r="K473" s="81"/>
      <c r="L473" s="1603"/>
      <c r="M473" s="1603"/>
      <c r="N473" s="1603"/>
    </row>
    <row r="474" spans="1:14" s="765" customFormat="1" hidden="1" x14ac:dyDescent="0.25">
      <c r="A474" s="1644"/>
      <c r="B474" s="1644"/>
      <c r="C474" s="1644"/>
      <c r="D474" s="1644"/>
      <c r="E474" s="1644"/>
      <c r="F474" s="1644"/>
      <c r="G474" s="1644"/>
      <c r="H474" s="60"/>
      <c r="I474" s="69"/>
      <c r="J474" s="69"/>
      <c r="K474" s="81"/>
      <c r="L474" s="1603"/>
      <c r="M474" s="1603"/>
      <c r="N474" s="1603"/>
    </row>
    <row r="475" spans="1:14" s="765" customFormat="1" x14ac:dyDescent="0.25">
      <c r="A475" s="1908" t="s">
        <v>308</v>
      </c>
      <c r="B475" s="1908"/>
      <c r="C475" s="1908"/>
      <c r="D475" s="1908"/>
      <c r="E475" s="1908"/>
      <c r="F475" s="1908"/>
      <c r="G475" s="1908"/>
      <c r="H475" s="1908"/>
      <c r="I475" s="1635"/>
      <c r="J475" s="98"/>
      <c r="K475" s="81"/>
      <c r="L475" s="1282"/>
      <c r="M475" s="1603"/>
      <c r="N475" s="1603"/>
    </row>
    <row r="476" spans="1:14" s="765" customFormat="1" x14ac:dyDescent="0.25">
      <c r="A476" s="1898" t="s">
        <v>8</v>
      </c>
      <c r="B476" s="1898" t="s">
        <v>1</v>
      </c>
      <c r="C476" s="1898"/>
      <c r="D476" s="1898"/>
      <c r="E476" s="1898"/>
      <c r="F476" s="1898" t="s">
        <v>736</v>
      </c>
      <c r="G476" s="1898" t="s">
        <v>1827</v>
      </c>
      <c r="H476" s="1898" t="s">
        <v>735</v>
      </c>
      <c r="I476" s="1898"/>
      <c r="J476" s="1898"/>
      <c r="K476" s="81" t="s">
        <v>1478</v>
      </c>
      <c r="L476" s="1603"/>
      <c r="M476" s="1603"/>
      <c r="N476" s="1603"/>
    </row>
    <row r="477" spans="1:14" s="765" customFormat="1" ht="45" x14ac:dyDescent="0.25">
      <c r="A477" s="1898"/>
      <c r="B477" s="1898"/>
      <c r="C477" s="1898"/>
      <c r="D477" s="1898"/>
      <c r="E477" s="1898"/>
      <c r="F477" s="1898"/>
      <c r="G477" s="1581" t="s">
        <v>747</v>
      </c>
      <c r="H477" s="1581" t="s">
        <v>748</v>
      </c>
      <c r="I477" s="1581" t="s">
        <v>268</v>
      </c>
      <c r="J477" s="1581" t="s">
        <v>256</v>
      </c>
      <c r="K477" s="81"/>
      <c r="L477" s="1603"/>
      <c r="M477" s="1603"/>
      <c r="N477" s="1603"/>
    </row>
    <row r="478" spans="1:14" s="765" customFormat="1" ht="30.75" customHeight="1" x14ac:dyDescent="0.25">
      <c r="A478" s="1581">
        <v>1</v>
      </c>
      <c r="B478" s="1891" t="s">
        <v>1327</v>
      </c>
      <c r="C478" s="1891"/>
      <c r="D478" s="1891"/>
      <c r="E478" s="1891"/>
      <c r="F478" s="1581" t="s">
        <v>108</v>
      </c>
      <c r="G478" s="1625">
        <v>3</v>
      </c>
      <c r="H478" s="1665">
        <v>12</v>
      </c>
      <c r="I478" s="801">
        <v>600</v>
      </c>
      <c r="J478" s="1591">
        <f>G478*H478*I478</f>
        <v>21600</v>
      </c>
      <c r="K478" s="81"/>
      <c r="L478" s="1603"/>
      <c r="M478" s="1603"/>
      <c r="N478" s="1603"/>
    </row>
    <row r="479" spans="1:14" s="765" customFormat="1" x14ac:dyDescent="0.25">
      <c r="A479" s="1895" t="s">
        <v>39</v>
      </c>
      <c r="B479" s="1895"/>
      <c r="C479" s="1895"/>
      <c r="D479" s="1895"/>
      <c r="E479" s="1895"/>
      <c r="F479" s="1895"/>
      <c r="G479" s="1895"/>
      <c r="H479" s="1895"/>
      <c r="I479" s="1895"/>
      <c r="J479" s="1589">
        <f>SUM(J478:J478)</f>
        <v>21600</v>
      </c>
      <c r="K479" s="344">
        <v>0</v>
      </c>
      <c r="L479" s="392">
        <f>J479-K479</f>
        <v>21600</v>
      </c>
      <c r="M479" s="1603"/>
      <c r="N479" s="1603"/>
    </row>
    <row r="480" spans="1:14" s="765" customFormat="1" hidden="1" x14ac:dyDescent="0.25">
      <c r="A480" s="1924" t="s">
        <v>514</v>
      </c>
      <c r="B480" s="1925"/>
      <c r="C480" s="1925"/>
      <c r="D480" s="1925"/>
      <c r="E480" s="1925"/>
      <c r="F480" s="1925"/>
      <c r="G480" s="1925"/>
      <c r="H480" s="1925"/>
      <c r="I480" s="1925"/>
      <c r="J480" s="1925"/>
      <c r="K480" s="81"/>
      <c r="L480" s="1603"/>
      <c r="M480" s="1603"/>
      <c r="N480" s="1603"/>
    </row>
    <row r="481" spans="1:14" s="765" customFormat="1" hidden="1" x14ac:dyDescent="0.25">
      <c r="A481" s="1913" t="s">
        <v>153</v>
      </c>
      <c r="B481" s="1913"/>
      <c r="C481" s="1913"/>
      <c r="D481" s="1913"/>
      <c r="E481" s="1913"/>
      <c r="F481" s="1913"/>
      <c r="G481" s="1913"/>
      <c r="H481" s="1913"/>
      <c r="I481" s="1913"/>
      <c r="J481" s="1594">
        <v>0</v>
      </c>
      <c r="K481" s="81"/>
      <c r="L481" s="1603"/>
      <c r="M481" s="1603"/>
      <c r="N481" s="1603"/>
    </row>
    <row r="482" spans="1:14" s="765" customFormat="1" hidden="1" x14ac:dyDescent="0.25">
      <c r="A482" s="1891" t="s">
        <v>619</v>
      </c>
      <c r="B482" s="1891"/>
      <c r="C482" s="1891"/>
      <c r="D482" s="1891"/>
      <c r="E482" s="1891"/>
      <c r="F482" s="1891"/>
      <c r="G482" s="1891"/>
      <c r="H482" s="1891"/>
      <c r="I482" s="1891"/>
      <c r="J482" s="1588">
        <f>J479-J481</f>
        <v>21600</v>
      </c>
      <c r="M482" s="1603"/>
      <c r="N482" s="1603"/>
    </row>
    <row r="483" spans="1:14" s="765" customFormat="1" x14ac:dyDescent="0.25">
      <c r="A483" s="1644"/>
      <c r="B483" s="1644"/>
      <c r="C483" s="1644"/>
      <c r="D483" s="1644"/>
      <c r="E483" s="1644"/>
      <c r="F483" s="1644"/>
      <c r="G483" s="1644"/>
      <c r="H483" s="60"/>
      <c r="I483" s="69"/>
      <c r="J483" s="69"/>
      <c r="K483" s="81"/>
      <c r="L483" s="1603"/>
      <c r="M483" s="1603"/>
      <c r="N483" s="1603"/>
    </row>
    <row r="484" spans="1:14" s="765" customFormat="1" x14ac:dyDescent="0.25">
      <c r="A484" s="1908" t="s">
        <v>308</v>
      </c>
      <c r="B484" s="1908"/>
      <c r="C484" s="1908"/>
      <c r="D484" s="1908"/>
      <c r="E484" s="1908"/>
      <c r="F484" s="1908"/>
      <c r="G484" s="1908"/>
      <c r="H484" s="1908"/>
      <c r="I484" s="1635"/>
      <c r="J484" s="98"/>
      <c r="K484" s="81"/>
      <c r="L484" s="1603"/>
      <c r="M484" s="1603"/>
      <c r="N484" s="1603"/>
    </row>
    <row r="485" spans="1:14" s="765" customFormat="1" x14ac:dyDescent="0.25">
      <c r="A485" s="1898" t="s">
        <v>8</v>
      </c>
      <c r="B485" s="1898" t="s">
        <v>1</v>
      </c>
      <c r="C485" s="1898"/>
      <c r="D485" s="1898"/>
      <c r="E485" s="1898"/>
      <c r="F485" s="1898" t="s">
        <v>736</v>
      </c>
      <c r="G485" s="1898" t="s">
        <v>1827</v>
      </c>
      <c r="H485" s="1898" t="s">
        <v>735</v>
      </c>
      <c r="I485" s="1898"/>
      <c r="J485" s="1898"/>
      <c r="K485" s="81"/>
      <c r="L485" s="1603"/>
      <c r="M485" s="1603"/>
      <c r="N485" s="1603"/>
    </row>
    <row r="486" spans="1:14" s="765" customFormat="1" ht="45" x14ac:dyDescent="0.25">
      <c r="A486" s="1898"/>
      <c r="B486" s="1898"/>
      <c r="C486" s="1898"/>
      <c r="D486" s="1898"/>
      <c r="E486" s="1898"/>
      <c r="F486" s="1898"/>
      <c r="G486" s="1581" t="s">
        <v>747</v>
      </c>
      <c r="H486" s="1581" t="s">
        <v>748</v>
      </c>
      <c r="I486" s="1581" t="s">
        <v>268</v>
      </c>
      <c r="J486" s="1581" t="s">
        <v>256</v>
      </c>
      <c r="K486" s="81"/>
      <c r="L486" s="1603"/>
      <c r="M486" s="1603"/>
      <c r="N486" s="1603"/>
    </row>
    <row r="487" spans="1:14" s="765" customFormat="1" ht="30.75" customHeight="1" x14ac:dyDescent="0.25">
      <c r="A487" s="1581">
        <v>1</v>
      </c>
      <c r="B487" s="1891" t="s">
        <v>1546</v>
      </c>
      <c r="C487" s="1891"/>
      <c r="D487" s="1891"/>
      <c r="E487" s="1891"/>
      <c r="F487" s="1581" t="s">
        <v>108</v>
      </c>
      <c r="G487" s="1625">
        <v>5</v>
      </c>
      <c r="H487" s="1665">
        <v>6</v>
      </c>
      <c r="I487" s="801">
        <v>4000</v>
      </c>
      <c r="J487" s="1591">
        <f>G487*H487*I487</f>
        <v>120000</v>
      </c>
      <c r="K487" s="81"/>
      <c r="L487" s="1603"/>
      <c r="M487" s="1603"/>
      <c r="N487" s="1603"/>
    </row>
    <row r="488" spans="1:14" s="765" customFormat="1" x14ac:dyDescent="0.25">
      <c r="A488" s="1895" t="s">
        <v>39</v>
      </c>
      <c r="B488" s="1895"/>
      <c r="C488" s="1895"/>
      <c r="D488" s="1895"/>
      <c r="E488" s="1895"/>
      <c r="F488" s="1895"/>
      <c r="G488" s="1895"/>
      <c r="H488" s="1895"/>
      <c r="I488" s="1895"/>
      <c r="J488" s="1589">
        <f>SUM(J487:J487)</f>
        <v>120000</v>
      </c>
      <c r="K488" s="344">
        <v>0</v>
      </c>
      <c r="L488" s="392">
        <f>J491-K488</f>
        <v>120000</v>
      </c>
      <c r="M488" s="1603"/>
      <c r="N488" s="1603"/>
    </row>
    <row r="489" spans="1:14" s="765" customFormat="1" hidden="1" x14ac:dyDescent="0.25">
      <c r="A489" s="1924" t="s">
        <v>514</v>
      </c>
      <c r="B489" s="1925"/>
      <c r="C489" s="1925"/>
      <c r="D489" s="1925"/>
      <c r="E489" s="1925"/>
      <c r="F489" s="1925"/>
      <c r="G489" s="1925"/>
      <c r="H489" s="1925"/>
      <c r="I489" s="1925"/>
      <c r="J489" s="1925"/>
      <c r="K489" s="81"/>
      <c r="L489" s="1603"/>
      <c r="M489" s="1603"/>
      <c r="N489" s="1603"/>
    </row>
    <row r="490" spans="1:14" s="765" customFormat="1" hidden="1" x14ac:dyDescent="0.25">
      <c r="A490" s="1913" t="s">
        <v>153</v>
      </c>
      <c r="B490" s="1913"/>
      <c r="C490" s="1913"/>
      <c r="D490" s="1913"/>
      <c r="E490" s="1913"/>
      <c r="F490" s="1913"/>
      <c r="G490" s="1913"/>
      <c r="H490" s="1913"/>
      <c r="I490" s="1913"/>
      <c r="J490" s="1594">
        <v>0</v>
      </c>
      <c r="K490" s="81"/>
      <c r="L490" s="1603"/>
      <c r="M490" s="1603"/>
      <c r="N490" s="1603"/>
    </row>
    <row r="491" spans="1:14" s="765" customFormat="1" hidden="1" x14ac:dyDescent="0.25">
      <c r="A491" s="1891" t="s">
        <v>619</v>
      </c>
      <c r="B491" s="1891"/>
      <c r="C491" s="1891"/>
      <c r="D491" s="1891"/>
      <c r="E491" s="1891"/>
      <c r="F491" s="1891"/>
      <c r="G491" s="1891"/>
      <c r="H491" s="1891"/>
      <c r="I491" s="1891"/>
      <c r="J491" s="1588">
        <f>J488-J490</f>
        <v>120000</v>
      </c>
      <c r="M491" s="1603"/>
      <c r="N491" s="1603"/>
    </row>
    <row r="492" spans="1:14" s="765" customFormat="1" x14ac:dyDescent="0.25">
      <c r="A492" s="1644"/>
      <c r="B492" s="1644"/>
      <c r="C492" s="1644"/>
      <c r="D492" s="1644"/>
      <c r="E492" s="1644"/>
      <c r="F492" s="1644"/>
      <c r="G492" s="1644"/>
      <c r="H492" s="60"/>
      <c r="I492" s="69"/>
      <c r="J492" s="69"/>
      <c r="K492" s="81"/>
      <c r="L492" s="1603"/>
      <c r="M492" s="1603"/>
      <c r="N492" s="1603"/>
    </row>
    <row r="493" spans="1:14" s="765" customFormat="1" x14ac:dyDescent="0.25">
      <c r="A493" s="1644" t="s">
        <v>1245</v>
      </c>
      <c r="B493" s="1645"/>
      <c r="C493" s="1645"/>
      <c r="D493" s="1645"/>
      <c r="E493" s="94"/>
      <c r="F493" s="1645"/>
      <c r="G493" s="1644"/>
      <c r="H493" s="60"/>
      <c r="I493" s="60"/>
      <c r="J493" s="85"/>
      <c r="K493" s="718"/>
      <c r="L493" s="780"/>
      <c r="M493" s="1603"/>
      <c r="N493" s="1603"/>
    </row>
    <row r="494" spans="1:14" s="765" customFormat="1" x14ac:dyDescent="0.25">
      <c r="A494" s="1926" t="s">
        <v>8</v>
      </c>
      <c r="B494" s="1926" t="s">
        <v>35</v>
      </c>
      <c r="C494" s="2046"/>
      <c r="D494" s="2046"/>
      <c r="E494" s="2046"/>
      <c r="F494" s="2046"/>
      <c r="G494" s="1898" t="s">
        <v>1827</v>
      </c>
      <c r="H494" s="1898" t="s">
        <v>735</v>
      </c>
      <c r="I494" s="1898"/>
      <c r="J494" s="1898"/>
      <c r="K494" s="718"/>
      <c r="L494" s="780"/>
      <c r="M494" s="1603"/>
      <c r="N494" s="1603"/>
    </row>
    <row r="495" spans="1:14" s="765" customFormat="1" ht="30" x14ac:dyDescent="0.25">
      <c r="A495" s="2046"/>
      <c r="B495" s="2046"/>
      <c r="C495" s="2046"/>
      <c r="D495" s="2046"/>
      <c r="E495" s="2046"/>
      <c r="F495" s="2046"/>
      <c r="G495" s="1141" t="s">
        <v>736</v>
      </c>
      <c r="H495" s="1581" t="s">
        <v>248</v>
      </c>
      <c r="I495" s="1588" t="s">
        <v>264</v>
      </c>
      <c r="J495" s="1581" t="s">
        <v>256</v>
      </c>
      <c r="K495" s="718"/>
      <c r="L495" s="780"/>
      <c r="M495" s="1603"/>
      <c r="N495" s="1603"/>
    </row>
    <row r="496" spans="1:14" s="765" customFormat="1" x14ac:dyDescent="0.25">
      <c r="A496" s="1630">
        <v>1</v>
      </c>
      <c r="B496" s="1626" t="s">
        <v>2031</v>
      </c>
      <c r="C496" s="1105"/>
      <c r="D496" s="1105"/>
      <c r="E496" s="1105"/>
      <c r="F496" s="1105"/>
      <c r="G496" s="1142" t="s">
        <v>750</v>
      </c>
      <c r="H496" s="1143">
        <v>1</v>
      </c>
      <c r="I496" s="1588">
        <f>200000+0.01</f>
        <v>200000.01</v>
      </c>
      <c r="J496" s="393">
        <f>H496*I496</f>
        <v>200000.01</v>
      </c>
      <c r="K496" s="81"/>
      <c r="L496" s="780"/>
      <c r="M496" s="1603"/>
      <c r="N496" s="1603"/>
    </row>
    <row r="497" spans="1:22" s="765" customFormat="1" hidden="1" x14ac:dyDescent="0.25">
      <c r="A497" s="1079">
        <v>2</v>
      </c>
      <c r="B497" s="2003" t="s">
        <v>2032</v>
      </c>
      <c r="C497" s="2047"/>
      <c r="D497" s="2047"/>
      <c r="E497" s="2047"/>
      <c r="F497" s="2048"/>
      <c r="G497" s="1142" t="s">
        <v>750</v>
      </c>
      <c r="H497" s="1143">
        <v>1</v>
      </c>
      <c r="I497" s="1144"/>
      <c r="J497" s="393">
        <f>H497*I497</f>
        <v>0</v>
      </c>
      <c r="K497" s="81"/>
      <c r="L497" s="780"/>
      <c r="M497" s="1603"/>
      <c r="N497" s="1603"/>
    </row>
    <row r="498" spans="1:22" s="765" customFormat="1" hidden="1" x14ac:dyDescent="0.25">
      <c r="A498" s="1079">
        <v>3</v>
      </c>
      <c r="B498" s="1626" t="s">
        <v>1730</v>
      </c>
      <c r="C498" s="1105"/>
      <c r="D498" s="1105"/>
      <c r="E498" s="1105"/>
      <c r="F498" s="1105"/>
      <c r="G498" s="1142" t="s">
        <v>108</v>
      </c>
      <c r="H498" s="1143"/>
      <c r="I498" s="1144">
        <v>26400</v>
      </c>
      <c r="J498" s="1142">
        <f>H498*I498</f>
        <v>0</v>
      </c>
      <c r="K498" s="81"/>
      <c r="L498" s="780"/>
      <c r="M498" s="1603"/>
      <c r="N498" s="1603"/>
    </row>
    <row r="499" spans="1:22" s="765" customFormat="1" hidden="1" x14ac:dyDescent="0.25">
      <c r="A499" s="1079">
        <v>4</v>
      </c>
      <c r="B499" s="1626" t="s">
        <v>1622</v>
      </c>
      <c r="C499" s="1105"/>
      <c r="D499" s="1105"/>
      <c r="E499" s="1105"/>
      <c r="F499" s="1105"/>
      <c r="G499" s="1142" t="s">
        <v>108</v>
      </c>
      <c r="H499" s="1143"/>
      <c r="I499" s="1144">
        <f>15300+1362.74+24000+3284.4+8000+3000+12000+3300</f>
        <v>70247.14</v>
      </c>
      <c r="J499" s="1142">
        <f>H499*I499</f>
        <v>0</v>
      </c>
      <c r="K499" s="81"/>
      <c r="L499" s="780"/>
      <c r="M499" s="1603"/>
      <c r="N499" s="1603"/>
    </row>
    <row r="500" spans="1:22" s="765" customFormat="1" x14ac:dyDescent="0.25">
      <c r="A500" s="1946" t="s">
        <v>39</v>
      </c>
      <c r="B500" s="2040"/>
      <c r="C500" s="2040"/>
      <c r="D500" s="2040"/>
      <c r="E500" s="2040"/>
      <c r="F500" s="2040"/>
      <c r="G500" s="2040"/>
      <c r="H500" s="2040"/>
      <c r="I500" s="2041"/>
      <c r="J500" s="101">
        <f>SUM(J496:J499)</f>
        <v>200000.01</v>
      </c>
      <c r="K500" s="344">
        <v>0</v>
      </c>
      <c r="L500" s="392">
        <f>J500-K500</f>
        <v>200000.01</v>
      </c>
      <c r="M500" s="1603"/>
      <c r="N500" s="1603"/>
    </row>
    <row r="501" spans="1:22" s="765" customFormat="1" x14ac:dyDescent="0.25">
      <c r="A501" s="1644"/>
      <c r="B501" s="1644"/>
      <c r="C501" s="1644"/>
      <c r="D501" s="1644"/>
      <c r="E501" s="1644"/>
      <c r="F501" s="1644"/>
      <c r="G501" s="1644"/>
      <c r="H501" s="60"/>
      <c r="I501" s="69"/>
      <c r="J501" s="69"/>
      <c r="K501" s="344"/>
      <c r="L501" s="1187"/>
      <c r="M501" s="1603"/>
      <c r="N501" s="1603"/>
    </row>
    <row r="502" spans="1:22" s="765" customFormat="1" x14ac:dyDescent="0.25">
      <c r="A502" s="1644" t="s">
        <v>1245</v>
      </c>
      <c r="B502" s="1645"/>
      <c r="C502" s="1645"/>
      <c r="D502" s="1645"/>
      <c r="E502" s="94"/>
      <c r="F502" s="1645"/>
      <c r="G502" s="1644"/>
      <c r="H502" s="60"/>
      <c r="I502" s="60"/>
      <c r="J502" s="85"/>
      <c r="K502" s="344"/>
      <c r="L502" s="1187"/>
      <c r="M502" s="1603"/>
      <c r="N502" s="1603"/>
    </row>
    <row r="503" spans="1:22" s="765" customFormat="1" x14ac:dyDescent="0.25">
      <c r="A503" s="1926" t="s">
        <v>8</v>
      </c>
      <c r="B503" s="1926" t="s">
        <v>35</v>
      </c>
      <c r="C503" s="2046"/>
      <c r="D503" s="2046"/>
      <c r="E503" s="2046"/>
      <c r="F503" s="2046"/>
      <c r="G503" s="1898" t="s">
        <v>1827</v>
      </c>
      <c r="H503" s="1898" t="s">
        <v>735</v>
      </c>
      <c r="I503" s="1898"/>
      <c r="J503" s="1898"/>
      <c r="K503" s="344"/>
      <c r="L503" s="1187"/>
      <c r="M503" s="1603"/>
      <c r="N503" s="1603"/>
    </row>
    <row r="504" spans="1:22" s="765" customFormat="1" ht="30" x14ac:dyDescent="0.25">
      <c r="A504" s="2046"/>
      <c r="B504" s="2046"/>
      <c r="C504" s="2046"/>
      <c r="D504" s="2046"/>
      <c r="E504" s="2046"/>
      <c r="F504" s="2046"/>
      <c r="G504" s="1141" t="s">
        <v>736</v>
      </c>
      <c r="H504" s="1581" t="s">
        <v>248</v>
      </c>
      <c r="I504" s="1588" t="s">
        <v>264</v>
      </c>
      <c r="J504" s="1581" t="s">
        <v>256</v>
      </c>
      <c r="K504" s="344"/>
      <c r="L504" s="1187"/>
      <c r="M504" s="1603"/>
      <c r="N504" s="1603"/>
    </row>
    <row r="505" spans="1:22" s="765" customFormat="1" x14ac:dyDescent="0.25">
      <c r="A505" s="1630">
        <v>1</v>
      </c>
      <c r="B505" s="2003" t="s">
        <v>2152</v>
      </c>
      <c r="C505" s="2047"/>
      <c r="D505" s="2047"/>
      <c r="E505" s="2047"/>
      <c r="F505" s="2048"/>
      <c r="G505" s="1142" t="s">
        <v>750</v>
      </c>
      <c r="H505" s="1143">
        <v>2</v>
      </c>
      <c r="I505" s="1588">
        <v>300000</v>
      </c>
      <c r="J505" s="393">
        <f>H505*I505</f>
        <v>600000</v>
      </c>
      <c r="K505" s="344"/>
      <c r="L505" s="1187"/>
      <c r="M505" s="1603"/>
      <c r="N505" s="1603"/>
    </row>
    <row r="506" spans="1:22" s="765" customFormat="1" x14ac:dyDescent="0.25">
      <c r="A506" s="1946" t="s">
        <v>39</v>
      </c>
      <c r="B506" s="2040"/>
      <c r="C506" s="2040"/>
      <c r="D506" s="2040"/>
      <c r="E506" s="2040"/>
      <c r="F506" s="2040"/>
      <c r="G506" s="2040"/>
      <c r="H506" s="2040"/>
      <c r="I506" s="2041"/>
      <c r="J506" s="101">
        <f>SUM(J505:J505)</f>
        <v>600000</v>
      </c>
      <c r="K506" s="344"/>
      <c r="L506" s="1187"/>
      <c r="M506" s="1603"/>
      <c r="N506" s="1603"/>
    </row>
    <row r="507" spans="1:22" s="765" customFormat="1" x14ac:dyDescent="0.25">
      <c r="A507" s="2458" t="s">
        <v>514</v>
      </c>
      <c r="B507" s="2459"/>
      <c r="C507" s="2459"/>
      <c r="D507" s="2459"/>
      <c r="E507" s="2459"/>
      <c r="F507" s="2459"/>
      <c r="G507" s="2459"/>
      <c r="H507" s="2459"/>
      <c r="I507" s="2459"/>
      <c r="J507" s="2459"/>
      <c r="K507" s="344"/>
      <c r="L507" s="1187"/>
      <c r="M507" s="1603"/>
      <c r="N507" s="1603"/>
    </row>
    <row r="508" spans="1:22" s="765" customFormat="1" ht="30" customHeight="1" x14ac:dyDescent="0.25">
      <c r="A508" s="1929" t="s">
        <v>1791</v>
      </c>
      <c r="B508" s="1929"/>
      <c r="C508" s="1929"/>
      <c r="D508" s="1929"/>
      <c r="E508" s="1929"/>
      <c r="F508" s="1929"/>
      <c r="G508" s="1929"/>
      <c r="H508" s="1929"/>
      <c r="I508" s="1929"/>
      <c r="J508" s="1617">
        <f>J506-J509</f>
        <v>554188.5</v>
      </c>
      <c r="K508" s="344"/>
      <c r="L508" s="1187"/>
      <c r="M508" s="1603"/>
      <c r="N508" s="1603"/>
    </row>
    <row r="509" spans="1:22" s="765" customFormat="1" x14ac:dyDescent="0.25">
      <c r="A509" s="1929" t="s">
        <v>2030</v>
      </c>
      <c r="B509" s="1929"/>
      <c r="C509" s="1929"/>
      <c r="D509" s="1929"/>
      <c r="E509" s="1929"/>
      <c r="F509" s="1929"/>
      <c r="G509" s="1929"/>
      <c r="H509" s="1929"/>
      <c r="I509" s="1929"/>
      <c r="J509" s="1569">
        <v>45811.5</v>
      </c>
      <c r="K509" s="344"/>
      <c r="L509" s="1187"/>
      <c r="M509" s="1603"/>
      <c r="N509" s="1603"/>
    </row>
    <row r="510" spans="1:22" s="765" customFormat="1" x14ac:dyDescent="0.25">
      <c r="A510" s="1644"/>
      <c r="B510" s="1644"/>
      <c r="C510" s="1644"/>
      <c r="D510" s="1644"/>
      <c r="E510" s="1644"/>
      <c r="F510" s="1644"/>
      <c r="G510" s="1644"/>
      <c r="H510" s="60"/>
      <c r="I510" s="69"/>
      <c r="J510" s="69"/>
      <c r="K510" s="344"/>
      <c r="L510" s="1187"/>
      <c r="M510" s="1603"/>
      <c r="N510" s="1603"/>
    </row>
    <row r="511" spans="1:22" s="765" customFormat="1" ht="15" customHeight="1" x14ac:dyDescent="0.25">
      <c r="A511" s="71" t="s">
        <v>27</v>
      </c>
      <c r="B511" s="71"/>
      <c r="C511" s="71"/>
      <c r="D511" s="71"/>
      <c r="E511" s="773" t="s">
        <v>142</v>
      </c>
      <c r="F511" s="71"/>
      <c r="G511" s="71"/>
      <c r="H511" s="63"/>
      <c r="I511" s="63"/>
      <c r="J511" s="92">
        <f>J519</f>
        <v>45811.5</v>
      </c>
      <c r="K511" s="392"/>
      <c r="L511" s="347"/>
      <c r="M511" s="1603"/>
      <c r="N511" s="1603"/>
      <c r="U511" s="1820"/>
      <c r="V511" s="1820"/>
    </row>
    <row r="512" spans="1:22" s="765" customFormat="1" x14ac:dyDescent="0.25">
      <c r="A512" s="1644" t="s">
        <v>1245</v>
      </c>
      <c r="B512" s="1645"/>
      <c r="C512" s="1645"/>
      <c r="D512" s="1645"/>
      <c r="E512" s="94"/>
      <c r="F512" s="1645"/>
      <c r="G512" s="1644"/>
      <c r="H512" s="60"/>
      <c r="I512" s="60"/>
      <c r="J512" s="85"/>
      <c r="K512" s="344"/>
      <c r="L512" s="1187"/>
      <c r="M512" s="1603"/>
      <c r="N512" s="1603"/>
    </row>
    <row r="513" spans="1:43" s="765" customFormat="1" x14ac:dyDescent="0.25">
      <c r="A513" s="1926" t="s">
        <v>8</v>
      </c>
      <c r="B513" s="1926" t="s">
        <v>35</v>
      </c>
      <c r="C513" s="2046"/>
      <c r="D513" s="2046"/>
      <c r="E513" s="2046"/>
      <c r="F513" s="2046"/>
      <c r="G513" s="1898" t="s">
        <v>1827</v>
      </c>
      <c r="H513" s="1898" t="s">
        <v>735</v>
      </c>
      <c r="I513" s="1898"/>
      <c r="J513" s="1898"/>
      <c r="K513" s="344"/>
      <c r="L513" s="1187"/>
      <c r="M513" s="1603"/>
      <c r="N513" s="1603"/>
    </row>
    <row r="514" spans="1:43" s="765" customFormat="1" ht="30" x14ac:dyDescent="0.25">
      <c r="A514" s="2046"/>
      <c r="B514" s="2046"/>
      <c r="C514" s="2046"/>
      <c r="D514" s="2046"/>
      <c r="E514" s="2046"/>
      <c r="F514" s="2046"/>
      <c r="G514" s="1141" t="s">
        <v>736</v>
      </c>
      <c r="H514" s="1581" t="s">
        <v>248</v>
      </c>
      <c r="I514" s="1588" t="s">
        <v>264</v>
      </c>
      <c r="J514" s="1581" t="s">
        <v>256</v>
      </c>
      <c r="K514" s="344"/>
      <c r="L514" s="1187"/>
      <c r="M514" s="1603"/>
      <c r="N514" s="1603"/>
    </row>
    <row r="515" spans="1:43" s="765" customFormat="1" x14ac:dyDescent="0.25">
      <c r="A515" s="1630">
        <v>1</v>
      </c>
      <c r="B515" s="2003" t="s">
        <v>2152</v>
      </c>
      <c r="C515" s="2047"/>
      <c r="D515" s="2047"/>
      <c r="E515" s="2047"/>
      <c r="F515" s="2048"/>
      <c r="G515" s="1142" t="s">
        <v>750</v>
      </c>
      <c r="H515" s="1143">
        <v>2</v>
      </c>
      <c r="I515" s="1588">
        <v>300000</v>
      </c>
      <c r="J515" s="393">
        <f>H515*I515</f>
        <v>600000</v>
      </c>
      <c r="K515" s="344"/>
      <c r="L515" s="1187"/>
      <c r="M515" s="1603"/>
      <c r="N515" s="1603"/>
    </row>
    <row r="516" spans="1:43" s="765" customFormat="1" x14ac:dyDescent="0.25">
      <c r="A516" s="1946" t="s">
        <v>39</v>
      </c>
      <c r="B516" s="2040"/>
      <c r="C516" s="2040"/>
      <c r="D516" s="2040"/>
      <c r="E516" s="2040"/>
      <c r="F516" s="2040"/>
      <c r="G516" s="2040"/>
      <c r="H516" s="2040"/>
      <c r="I516" s="2041"/>
      <c r="J516" s="101">
        <f>SUM(J515:J515)</f>
        <v>600000</v>
      </c>
      <c r="K516" s="344"/>
      <c r="L516" s="1187"/>
      <c r="M516" s="1603"/>
      <c r="N516" s="1603"/>
    </row>
    <row r="517" spans="1:43" s="765" customFormat="1" x14ac:dyDescent="0.25">
      <c r="A517" s="2458" t="s">
        <v>514</v>
      </c>
      <c r="B517" s="2459"/>
      <c r="C517" s="2459"/>
      <c r="D517" s="2459"/>
      <c r="E517" s="2459"/>
      <c r="F517" s="2459"/>
      <c r="G517" s="2459"/>
      <c r="H517" s="2459"/>
      <c r="I517" s="2459"/>
      <c r="J517" s="2459"/>
      <c r="K517" s="344"/>
      <c r="L517" s="1187"/>
      <c r="M517" s="1603"/>
      <c r="N517" s="1603"/>
    </row>
    <row r="518" spans="1:43" s="765" customFormat="1" x14ac:dyDescent="0.25">
      <c r="A518" s="1929" t="s">
        <v>1791</v>
      </c>
      <c r="B518" s="1929"/>
      <c r="C518" s="1929"/>
      <c r="D518" s="1929"/>
      <c r="E518" s="1929"/>
      <c r="F518" s="1929"/>
      <c r="G518" s="1929"/>
      <c r="H518" s="1929"/>
      <c r="I518" s="1929"/>
      <c r="J518" s="1617">
        <f>J516-J519</f>
        <v>554188.5</v>
      </c>
      <c r="K518" s="344"/>
      <c r="L518" s="1187"/>
      <c r="M518" s="1603"/>
      <c r="N518" s="1603"/>
    </row>
    <row r="519" spans="1:43" s="765" customFormat="1" x14ac:dyDescent="0.25">
      <c r="A519" s="1929" t="s">
        <v>2030</v>
      </c>
      <c r="B519" s="1929"/>
      <c r="C519" s="1929"/>
      <c r="D519" s="1929"/>
      <c r="E519" s="1929"/>
      <c r="F519" s="1929"/>
      <c r="G519" s="1929"/>
      <c r="H519" s="1929"/>
      <c r="I519" s="1929"/>
      <c r="J519" s="1569">
        <v>45811.5</v>
      </c>
      <c r="K519" s="344"/>
      <c r="L519" s="1187"/>
      <c r="M519" s="1603"/>
      <c r="N519" s="1603"/>
    </row>
    <row r="520" spans="1:43" s="765" customFormat="1" x14ac:dyDescent="0.25">
      <c r="A520" s="1644"/>
      <c r="B520" s="1644"/>
      <c r="C520" s="1644"/>
      <c r="D520" s="1644"/>
      <c r="E520" s="1644"/>
      <c r="F520" s="1644"/>
      <c r="G520" s="1644"/>
      <c r="H520" s="60"/>
      <c r="I520" s="69"/>
      <c r="J520" s="69"/>
      <c r="K520" s="344"/>
      <c r="L520" s="1187"/>
      <c r="M520" s="1603"/>
      <c r="N520" s="1603"/>
    </row>
    <row r="521" spans="1:43" s="765" customFormat="1" x14ac:dyDescent="0.25">
      <c r="A521" s="1645" t="s">
        <v>63</v>
      </c>
      <c r="B521" s="72"/>
      <c r="C521" s="72"/>
      <c r="D521" s="72"/>
      <c r="E521" s="94" t="s">
        <v>70</v>
      </c>
      <c r="F521" s="1644"/>
      <c r="G521" s="1644"/>
      <c r="H521" s="60"/>
      <c r="I521" s="69"/>
      <c r="J521" s="85">
        <f>J522+J523+J524</f>
        <v>485000</v>
      </c>
      <c r="K521" s="341"/>
      <c r="L521" s="2" t="s">
        <v>1284</v>
      </c>
      <c r="M521" s="75"/>
      <c r="N521" s="75"/>
      <c r="P521" s="838"/>
    </row>
    <row r="522" spans="1:43" s="765" customFormat="1" ht="15" customHeight="1" x14ac:dyDescent="0.25">
      <c r="A522" s="71" t="s">
        <v>27</v>
      </c>
      <c r="B522" s="71"/>
      <c r="C522" s="71"/>
      <c r="D522" s="71"/>
      <c r="E522" s="773" t="s">
        <v>34</v>
      </c>
      <c r="F522" s="71"/>
      <c r="G522" s="71"/>
      <c r="H522" s="63"/>
      <c r="I522" s="63"/>
      <c r="J522" s="92">
        <f>J583+J589+J595</f>
        <v>485000</v>
      </c>
      <c r="K522" s="341"/>
      <c r="L522" s="2" t="s">
        <v>1285</v>
      </c>
      <c r="M522" s="341"/>
      <c r="N522" s="341"/>
    </row>
    <row r="523" spans="1:43" s="75" customFormat="1" ht="14.25" hidden="1" customHeight="1" x14ac:dyDescent="0.25">
      <c r="A523" s="71" t="s">
        <v>27</v>
      </c>
      <c r="B523" s="71"/>
      <c r="C523" s="71"/>
      <c r="D523" s="71"/>
      <c r="E523" s="94" t="s">
        <v>142</v>
      </c>
      <c r="F523" s="71"/>
      <c r="G523" s="72"/>
      <c r="H523" s="74"/>
      <c r="I523" s="74"/>
      <c r="J523" s="92">
        <f>J536</f>
        <v>0</v>
      </c>
      <c r="K523" s="83"/>
      <c r="L523" s="2" t="s">
        <v>1285</v>
      </c>
      <c r="M523" s="79"/>
    </row>
    <row r="524" spans="1:43" s="84" customFormat="1" ht="15" hidden="1" customHeight="1" x14ac:dyDescent="0.2">
      <c r="A524" s="71" t="s">
        <v>27</v>
      </c>
      <c r="B524" s="71"/>
      <c r="C524" s="71"/>
      <c r="D524" s="71"/>
      <c r="E524" s="94" t="s">
        <v>827</v>
      </c>
      <c r="F524" s="71"/>
      <c r="G524" s="72"/>
      <c r="H524" s="74"/>
      <c r="I524" s="74"/>
      <c r="J524" s="92"/>
      <c r="K524" s="1802"/>
      <c r="L524" s="79"/>
      <c r="M524" s="79"/>
      <c r="N524" s="1029"/>
      <c r="O524" s="1030"/>
      <c r="P524" s="1031"/>
      <c r="Q524" s="1031"/>
      <c r="R524" s="1032"/>
      <c r="S524" s="1033"/>
      <c r="T524" s="1033"/>
      <c r="U524" s="1033"/>
      <c r="V524" s="1033"/>
      <c r="W524" s="1033"/>
      <c r="X524" s="1033"/>
      <c r="Y524" s="1033"/>
      <c r="Z524" s="1033"/>
      <c r="AA524" s="1033"/>
      <c r="AB524" s="1033"/>
      <c r="AC524" s="1033"/>
      <c r="AD524" s="1033"/>
      <c r="AE524" s="1033"/>
      <c r="AF524" s="1033"/>
      <c r="AG524" s="1033"/>
      <c r="AH524" s="1033"/>
      <c r="AI524" s="1033"/>
      <c r="AJ524" s="1033"/>
      <c r="AK524" s="1034"/>
      <c r="AL524" s="1034"/>
      <c r="AM524" s="1034"/>
      <c r="AN524" s="1034"/>
      <c r="AO524" s="1034"/>
      <c r="AP524" s="1034"/>
      <c r="AQ524" s="1034"/>
    </row>
    <row r="525" spans="1:43" s="765" customFormat="1" ht="15" hidden="1" customHeight="1" x14ac:dyDescent="0.25">
      <c r="A525" s="1" t="s">
        <v>1140</v>
      </c>
      <c r="B525" s="1"/>
      <c r="C525" s="1"/>
      <c r="D525" s="1"/>
      <c r="E525" s="1"/>
      <c r="F525" s="1"/>
      <c r="G525" s="1"/>
      <c r="H525" s="4"/>
      <c r="I525" s="4"/>
      <c r="J525" s="4"/>
      <c r="K525" s="341"/>
      <c r="L525" s="829" t="s">
        <v>1286</v>
      </c>
      <c r="M525" s="83" t="e">
        <f>#REF!+J569+#REF!+#REF!+#REF!</f>
        <v>#REF!</v>
      </c>
      <c r="N525" s="829" t="s">
        <v>1287</v>
      </c>
      <c r="O525" s="838" t="e">
        <f>K522+M525</f>
        <v>#REF!</v>
      </c>
    </row>
    <row r="526" spans="1:43" hidden="1" x14ac:dyDescent="0.25">
      <c r="A526" s="1898" t="s">
        <v>8</v>
      </c>
      <c r="B526" s="1898" t="s">
        <v>35</v>
      </c>
      <c r="C526" s="1898"/>
      <c r="D526" s="1898"/>
      <c r="E526" s="1898"/>
      <c r="F526" s="1898"/>
      <c r="G526" s="1898" t="s">
        <v>1476</v>
      </c>
      <c r="H526" s="1898"/>
      <c r="I526" s="1898"/>
      <c r="J526" s="1898"/>
      <c r="K526" s="61" t="s">
        <v>1478</v>
      </c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</row>
    <row r="527" spans="1:43" ht="45" hidden="1" x14ac:dyDescent="0.25">
      <c r="A527" s="1898"/>
      <c r="B527" s="1898"/>
      <c r="C527" s="1898"/>
      <c r="D527" s="1898"/>
      <c r="E527" s="1898"/>
      <c r="F527" s="1898"/>
      <c r="G527" s="1581" t="s">
        <v>1141</v>
      </c>
      <c r="H527" s="1581" t="s">
        <v>1142</v>
      </c>
      <c r="I527" s="1581" t="s">
        <v>1143</v>
      </c>
      <c r="J527" s="1581" t="s">
        <v>256</v>
      </c>
      <c r="K527" s="61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</row>
    <row r="528" spans="1:43" hidden="1" x14ac:dyDescent="0.25">
      <c r="A528" s="1902" t="s">
        <v>1488</v>
      </c>
      <c r="B528" s="1903"/>
      <c r="C528" s="1903"/>
      <c r="D528" s="1903"/>
      <c r="E528" s="1903"/>
      <c r="F528" s="1903"/>
      <c r="G528" s="1903"/>
      <c r="H528" s="1903"/>
      <c r="I528" s="1903"/>
      <c r="J528" s="1904"/>
      <c r="K528" s="61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</row>
    <row r="529" spans="1:28" ht="33" hidden="1" customHeight="1" x14ac:dyDescent="0.25">
      <c r="A529" s="1905">
        <v>1</v>
      </c>
      <c r="B529" s="1909" t="s">
        <v>1145</v>
      </c>
      <c r="C529" s="1910"/>
      <c r="D529" s="1910"/>
      <c r="E529" s="1910"/>
      <c r="F529" s="1910"/>
      <c r="G529" s="1652">
        <v>1</v>
      </c>
      <c r="H529" s="59">
        <f>3672-744-744</f>
        <v>2184</v>
      </c>
      <c r="I529" s="1588">
        <v>160.65</v>
      </c>
      <c r="J529" s="1588">
        <f>H529*I529</f>
        <v>350859.6</v>
      </c>
      <c r="K529" s="61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</row>
    <row r="530" spans="1:28" ht="30" hidden="1" customHeight="1" x14ac:dyDescent="0.25">
      <c r="A530" s="2144"/>
      <c r="B530" s="1909" t="s">
        <v>1146</v>
      </c>
      <c r="C530" s="1910"/>
      <c r="D530" s="1910"/>
      <c r="E530" s="1910"/>
      <c r="F530" s="1910"/>
      <c r="G530" s="1652">
        <v>1</v>
      </c>
      <c r="H530" s="59">
        <f>3672-744-744</f>
        <v>2184</v>
      </c>
      <c r="I530" s="1588">
        <v>160.65</v>
      </c>
      <c r="J530" s="1588">
        <f>H530*I530</f>
        <v>350859.6</v>
      </c>
      <c r="K530" s="343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</row>
    <row r="531" spans="1:28" hidden="1" x14ac:dyDescent="0.25">
      <c r="A531" s="1951" t="s">
        <v>39</v>
      </c>
      <c r="B531" s="1951"/>
      <c r="C531" s="1951"/>
      <c r="D531" s="1951"/>
      <c r="E531" s="1951"/>
      <c r="F531" s="1951"/>
      <c r="G531" s="1951"/>
      <c r="H531" s="1951"/>
      <c r="I531" s="1951"/>
      <c r="J531" s="1589"/>
      <c r="K531" s="61"/>
      <c r="L531" s="61"/>
      <c r="M531" s="70"/>
      <c r="N531" s="70"/>
      <c r="O531" s="1661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</row>
    <row r="532" spans="1:28" hidden="1" x14ac:dyDescent="0.25">
      <c r="A532" s="1924" t="s">
        <v>514</v>
      </c>
      <c r="B532" s="1925"/>
      <c r="C532" s="1925"/>
      <c r="D532" s="1925"/>
      <c r="E532" s="1925"/>
      <c r="F532" s="1925"/>
      <c r="G532" s="1925"/>
      <c r="H532" s="1925"/>
      <c r="I532" s="1925"/>
      <c r="J532" s="1925"/>
      <c r="K532" s="61"/>
      <c r="L532" s="70"/>
      <c r="M532" s="70"/>
      <c r="N532" s="70"/>
      <c r="O532" s="1661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</row>
    <row r="533" spans="1:28" hidden="1" x14ac:dyDescent="0.25">
      <c r="A533" s="1913" t="s">
        <v>1134</v>
      </c>
      <c r="B533" s="1913"/>
      <c r="C533" s="1913"/>
      <c r="D533" s="1913"/>
      <c r="E533" s="1913"/>
      <c r="F533" s="1913"/>
      <c r="G533" s="1913"/>
      <c r="H533" s="1913"/>
      <c r="I533" s="1913"/>
      <c r="J533" s="1594"/>
      <c r="K533" s="344"/>
      <c r="L533" s="81"/>
      <c r="M533" s="70"/>
      <c r="N533" s="70"/>
      <c r="O533" s="1661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</row>
    <row r="534" spans="1:28" hidden="1" x14ac:dyDescent="0.25">
      <c r="A534" s="1913" t="s">
        <v>153</v>
      </c>
      <c r="B534" s="1913"/>
      <c r="C534" s="1913"/>
      <c r="D534" s="1913"/>
      <c r="E534" s="1913"/>
      <c r="F534" s="1913"/>
      <c r="G534" s="1913"/>
      <c r="H534" s="1913"/>
      <c r="I534" s="1913"/>
      <c r="J534" s="1594"/>
      <c r="K534" s="344"/>
      <c r="L534" s="81"/>
      <c r="M534" s="70"/>
      <c r="N534" s="70"/>
      <c r="O534" s="1661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</row>
    <row r="535" spans="1:28" hidden="1" x14ac:dyDescent="0.25">
      <c r="A535" s="1891" t="s">
        <v>619</v>
      </c>
      <c r="B535" s="1891"/>
      <c r="C535" s="1891"/>
      <c r="D535" s="1891"/>
      <c r="E535" s="1891"/>
      <c r="F535" s="1891"/>
      <c r="G535" s="1891"/>
      <c r="H535" s="1891"/>
      <c r="I535" s="1891"/>
      <c r="J535" s="1588"/>
      <c r="K535" s="344">
        <v>0</v>
      </c>
      <c r="L535" s="81">
        <f>J535-K535</f>
        <v>0</v>
      </c>
      <c r="M535" s="70"/>
      <c r="N535" s="70"/>
      <c r="O535" s="1661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</row>
    <row r="536" spans="1:28" hidden="1" x14ac:dyDescent="0.25">
      <c r="A536" s="1891" t="s">
        <v>1147</v>
      </c>
      <c r="B536" s="1891"/>
      <c r="C536" s="1891"/>
      <c r="D536" s="1891"/>
      <c r="E536" s="1891"/>
      <c r="F536" s="1891"/>
      <c r="G536" s="1891"/>
      <c r="H536" s="1891"/>
      <c r="I536" s="1891"/>
      <c r="J536" s="360">
        <f>J531-J535</f>
        <v>0</v>
      </c>
      <c r="K536" s="344">
        <v>0</v>
      </c>
      <c r="L536" s="81">
        <f>J536-K536</f>
        <v>0</v>
      </c>
      <c r="M536" s="1658"/>
      <c r="N536" s="70"/>
      <c r="O536" s="1661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</row>
    <row r="537" spans="1:28" hidden="1" x14ac:dyDescent="0.25">
      <c r="A537" s="1723"/>
      <c r="B537" s="1724"/>
      <c r="C537" s="1724"/>
      <c r="D537" s="1724"/>
      <c r="E537" s="1724"/>
      <c r="F537" s="1724"/>
      <c r="G537" s="1724"/>
      <c r="H537" s="1724"/>
      <c r="I537" s="1724"/>
      <c r="J537" s="911"/>
      <c r="K537" s="70"/>
      <c r="L537" s="70"/>
      <c r="M537" s="70"/>
      <c r="N537" s="70"/>
      <c r="O537" s="1661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</row>
    <row r="538" spans="1:28" hidden="1" x14ac:dyDescent="0.25">
      <c r="A538" s="1644" t="s">
        <v>310</v>
      </c>
      <c r="I538" s="69"/>
      <c r="J538" s="69"/>
      <c r="K538" s="1648"/>
      <c r="L538" s="70"/>
      <c r="M538" s="70"/>
      <c r="N538" s="70"/>
      <c r="O538" s="1661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</row>
    <row r="539" spans="1:28" hidden="1" x14ac:dyDescent="0.25">
      <c r="A539" s="1898" t="s">
        <v>8</v>
      </c>
      <c r="B539" s="1898" t="s">
        <v>35</v>
      </c>
      <c r="C539" s="1898"/>
      <c r="D539" s="1898"/>
      <c r="E539" s="1898"/>
      <c r="F539" s="1898"/>
      <c r="G539" s="1898" t="s">
        <v>61</v>
      </c>
      <c r="H539" s="1898" t="s">
        <v>1476</v>
      </c>
      <c r="I539" s="1898"/>
      <c r="J539" s="1898"/>
      <c r="K539" s="81"/>
      <c r="L539" s="70"/>
      <c r="M539" s="70"/>
      <c r="N539" s="70"/>
      <c r="O539" s="1661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</row>
    <row r="540" spans="1:28" ht="28.5" hidden="1" customHeight="1" x14ac:dyDescent="0.25">
      <c r="A540" s="1898"/>
      <c r="B540" s="1898"/>
      <c r="C540" s="1898"/>
      <c r="D540" s="1898"/>
      <c r="E540" s="1898"/>
      <c r="F540" s="1898"/>
      <c r="G540" s="1898"/>
      <c r="H540" s="1581" t="s">
        <v>248</v>
      </c>
      <c r="I540" s="1588" t="s">
        <v>264</v>
      </c>
      <c r="J540" s="1588" t="s">
        <v>256</v>
      </c>
      <c r="K540" s="61"/>
      <c r="L540" s="70"/>
      <c r="M540" s="70"/>
      <c r="N540" s="70"/>
      <c r="O540" s="1661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</row>
    <row r="541" spans="1:28" ht="15" hidden="1" customHeight="1" x14ac:dyDescent="0.25">
      <c r="A541" s="1630">
        <v>1</v>
      </c>
      <c r="B541" s="1909" t="s">
        <v>87</v>
      </c>
      <c r="C541" s="1909"/>
      <c r="D541" s="1909"/>
      <c r="E541" s="1909"/>
      <c r="F541" s="1909"/>
      <c r="G541" s="1588" t="s">
        <v>298</v>
      </c>
      <c r="H541" s="59">
        <v>22</v>
      </c>
      <c r="I541" s="1588">
        <v>88</v>
      </c>
      <c r="J541" s="1588">
        <f>H541*I541</f>
        <v>1936</v>
      </c>
      <c r="K541" s="344" t="s">
        <v>1478</v>
      </c>
      <c r="L541" s="70"/>
      <c r="M541" s="70"/>
      <c r="N541" s="70"/>
      <c r="O541" s="1661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</row>
    <row r="542" spans="1:28" ht="15" hidden="1" customHeight="1" x14ac:dyDescent="0.25">
      <c r="A542" s="1630">
        <v>2</v>
      </c>
      <c r="B542" s="1909" t="s">
        <v>87</v>
      </c>
      <c r="C542" s="1909"/>
      <c r="D542" s="1909"/>
      <c r="E542" s="1909"/>
      <c r="F542" s="1909"/>
      <c r="G542" s="1588" t="s">
        <v>298</v>
      </c>
      <c r="H542" s="59">
        <v>192</v>
      </c>
      <c r="I542" s="1588">
        <v>35</v>
      </c>
      <c r="J542" s="1588">
        <f>H542*I542</f>
        <v>6720</v>
      </c>
      <c r="K542" s="344" t="s">
        <v>1478</v>
      </c>
      <c r="L542" s="70"/>
      <c r="M542" s="70"/>
      <c r="N542" s="70"/>
      <c r="O542" s="1661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</row>
    <row r="543" spans="1:28" hidden="1" x14ac:dyDescent="0.25">
      <c r="A543" s="1895" t="s">
        <v>39</v>
      </c>
      <c r="B543" s="1895"/>
      <c r="C543" s="1895"/>
      <c r="D543" s="1895"/>
      <c r="E543" s="1895"/>
      <c r="F543" s="1895"/>
      <c r="G543" s="1895"/>
      <c r="H543" s="1895"/>
      <c r="I543" s="1895"/>
      <c r="J543" s="1589">
        <f>SUM(J541:J542)</f>
        <v>8656</v>
      </c>
      <c r="K543" s="81"/>
      <c r="L543" s="70"/>
      <c r="M543" s="70"/>
      <c r="N543" s="70"/>
      <c r="O543" s="1661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</row>
    <row r="544" spans="1:28" hidden="1" x14ac:dyDescent="0.25">
      <c r="A544" s="1924" t="s">
        <v>514</v>
      </c>
      <c r="B544" s="1925"/>
      <c r="C544" s="1925"/>
      <c r="D544" s="1925"/>
      <c r="E544" s="1925"/>
      <c r="F544" s="1925"/>
      <c r="G544" s="1925"/>
      <c r="H544" s="1925"/>
      <c r="I544" s="1925"/>
      <c r="J544" s="1925"/>
      <c r="K544" s="81"/>
      <c r="L544" s="70"/>
      <c r="M544" s="70"/>
      <c r="N544" s="70"/>
      <c r="O544" s="1661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</row>
    <row r="545" spans="1:28" hidden="1" x14ac:dyDescent="0.25">
      <c r="A545" s="1913" t="s">
        <v>1134</v>
      </c>
      <c r="B545" s="1913"/>
      <c r="C545" s="1913"/>
      <c r="D545" s="1913"/>
      <c r="E545" s="1913"/>
      <c r="F545" s="1913"/>
      <c r="G545" s="1913"/>
      <c r="H545" s="1913"/>
      <c r="I545" s="1913"/>
      <c r="J545" s="1594">
        <v>0</v>
      </c>
      <c r="K545" s="81"/>
      <c r="L545" s="70"/>
      <c r="M545" s="70"/>
      <c r="N545" s="70"/>
      <c r="O545" s="1661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</row>
    <row r="546" spans="1:28" hidden="1" x14ac:dyDescent="0.25">
      <c r="A546" s="1913" t="s">
        <v>153</v>
      </c>
      <c r="B546" s="1913"/>
      <c r="C546" s="1913"/>
      <c r="D546" s="1913"/>
      <c r="E546" s="1913"/>
      <c r="F546" s="1913"/>
      <c r="G546" s="1913"/>
      <c r="H546" s="1913"/>
      <c r="I546" s="1913"/>
      <c r="J546" s="1594"/>
      <c r="K546" s="61"/>
      <c r="L546" s="61"/>
      <c r="M546" s="70"/>
      <c r="N546" s="70"/>
      <c r="O546" s="1661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</row>
    <row r="547" spans="1:28" hidden="1" x14ac:dyDescent="0.25">
      <c r="A547" s="1891" t="s">
        <v>619</v>
      </c>
      <c r="B547" s="1891"/>
      <c r="C547" s="1891"/>
      <c r="D547" s="1891"/>
      <c r="E547" s="1891"/>
      <c r="F547" s="1891"/>
      <c r="G547" s="1891"/>
      <c r="H547" s="1891"/>
      <c r="I547" s="1891"/>
      <c r="J547" s="1588"/>
      <c r="K547" s="344">
        <v>0</v>
      </c>
      <c r="L547" s="81">
        <f>J546-K547</f>
        <v>0</v>
      </c>
      <c r="M547" s="70"/>
      <c r="N547" s="70"/>
      <c r="O547" s="1661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</row>
    <row r="548" spans="1:28" hidden="1" x14ac:dyDescent="0.25">
      <c r="A548" s="636"/>
      <c r="B548" s="636"/>
      <c r="C548" s="636"/>
      <c r="D548" s="636"/>
      <c r="E548" s="636"/>
      <c r="F548" s="636"/>
      <c r="G548" s="636"/>
      <c r="H548" s="636"/>
      <c r="I548" s="636"/>
      <c r="J548" s="98"/>
      <c r="K548" s="81"/>
      <c r="L548" s="70"/>
      <c r="M548" s="70"/>
      <c r="N548" s="70"/>
      <c r="O548" s="1661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</row>
    <row r="549" spans="1:28" hidden="1" x14ac:dyDescent="0.25">
      <c r="A549" s="1644" t="s">
        <v>310</v>
      </c>
      <c r="I549" s="69"/>
      <c r="J549" s="69"/>
      <c r="K549" s="81"/>
      <c r="L549" s="70"/>
      <c r="M549" s="70"/>
      <c r="N549" s="70"/>
      <c r="O549" s="1661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</row>
    <row r="550" spans="1:28" hidden="1" x14ac:dyDescent="0.25">
      <c r="A550" s="1898" t="s">
        <v>8</v>
      </c>
      <c r="B550" s="1898" t="s">
        <v>35</v>
      </c>
      <c r="C550" s="1898"/>
      <c r="D550" s="1898"/>
      <c r="E550" s="1898"/>
      <c r="F550" s="1898"/>
      <c r="G550" s="1898" t="s">
        <v>61</v>
      </c>
      <c r="H550" s="1898" t="s">
        <v>1476</v>
      </c>
      <c r="I550" s="1898"/>
      <c r="J550" s="1898"/>
      <c r="K550" s="81" t="s">
        <v>1478</v>
      </c>
      <c r="L550" s="70"/>
      <c r="M550" s="70"/>
      <c r="N550" s="70"/>
      <c r="O550" s="1661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</row>
    <row r="551" spans="1:28" ht="32.25" hidden="1" customHeight="1" x14ac:dyDescent="0.25">
      <c r="A551" s="1898"/>
      <c r="B551" s="1898"/>
      <c r="C551" s="1898"/>
      <c r="D551" s="1898"/>
      <c r="E551" s="1898"/>
      <c r="F551" s="1898"/>
      <c r="G551" s="1898"/>
      <c r="H551" s="1581" t="s">
        <v>248</v>
      </c>
      <c r="I551" s="1588" t="s">
        <v>264</v>
      </c>
      <c r="J551" s="1588" t="s">
        <v>256</v>
      </c>
      <c r="K551" s="81"/>
      <c r="L551" s="70"/>
      <c r="M551" s="70"/>
      <c r="N551" s="70"/>
      <c r="O551" s="1661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</row>
    <row r="552" spans="1:28" ht="30" hidden="1" customHeight="1" x14ac:dyDescent="0.25">
      <c r="A552" s="1630">
        <v>1</v>
      </c>
      <c r="B552" s="1909" t="s">
        <v>1169</v>
      </c>
      <c r="C552" s="1909"/>
      <c r="D552" s="1909"/>
      <c r="E552" s="1909"/>
      <c r="F552" s="1909"/>
      <c r="G552" s="1588" t="s">
        <v>618</v>
      </c>
      <c r="H552" s="59"/>
      <c r="I552" s="1588">
        <v>12.45</v>
      </c>
      <c r="J552" s="1588">
        <f>H552*I552</f>
        <v>0</v>
      </c>
      <c r="K552" s="81"/>
      <c r="L552" s="70"/>
      <c r="M552" s="70"/>
      <c r="N552" s="70"/>
      <c r="O552" s="1661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</row>
    <row r="553" spans="1:28" hidden="1" x14ac:dyDescent="0.25">
      <c r="A553" s="1895" t="s">
        <v>39</v>
      </c>
      <c r="B553" s="1895"/>
      <c r="C553" s="1895"/>
      <c r="D553" s="1895"/>
      <c r="E553" s="1895"/>
      <c r="F553" s="1895"/>
      <c r="G553" s="1895"/>
      <c r="H553" s="1895"/>
      <c r="I553" s="1895"/>
      <c r="J553" s="1589">
        <f>SUM(J552:J552)</f>
        <v>0</v>
      </c>
      <c r="K553" s="344">
        <v>0</v>
      </c>
      <c r="L553" s="81">
        <f>J553-K553</f>
        <v>0</v>
      </c>
      <c r="M553" s="70"/>
      <c r="N553" s="70"/>
      <c r="O553" s="1661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</row>
    <row r="554" spans="1:28" hidden="1" x14ac:dyDescent="0.25">
      <c r="A554" s="1924" t="s">
        <v>514</v>
      </c>
      <c r="B554" s="1925"/>
      <c r="C554" s="1925"/>
      <c r="D554" s="1925"/>
      <c r="E554" s="1925"/>
      <c r="F554" s="1925"/>
      <c r="G554" s="1925"/>
      <c r="H554" s="1925"/>
      <c r="I554" s="1925"/>
      <c r="J554" s="1925"/>
      <c r="K554" s="61"/>
      <c r="L554" s="70"/>
      <c r="M554" s="70"/>
      <c r="N554" s="70"/>
      <c r="O554" s="1661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</row>
    <row r="555" spans="1:28" hidden="1" x14ac:dyDescent="0.25">
      <c r="A555" s="1913" t="s">
        <v>1134</v>
      </c>
      <c r="B555" s="1913"/>
      <c r="C555" s="1913"/>
      <c r="D555" s="1913"/>
      <c r="E555" s="1913"/>
      <c r="F555" s="1913"/>
      <c r="G555" s="1913"/>
      <c r="H555" s="1913"/>
      <c r="I555" s="1913"/>
      <c r="J555" s="1594">
        <v>0</v>
      </c>
      <c r="K555" s="344"/>
      <c r="L555" s="70"/>
      <c r="M555" s="70"/>
      <c r="N555" s="70"/>
      <c r="O555" s="1661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</row>
    <row r="556" spans="1:28" hidden="1" x14ac:dyDescent="0.25">
      <c r="A556" s="1913" t="s">
        <v>153</v>
      </c>
      <c r="B556" s="1913"/>
      <c r="C556" s="1913"/>
      <c r="D556" s="1913"/>
      <c r="E556" s="1913"/>
      <c r="F556" s="1913"/>
      <c r="G556" s="1913"/>
      <c r="H556" s="1913"/>
      <c r="I556" s="1913"/>
      <c r="J556" s="1594"/>
      <c r="K556" s="344"/>
      <c r="L556" s="81"/>
      <c r="M556" s="70"/>
      <c r="N556" s="70"/>
      <c r="O556" s="1661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</row>
    <row r="557" spans="1:28" hidden="1" x14ac:dyDescent="0.25">
      <c r="A557" s="1891" t="s">
        <v>619</v>
      </c>
      <c r="B557" s="1891"/>
      <c r="C557" s="1891"/>
      <c r="D557" s="1891"/>
      <c r="E557" s="1891"/>
      <c r="F557" s="1891"/>
      <c r="G557" s="1891"/>
      <c r="H557" s="1891"/>
      <c r="I557" s="1891"/>
      <c r="J557" s="1588">
        <f>J553-J555-J556</f>
        <v>0</v>
      </c>
      <c r="K557" s="61"/>
      <c r="L557" s="61"/>
      <c r="M557" s="70"/>
      <c r="N557" s="70"/>
      <c r="O557" s="1661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</row>
    <row r="558" spans="1:28" hidden="1" x14ac:dyDescent="0.25">
      <c r="A558" s="1635"/>
      <c r="B558" s="1635"/>
      <c r="C558" s="1635"/>
      <c r="D558" s="1635"/>
      <c r="E558" s="1635"/>
      <c r="F558" s="1635"/>
      <c r="G558" s="1635"/>
      <c r="H558" s="1635"/>
      <c r="I558" s="1635"/>
      <c r="J558" s="98"/>
      <c r="K558" s="81"/>
      <c r="L558" s="70"/>
      <c r="M558" s="70"/>
      <c r="N558" s="70"/>
      <c r="O558" s="1661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</row>
    <row r="559" spans="1:28" s="765" customFormat="1" hidden="1" x14ac:dyDescent="0.25">
      <c r="A559" s="1644" t="s">
        <v>310</v>
      </c>
      <c r="B559" s="72"/>
      <c r="C559" s="72"/>
      <c r="D559" s="72"/>
      <c r="E559" s="72"/>
      <c r="F559" s="72"/>
      <c r="G559" s="72"/>
      <c r="H559" s="74"/>
      <c r="I559" s="74"/>
      <c r="J559" s="74"/>
      <c r="K559" s="1603"/>
      <c r="L559" s="1603"/>
      <c r="M559" s="1603"/>
      <c r="N559" s="1603"/>
    </row>
    <row r="560" spans="1:28" s="765" customFormat="1" hidden="1" x14ac:dyDescent="0.25">
      <c r="A560" s="2052" t="s">
        <v>8</v>
      </c>
      <c r="B560" s="2080" t="s">
        <v>35</v>
      </c>
      <c r="C560" s="1916"/>
      <c r="D560" s="1916"/>
      <c r="E560" s="1916"/>
      <c r="F560" s="1957"/>
      <c r="G560" s="2052" t="s">
        <v>61</v>
      </c>
      <c r="H560" s="1899" t="s">
        <v>1476</v>
      </c>
      <c r="I560" s="1998"/>
      <c r="J560" s="1999"/>
      <c r="K560" s="1603"/>
      <c r="L560" s="1603"/>
      <c r="M560" s="1603"/>
      <c r="N560" s="1603"/>
    </row>
    <row r="561" spans="1:36" s="765" customFormat="1" ht="33.75" hidden="1" customHeight="1" x14ac:dyDescent="0.25">
      <c r="A561" s="2053"/>
      <c r="B561" s="1918"/>
      <c r="C561" s="1919"/>
      <c r="D561" s="1919"/>
      <c r="E561" s="1919"/>
      <c r="F561" s="1920"/>
      <c r="G561" s="2053"/>
      <c r="H561" s="1581" t="s">
        <v>248</v>
      </c>
      <c r="I561" s="1581" t="s">
        <v>264</v>
      </c>
      <c r="J561" s="1581" t="s">
        <v>256</v>
      </c>
      <c r="K561" s="1603"/>
      <c r="L561" s="1603"/>
      <c r="M561" s="1603"/>
      <c r="N561" s="1603"/>
    </row>
    <row r="562" spans="1:36" s="765" customFormat="1" hidden="1" x14ac:dyDescent="0.25">
      <c r="A562" s="1625">
        <v>1</v>
      </c>
      <c r="B562" s="2534" t="s">
        <v>1495</v>
      </c>
      <c r="C562" s="2535"/>
      <c r="D562" s="2535"/>
      <c r="E562" s="2535"/>
      <c r="F562" s="2536"/>
      <c r="G562" s="1625" t="s">
        <v>108</v>
      </c>
      <c r="H562" s="93">
        <v>1</v>
      </c>
      <c r="I562" s="393"/>
      <c r="J562" s="393">
        <f>H562*I562</f>
        <v>0</v>
      </c>
      <c r="K562" s="1603"/>
      <c r="L562" s="1603"/>
      <c r="M562" s="1603"/>
      <c r="N562" s="1603"/>
    </row>
    <row r="563" spans="1:36" s="765" customFormat="1" hidden="1" x14ac:dyDescent="0.25">
      <c r="A563" s="933">
        <v>2</v>
      </c>
      <c r="B563" s="2534" t="s">
        <v>825</v>
      </c>
      <c r="C563" s="2535"/>
      <c r="D563" s="2535"/>
      <c r="E563" s="2535"/>
      <c r="F563" s="2536"/>
      <c r="G563" s="1625" t="s">
        <v>108</v>
      </c>
      <c r="H563" s="93">
        <v>1</v>
      </c>
      <c r="I563" s="393"/>
      <c r="J563" s="393">
        <f>H563*I563</f>
        <v>0</v>
      </c>
      <c r="K563" s="344"/>
      <c r="L563" s="1603"/>
      <c r="M563" s="1603"/>
      <c r="N563" s="1603"/>
    </row>
    <row r="564" spans="1:36" s="765" customFormat="1" hidden="1" x14ac:dyDescent="0.25">
      <c r="A564" s="1946" t="s">
        <v>39</v>
      </c>
      <c r="B564" s="2096"/>
      <c r="C564" s="2096"/>
      <c r="D564" s="2096"/>
      <c r="E564" s="2096"/>
      <c r="F564" s="2096"/>
      <c r="G564" s="2460"/>
      <c r="H564" s="101" t="s">
        <v>82</v>
      </c>
      <c r="I564" s="101" t="s">
        <v>5</v>
      </c>
      <c r="J564" s="101">
        <f>SUM(J562:J563)</f>
        <v>0</v>
      </c>
      <c r="K564" s="344">
        <v>0</v>
      </c>
      <c r="L564" s="81">
        <f>J564-K564</f>
        <v>0</v>
      </c>
      <c r="M564" s="1603"/>
      <c r="N564" s="1603"/>
    </row>
    <row r="565" spans="1:36" s="765" customFormat="1" hidden="1" x14ac:dyDescent="0.25">
      <c r="A565" s="636"/>
      <c r="B565" s="636"/>
      <c r="C565" s="636"/>
      <c r="D565" s="636"/>
      <c r="E565" s="636"/>
      <c r="F565" s="636"/>
      <c r="G565" s="636"/>
      <c r="H565" s="636"/>
      <c r="I565" s="636"/>
      <c r="J565" s="98"/>
      <c r="K565" s="1603"/>
      <c r="L565" s="1603"/>
      <c r="M565" s="1603"/>
      <c r="N565" s="1603"/>
    </row>
    <row r="566" spans="1:36" s="765" customFormat="1" ht="15" hidden="1" customHeight="1" x14ac:dyDescent="0.25">
      <c r="A566" s="1644" t="s">
        <v>1270</v>
      </c>
      <c r="B566" s="1644"/>
      <c r="C566" s="1644"/>
      <c r="D566" s="1644"/>
      <c r="E566" s="1644"/>
      <c r="F566" s="1644"/>
      <c r="G566" s="1644"/>
      <c r="H566" s="60"/>
      <c r="I566" s="69"/>
      <c r="J566" s="69"/>
      <c r="K566" s="1603"/>
      <c r="L566" s="1603"/>
      <c r="M566" s="1603"/>
      <c r="N566" s="1603"/>
      <c r="Y566" s="1924" t="s">
        <v>514</v>
      </c>
      <c r="Z566" s="1925"/>
      <c r="AA566" s="1925"/>
      <c r="AB566" s="1925"/>
      <c r="AC566" s="1925"/>
      <c r="AD566" s="1925"/>
      <c r="AE566" s="1925"/>
      <c r="AF566" s="1925"/>
      <c r="AG566" s="1925"/>
      <c r="AH566" s="1925"/>
      <c r="AI566" s="354"/>
      <c r="AJ566" s="87"/>
    </row>
    <row r="567" spans="1:36" s="765" customFormat="1" ht="30" hidden="1" customHeight="1" x14ac:dyDescent="0.25">
      <c r="A567" s="800" t="s">
        <v>8</v>
      </c>
      <c r="B567" s="1898" t="s">
        <v>35</v>
      </c>
      <c r="C567" s="1898"/>
      <c r="D567" s="1898"/>
      <c r="E567" s="1898"/>
      <c r="F567" s="1898"/>
      <c r="G567" s="1581" t="s">
        <v>61</v>
      </c>
      <c r="H567" s="1581" t="s">
        <v>248</v>
      </c>
      <c r="I567" s="1588" t="s">
        <v>264</v>
      </c>
      <c r="J567" s="1588" t="s">
        <v>256</v>
      </c>
      <c r="K567" s="1603"/>
      <c r="L567" s="1603"/>
      <c r="M567" s="1603"/>
      <c r="N567" s="1603"/>
      <c r="Y567" s="1913" t="s">
        <v>1134</v>
      </c>
      <c r="Z567" s="1913"/>
      <c r="AA567" s="1913"/>
      <c r="AB567" s="1913"/>
      <c r="AC567" s="1913"/>
      <c r="AD567" s="1913"/>
      <c r="AE567" s="1913"/>
      <c r="AF567" s="1913"/>
      <c r="AG567" s="1913"/>
      <c r="AH567" s="1594">
        <v>43574.97</v>
      </c>
      <c r="AI567" s="344">
        <v>43574.97</v>
      </c>
      <c r="AJ567" s="81">
        <f>AH567-AI567</f>
        <v>0</v>
      </c>
    </row>
    <row r="568" spans="1:36" s="765" customFormat="1" ht="15" hidden="1" customHeight="1" x14ac:dyDescent="0.25">
      <c r="A568" s="1630">
        <v>1</v>
      </c>
      <c r="B568" s="1909" t="s">
        <v>1271</v>
      </c>
      <c r="C568" s="1909"/>
      <c r="D568" s="1909"/>
      <c r="E568" s="1909"/>
      <c r="F568" s="1909"/>
      <c r="G568" s="1588" t="s">
        <v>273</v>
      </c>
      <c r="H568" s="59">
        <f>2-2</f>
        <v>0</v>
      </c>
      <c r="I568" s="1588">
        <v>2500</v>
      </c>
      <c r="J568" s="1588">
        <f>H568*I568</f>
        <v>0</v>
      </c>
      <c r="K568" s="1603"/>
      <c r="L568" s="1603"/>
      <c r="M568" s="1603"/>
      <c r="N568" s="1603"/>
      <c r="Y568" s="1913" t="s">
        <v>153</v>
      </c>
      <c r="Z568" s="1913"/>
      <c r="AA568" s="1913"/>
      <c r="AB568" s="1913"/>
      <c r="AC568" s="1913"/>
      <c r="AD568" s="1913"/>
      <c r="AE568" s="1913"/>
      <c r="AF568" s="1913"/>
      <c r="AG568" s="1913"/>
      <c r="AH568" s="1594">
        <f>569306.62+2653223.35+804849.27</f>
        <v>4027379.24</v>
      </c>
      <c r="AI568" s="344">
        <f>612881.59-43574.97+621346.6+434942.62+300660.27+597267.2+418087.04+219030+61889.62+464593.11</f>
        <v>3687123.08</v>
      </c>
      <c r="AJ568" s="81">
        <f>AH568-AI568</f>
        <v>340256.16</v>
      </c>
    </row>
    <row r="569" spans="1:36" s="765" customFormat="1" ht="15" hidden="1" customHeight="1" x14ac:dyDescent="0.25">
      <c r="A569" s="1630">
        <v>1</v>
      </c>
      <c r="B569" s="1909" t="s">
        <v>1272</v>
      </c>
      <c r="C569" s="1909"/>
      <c r="D569" s="1909"/>
      <c r="E569" s="1909"/>
      <c r="F569" s="1909"/>
      <c r="G569" s="1588" t="s">
        <v>273</v>
      </c>
      <c r="H569" s="59">
        <f>2-2</f>
        <v>0</v>
      </c>
      <c r="I569" s="1588">
        <v>1940</v>
      </c>
      <c r="J569" s="1588">
        <f>H569*I569</f>
        <v>0</v>
      </c>
      <c r="K569" s="1603"/>
      <c r="L569" s="1603"/>
      <c r="M569" s="1603"/>
      <c r="N569" s="1603"/>
      <c r="Y569" s="1891" t="s">
        <v>619</v>
      </c>
      <c r="Z569" s="1891"/>
      <c r="AA569" s="1891"/>
      <c r="AB569" s="1891"/>
      <c r="AC569" s="1891"/>
      <c r="AD569" s="1891"/>
      <c r="AE569" s="1891"/>
      <c r="AF569" s="1891"/>
      <c r="AG569" s="1891"/>
      <c r="AH569" s="1588">
        <f>1500000-1000000-300000+65000+45000-100526.29-0.2</f>
        <v>209473.51</v>
      </c>
      <c r="AI569" s="344">
        <v>0</v>
      </c>
      <c r="AJ569" s="81">
        <f>AH569-AI569</f>
        <v>209473.51</v>
      </c>
    </row>
    <row r="570" spans="1:36" s="765" customFormat="1" ht="15" hidden="1" customHeight="1" x14ac:dyDescent="0.25">
      <c r="A570" s="1630">
        <v>2</v>
      </c>
      <c r="B570" s="1909" t="s">
        <v>1273</v>
      </c>
      <c r="C570" s="1909"/>
      <c r="D570" s="1909"/>
      <c r="E570" s="1909"/>
      <c r="F570" s="1909"/>
      <c r="G570" s="1588" t="s">
        <v>273</v>
      </c>
      <c r="H570" s="59">
        <f>2-2</f>
        <v>0</v>
      </c>
      <c r="I570" s="1588">
        <v>1000</v>
      </c>
      <c r="J570" s="1588">
        <f>H570*I570</f>
        <v>0</v>
      </c>
      <c r="K570" s="1603"/>
      <c r="L570" s="1603"/>
      <c r="M570" s="1603"/>
      <c r="N570" s="1603"/>
      <c r="Y570" s="1891" t="s">
        <v>1147</v>
      </c>
      <c r="Z570" s="1891"/>
      <c r="AA570" s="1891"/>
      <c r="AB570" s="1891"/>
      <c r="AC570" s="1891"/>
      <c r="AD570" s="1891"/>
      <c r="AE570" s="1891"/>
      <c r="AF570" s="1891"/>
      <c r="AG570" s="1891"/>
      <c r="AH570" s="360" t="e">
        <f>#REF!-AH567-AH568-AH569-587301.59</f>
        <v>#REF!</v>
      </c>
      <c r="AI570" s="354"/>
      <c r="AJ570" s="174"/>
    </row>
    <row r="571" spans="1:36" s="765" customFormat="1" ht="15" hidden="1" customHeight="1" x14ac:dyDescent="0.25">
      <c r="A571" s="1630">
        <v>1</v>
      </c>
      <c r="B571" s="1909" t="s">
        <v>1274</v>
      </c>
      <c r="C571" s="1909"/>
      <c r="D571" s="1909"/>
      <c r="E571" s="1909"/>
      <c r="F571" s="1909"/>
      <c r="G571" s="1588" t="s">
        <v>1275</v>
      </c>
      <c r="H571" s="59">
        <f>5-4</f>
        <v>1</v>
      </c>
      <c r="I571" s="1588"/>
      <c r="J571" s="1588">
        <f>H571*I571</f>
        <v>0</v>
      </c>
      <c r="K571" s="1603"/>
      <c r="L571" s="1603"/>
      <c r="M571" s="1603"/>
      <c r="N571" s="1603"/>
      <c r="Y571" s="1386"/>
      <c r="Z571" s="1387"/>
      <c r="AA571" s="1387"/>
      <c r="AB571" s="1387"/>
      <c r="AC571" s="1387"/>
      <c r="AD571" s="1387"/>
      <c r="AE571" s="1387"/>
      <c r="AF571" s="1387"/>
      <c r="AG571" s="1387"/>
      <c r="AH571" s="782"/>
      <c r="AI571" s="87"/>
      <c r="AJ571" s="87"/>
    </row>
    <row r="572" spans="1:36" s="765" customFormat="1" ht="15" hidden="1" customHeight="1" x14ac:dyDescent="0.25">
      <c r="A572" s="1946" t="s">
        <v>39</v>
      </c>
      <c r="B572" s="2096"/>
      <c r="C572" s="2096"/>
      <c r="D572" s="2096"/>
      <c r="E572" s="2096"/>
      <c r="F572" s="2096"/>
      <c r="G572" s="2096"/>
      <c r="H572" s="2096"/>
      <c r="I572" s="2460"/>
      <c r="J572" s="1589">
        <f>SUM(J568:J571)</f>
        <v>0</v>
      </c>
      <c r="K572" s="347"/>
      <c r="L572" s="392">
        <f>J572-K572</f>
        <v>0</v>
      </c>
      <c r="M572" s="1603"/>
      <c r="N572" s="780"/>
      <c r="Y572" s="1630">
        <v>5</v>
      </c>
      <c r="Z572" s="1921" t="s">
        <v>59</v>
      </c>
      <c r="AA572" s="2078"/>
      <c r="AB572" s="1933"/>
      <c r="AC572" s="2078"/>
      <c r="AD572" s="2079"/>
      <c r="AE572" s="1640" t="s">
        <v>1479</v>
      </c>
      <c r="AF572" s="1390">
        <v>288.18349000000001</v>
      </c>
      <c r="AG572" s="65">
        <v>55.86</v>
      </c>
      <c r="AH572" s="1588">
        <f>AF572*AG572</f>
        <v>16097.93</v>
      </c>
      <c r="AI572" s="87"/>
      <c r="AJ572" s="990"/>
    </row>
    <row r="573" spans="1:36" s="765" customFormat="1" ht="30" hidden="1" x14ac:dyDescent="0.25">
      <c r="A573" s="63"/>
      <c r="B573" s="63"/>
      <c r="C573" s="63"/>
      <c r="D573" s="63"/>
      <c r="E573" s="63"/>
      <c r="F573" s="63"/>
      <c r="G573" s="63"/>
      <c r="H573" s="63"/>
      <c r="I573" s="63"/>
      <c r="J573" s="64"/>
      <c r="K573" s="1603"/>
      <c r="L573" s="1603"/>
      <c r="M573" s="1603"/>
      <c r="N573" s="1603"/>
      <c r="Y573" s="1630">
        <v>6</v>
      </c>
      <c r="Z573" s="1921" t="s">
        <v>84</v>
      </c>
      <c r="AA573" s="2078"/>
      <c r="AB573" s="1933"/>
      <c r="AC573" s="2078"/>
      <c r="AD573" s="2079"/>
      <c r="AE573" s="1640" t="s">
        <v>1479</v>
      </c>
      <c r="AF573" s="875">
        <v>27.928305999999999</v>
      </c>
      <c r="AG573" s="65" t="e">
        <f>#REF!</f>
        <v>#REF!</v>
      </c>
      <c r="AH573" s="1588" t="e">
        <f>AF573*AG573</f>
        <v>#REF!</v>
      </c>
      <c r="AI573" s="87"/>
      <c r="AJ573" s="990"/>
    </row>
    <row r="574" spans="1:36" ht="15.75" hidden="1" customHeight="1" x14ac:dyDescent="0.25">
      <c r="A574" s="1644" t="s">
        <v>321</v>
      </c>
      <c r="E574" s="72"/>
      <c r="G574" s="60"/>
      <c r="H574" s="90"/>
      <c r="K574" s="1648"/>
      <c r="L574" s="70"/>
      <c r="M574" s="1661"/>
      <c r="N574" s="1648"/>
      <c r="Y574" s="1630">
        <v>7</v>
      </c>
      <c r="Z574" s="1921" t="s">
        <v>59</v>
      </c>
      <c r="AA574" s="2078"/>
      <c r="AB574" s="1933"/>
      <c r="AC574" s="2078"/>
      <c r="AD574" s="2079"/>
      <c r="AE574" s="1640" t="s">
        <v>1480</v>
      </c>
      <c r="AF574" s="1390">
        <f>3135.0007+550.084676-550.08466</f>
        <v>3135.00072</v>
      </c>
      <c r="AG574" s="65">
        <f>AG572</f>
        <v>55.86</v>
      </c>
      <c r="AH574" s="1588">
        <f>AF574*AG574</f>
        <v>175121.14</v>
      </c>
      <c r="AI574" s="87"/>
      <c r="AJ574" s="990"/>
    </row>
    <row r="575" spans="1:36" ht="15" hidden="1" customHeight="1" x14ac:dyDescent="0.25">
      <c r="A575" s="1898" t="s">
        <v>8</v>
      </c>
      <c r="B575" s="1898" t="s">
        <v>35</v>
      </c>
      <c r="C575" s="1898"/>
      <c r="D575" s="1898"/>
      <c r="E575" s="1898"/>
      <c r="F575" s="1898"/>
      <c r="G575" s="1898" t="s">
        <v>61</v>
      </c>
      <c r="H575" s="1899" t="s">
        <v>1476</v>
      </c>
      <c r="I575" s="1998"/>
      <c r="J575" s="1999"/>
      <c r="K575" s="1648" t="s">
        <v>1478</v>
      </c>
      <c r="L575" s="70"/>
      <c r="M575" s="1661"/>
      <c r="N575" s="1648"/>
      <c r="Y575" s="1630">
        <v>8</v>
      </c>
      <c r="Z575" s="1921" t="s">
        <v>84</v>
      </c>
      <c r="AA575" s="2078"/>
      <c r="AB575" s="1933"/>
      <c r="AC575" s="2078"/>
      <c r="AD575" s="2079"/>
      <c r="AE575" s="1640" t="s">
        <v>1480</v>
      </c>
      <c r="AF575" s="1801">
        <f>342.000007+20-31.589865+11.58987</f>
        <v>342.00001200000003</v>
      </c>
      <c r="AG575" s="65" t="e">
        <f>AG573</f>
        <v>#REF!</v>
      </c>
      <c r="AH575" s="1588" t="e">
        <f>AF575*AG575</f>
        <v>#REF!</v>
      </c>
      <c r="AI575" s="87"/>
      <c r="AJ575" s="990"/>
    </row>
    <row r="576" spans="1:36" ht="60" hidden="1" customHeight="1" x14ac:dyDescent="0.25">
      <c r="A576" s="1898"/>
      <c r="B576" s="1898"/>
      <c r="C576" s="1898"/>
      <c r="D576" s="1898"/>
      <c r="E576" s="1898"/>
      <c r="F576" s="1898"/>
      <c r="G576" s="1898"/>
      <c r="H576" s="1617" t="s">
        <v>260</v>
      </c>
      <c r="I576" s="1617" t="s">
        <v>53</v>
      </c>
      <c r="J576" s="1617" t="s">
        <v>261</v>
      </c>
      <c r="K576" s="1648"/>
      <c r="L576" s="1648"/>
      <c r="M576" s="1648"/>
      <c r="N576" s="1648"/>
      <c r="Y576" s="1944" t="s">
        <v>39</v>
      </c>
      <c r="Z576" s="1945"/>
      <c r="AA576" s="1945"/>
      <c r="AB576" s="1945"/>
      <c r="AC576" s="1945"/>
      <c r="AD576" s="1945"/>
      <c r="AE576" s="1912" t="s">
        <v>5</v>
      </c>
      <c r="AF576" s="66" t="s">
        <v>82</v>
      </c>
      <c r="AG576" s="66" t="s">
        <v>82</v>
      </c>
      <c r="AH576" s="66" t="e">
        <f>SUM(AH572:AH575)</f>
        <v>#REF!</v>
      </c>
      <c r="AI576" s="814" t="s">
        <v>1478</v>
      </c>
      <c r="AJ576" s="1044" t="s">
        <v>1486</v>
      </c>
    </row>
    <row r="577" spans="1:36" hidden="1" x14ac:dyDescent="0.25">
      <c r="A577" s="1630">
        <v>1</v>
      </c>
      <c r="B577" s="1626" t="s">
        <v>1680</v>
      </c>
      <c r="C577" s="1627"/>
      <c r="D577" s="1627"/>
      <c r="E577" s="1627"/>
      <c r="F577" s="1627"/>
      <c r="G577" s="1588" t="s">
        <v>750</v>
      </c>
      <c r="H577" s="777"/>
      <c r="I577" s="1803">
        <v>0.3</v>
      </c>
      <c r="J577" s="1588">
        <f>H577*I577</f>
        <v>0</v>
      </c>
      <c r="K577" s="81"/>
      <c r="L577" s="1648"/>
      <c r="M577" s="1672"/>
      <c r="N577" s="1648"/>
      <c r="Y577" s="1913" t="s">
        <v>153</v>
      </c>
      <c r="Z577" s="1913"/>
      <c r="AA577" s="1913"/>
      <c r="AB577" s="1913"/>
      <c r="AC577" s="1913"/>
      <c r="AD577" s="1913"/>
      <c r="AE577" s="1913"/>
      <c r="AF577" s="1913"/>
      <c r="AG577" s="1913"/>
      <c r="AH577" s="1594">
        <f>76383.19+297762.15+73363.12</f>
        <v>447508.46</v>
      </c>
      <c r="AI577" s="344">
        <f>76383.19+70021.47+76784.95+71125.32+79830.41+73363.12</f>
        <v>447508.46</v>
      </c>
      <c r="AJ577" s="81">
        <f>AH577-AI577</f>
        <v>0</v>
      </c>
    </row>
    <row r="578" spans="1:36" hidden="1" x14ac:dyDescent="0.25">
      <c r="A578" s="1895" t="s">
        <v>39</v>
      </c>
      <c r="B578" s="1895"/>
      <c r="C578" s="1895"/>
      <c r="D578" s="1895"/>
      <c r="E578" s="1895"/>
      <c r="F578" s="1895"/>
      <c r="G578" s="1895"/>
      <c r="H578" s="100" t="s">
        <v>5</v>
      </c>
      <c r="I578" s="1589" t="s">
        <v>5</v>
      </c>
      <c r="J578" s="1589">
        <f>SUM(J577:J577)</f>
        <v>0</v>
      </c>
      <c r="K578" s="347">
        <v>0</v>
      </c>
      <c r="L578" s="392">
        <f>J578-K578</f>
        <v>0</v>
      </c>
      <c r="M578" s="1648"/>
      <c r="N578" s="1648"/>
      <c r="Y578" s="1891" t="s">
        <v>619</v>
      </c>
      <c r="Z578" s="1891"/>
      <c r="AA578" s="1891"/>
      <c r="AB578" s="1891"/>
      <c r="AC578" s="1891"/>
      <c r="AD578" s="1891"/>
      <c r="AE578" s="1891"/>
      <c r="AF578" s="1891"/>
      <c r="AG578" s="1891"/>
      <c r="AH578" s="1588">
        <f>200000-100000-30000</f>
        <v>70000</v>
      </c>
      <c r="AI578" s="344">
        <v>0</v>
      </c>
      <c r="AJ578" s="81">
        <f>AH578-AI578</f>
        <v>70000</v>
      </c>
    </row>
    <row r="579" spans="1:36" s="765" customFormat="1" ht="15.75" hidden="1" x14ac:dyDescent="0.25">
      <c r="A579" s="63"/>
      <c r="B579" s="63"/>
      <c r="C579" s="63"/>
      <c r="D579" s="63"/>
      <c r="E579" s="63"/>
      <c r="F579" s="63"/>
      <c r="G579" s="63"/>
      <c r="H579" s="63"/>
      <c r="I579" s="63"/>
      <c r="J579" s="64"/>
      <c r="K579" s="1603"/>
      <c r="L579" s="1603"/>
      <c r="M579" s="1603"/>
      <c r="N579" s="1603"/>
      <c r="U579" s="1820"/>
      <c r="V579" s="1820"/>
      <c r="Y579" s="1944" t="s">
        <v>39</v>
      </c>
      <c r="Z579" s="1945"/>
      <c r="AA579" s="1945"/>
      <c r="AB579" s="1945"/>
      <c r="AC579" s="1945"/>
      <c r="AD579" s="1945"/>
      <c r="AE579" s="1912" t="s">
        <v>82</v>
      </c>
      <c r="AF579" s="1804" t="s">
        <v>82</v>
      </c>
      <c r="AG579" s="66" t="s">
        <v>82</v>
      </c>
      <c r="AH579" s="66" t="e">
        <f>SUM(#REF!)</f>
        <v>#REF!</v>
      </c>
      <c r="AI579" s="87"/>
      <c r="AJ579" s="87"/>
    </row>
    <row r="580" spans="1:36" x14ac:dyDescent="0.25">
      <c r="A580" s="1644" t="s">
        <v>823</v>
      </c>
      <c r="I580" s="69"/>
      <c r="J580" s="69"/>
      <c r="K580" s="61"/>
      <c r="L580" s="1757"/>
      <c r="M580" s="1821"/>
      <c r="N580" s="64"/>
      <c r="O580" s="64"/>
      <c r="P580" s="70"/>
      <c r="Q580" s="70"/>
      <c r="R580" s="75"/>
      <c r="S580" s="79"/>
      <c r="T580" s="79"/>
      <c r="U580" s="79"/>
      <c r="V580" s="79"/>
      <c r="W580" s="79"/>
      <c r="X580" s="79"/>
      <c r="Y580" s="79"/>
      <c r="Z580" s="79"/>
      <c r="AA580" s="79"/>
      <c r="AB580" s="79"/>
      <c r="AC580" s="79"/>
      <c r="AD580" s="75"/>
      <c r="AE580" s="75"/>
      <c r="AF580" s="75"/>
    </row>
    <row r="581" spans="1:36" ht="30" x14ac:dyDescent="0.25">
      <c r="A581" s="1598" t="s">
        <v>8</v>
      </c>
      <c r="B581" s="1990" t="s">
        <v>35</v>
      </c>
      <c r="C581" s="2026"/>
      <c r="D581" s="2026"/>
      <c r="E581" s="2026"/>
      <c r="F581" s="2027"/>
      <c r="G581" s="1598" t="s">
        <v>61</v>
      </c>
      <c r="H581" s="1598" t="s">
        <v>248</v>
      </c>
      <c r="I581" s="1598" t="s">
        <v>264</v>
      </c>
      <c r="J581" s="1598" t="s">
        <v>256</v>
      </c>
      <c r="K581" s="61"/>
      <c r="L581" s="1757"/>
      <c r="M581" s="1821"/>
      <c r="N581" s="64"/>
      <c r="O581" s="64"/>
      <c r="P581" s="70"/>
      <c r="Q581" s="70"/>
      <c r="R581" s="75"/>
      <c r="S581" s="79"/>
      <c r="T581" s="79"/>
      <c r="U581" s="79"/>
      <c r="V581" s="79"/>
      <c r="W581" s="79"/>
      <c r="X581" s="79"/>
      <c r="Y581" s="79"/>
      <c r="Z581" s="79"/>
      <c r="AA581" s="79"/>
      <c r="AB581" s="79"/>
      <c r="AC581" s="79"/>
      <c r="AD581" s="75"/>
      <c r="AE581" s="75"/>
      <c r="AF581" s="75"/>
    </row>
    <row r="582" spans="1:36" ht="27.75" customHeight="1" x14ac:dyDescent="0.25">
      <c r="A582" s="1141">
        <v>1</v>
      </c>
      <c r="B582" s="2003" t="s">
        <v>2033</v>
      </c>
      <c r="C582" s="2047"/>
      <c r="D582" s="2047"/>
      <c r="E582" s="2047"/>
      <c r="F582" s="2008"/>
      <c r="G582" s="1617" t="s">
        <v>108</v>
      </c>
      <c r="H582" s="1230">
        <v>1</v>
      </c>
      <c r="I582" s="1617">
        <v>85000</v>
      </c>
      <c r="J582" s="1617">
        <f>H582*I582</f>
        <v>85000</v>
      </c>
      <c r="K582" s="344"/>
      <c r="L582" s="1757"/>
      <c r="M582" s="1821"/>
      <c r="N582" s="1593"/>
      <c r="O582" s="1593"/>
      <c r="P582" s="98"/>
      <c r="Q582" s="79"/>
      <c r="R582" s="75"/>
      <c r="S582" s="79"/>
      <c r="T582" s="79"/>
      <c r="U582" s="79"/>
      <c r="V582" s="79"/>
      <c r="W582" s="79"/>
      <c r="X582" s="79"/>
      <c r="Y582" s="79"/>
      <c r="Z582" s="79"/>
      <c r="AA582" s="79"/>
      <c r="AB582" s="79"/>
      <c r="AC582" s="79"/>
      <c r="AD582" s="75"/>
      <c r="AE582" s="75"/>
      <c r="AF582" s="75"/>
    </row>
    <row r="583" spans="1:36" x14ac:dyDescent="0.25">
      <c r="A583" s="2039" t="s">
        <v>39</v>
      </c>
      <c r="B583" s="2040"/>
      <c r="C583" s="2040"/>
      <c r="D583" s="2040"/>
      <c r="E583" s="2040"/>
      <c r="F583" s="2040"/>
      <c r="G583" s="2040"/>
      <c r="H583" s="2040"/>
      <c r="I583" s="2041"/>
      <c r="J583" s="1192">
        <f>SUM(J582:J582)</f>
        <v>85000</v>
      </c>
      <c r="K583" s="61"/>
      <c r="L583" s="1757"/>
      <c r="M583" s="1821"/>
      <c r="N583" s="64"/>
      <c r="O583" s="64"/>
      <c r="P583" s="70"/>
      <c r="Q583" s="70"/>
      <c r="R583" s="75"/>
      <c r="S583" s="79"/>
      <c r="T583" s="79"/>
      <c r="U583" s="79"/>
      <c r="V583" s="79"/>
      <c r="W583" s="79"/>
      <c r="X583" s="79"/>
      <c r="Y583" s="79"/>
      <c r="Z583" s="79"/>
      <c r="AA583" s="79"/>
      <c r="AB583" s="79"/>
      <c r="AC583" s="79"/>
      <c r="AD583" s="75"/>
      <c r="AE583" s="75"/>
      <c r="AF583" s="75"/>
    </row>
    <row r="584" spans="1:36" s="765" customFormat="1" ht="15.75" x14ac:dyDescent="0.25">
      <c r="A584" s="63"/>
      <c r="B584" s="63"/>
      <c r="C584" s="63"/>
      <c r="D584" s="63"/>
      <c r="E584" s="63"/>
      <c r="F584" s="63"/>
      <c r="G584" s="63"/>
      <c r="H584" s="63"/>
      <c r="I584" s="63"/>
      <c r="J584" s="64"/>
      <c r="K584" s="1603"/>
      <c r="L584" s="1603"/>
      <c r="M584" s="1603"/>
      <c r="N584" s="1603"/>
      <c r="U584" s="1820"/>
      <c r="V584" s="1820"/>
      <c r="Y584" s="1608"/>
      <c r="Z584" s="1609"/>
      <c r="AA584" s="1609"/>
      <c r="AB584" s="1609"/>
      <c r="AC584" s="1609"/>
      <c r="AD584" s="1609"/>
      <c r="AE584" s="1822"/>
      <c r="AF584" s="1805"/>
      <c r="AG584" s="1544"/>
      <c r="AH584" s="1544"/>
      <c r="AI584" s="87"/>
      <c r="AJ584" s="87"/>
    </row>
    <row r="585" spans="1:36" s="765" customFormat="1" ht="15" customHeight="1" x14ac:dyDescent="0.25">
      <c r="A585" s="1" t="s">
        <v>1247</v>
      </c>
      <c r="B585" s="72"/>
      <c r="C585" s="72"/>
      <c r="D585" s="72"/>
      <c r="E585" s="72"/>
      <c r="F585" s="72"/>
      <c r="G585" s="72"/>
      <c r="H585" s="74"/>
      <c r="I585" s="74"/>
      <c r="J585" s="74"/>
      <c r="K585" s="1603"/>
      <c r="L585" s="1603"/>
      <c r="M585" s="1603"/>
      <c r="N585" s="1603"/>
      <c r="U585" s="1820"/>
      <c r="V585" s="1820"/>
      <c r="Y585" s="1924" t="s">
        <v>514</v>
      </c>
      <c r="Z585" s="1925"/>
      <c r="AA585" s="1925"/>
      <c r="AB585" s="1925"/>
      <c r="AC585" s="1925"/>
      <c r="AD585" s="1925"/>
      <c r="AE585" s="1925"/>
      <c r="AF585" s="1925"/>
      <c r="AG585" s="1925"/>
      <c r="AH585" s="1925"/>
      <c r="AI585" s="87"/>
      <c r="AJ585" s="87"/>
    </row>
    <row r="586" spans="1:36" s="765" customFormat="1" ht="31.5" customHeight="1" x14ac:dyDescent="0.25">
      <c r="A586" s="800" t="s">
        <v>8</v>
      </c>
      <c r="B586" s="1899" t="s">
        <v>35</v>
      </c>
      <c r="C586" s="1998"/>
      <c r="D586" s="1998"/>
      <c r="E586" s="1998"/>
      <c r="F586" s="1999"/>
      <c r="G586" s="1581" t="s">
        <v>61</v>
      </c>
      <c r="H586" s="1581" t="s">
        <v>248</v>
      </c>
      <c r="I586" s="1581" t="s">
        <v>264</v>
      </c>
      <c r="J586" s="1581" t="s">
        <v>256</v>
      </c>
      <c r="K586" s="1603"/>
      <c r="L586" s="1603"/>
      <c r="M586" s="1603"/>
      <c r="N586" s="1603"/>
      <c r="U586" s="1820"/>
      <c r="V586" s="1820"/>
      <c r="Y586" s="1913" t="s">
        <v>1134</v>
      </c>
      <c r="Z586" s="1913"/>
      <c r="AA586" s="1913"/>
      <c r="AB586" s="1913"/>
      <c r="AC586" s="1913"/>
      <c r="AD586" s="1913"/>
      <c r="AE586" s="1913"/>
      <c r="AF586" s="1913"/>
      <c r="AG586" s="1913"/>
      <c r="AH586" s="1594">
        <v>0</v>
      </c>
      <c r="AI586" s="87"/>
      <c r="AJ586" s="87"/>
    </row>
    <row r="587" spans="1:36" s="765" customFormat="1" ht="30.75" customHeight="1" x14ac:dyDescent="0.25">
      <c r="A587" s="1630">
        <v>1</v>
      </c>
      <c r="B587" s="1921" t="s">
        <v>1583</v>
      </c>
      <c r="C587" s="2006"/>
      <c r="D587" s="2006"/>
      <c r="E587" s="2006"/>
      <c r="F587" s="2085"/>
      <c r="G587" s="1588" t="s">
        <v>108</v>
      </c>
      <c r="H587" s="59">
        <v>1</v>
      </c>
      <c r="I587" s="1588">
        <v>100000</v>
      </c>
      <c r="J587" s="393">
        <f>H587*I587</f>
        <v>100000</v>
      </c>
      <c r="K587" s="1603"/>
      <c r="L587" s="780"/>
      <c r="M587" s="1603"/>
      <c r="N587" s="1603"/>
      <c r="U587" s="1820"/>
      <c r="V587" s="1820"/>
      <c r="Y587" s="1913" t="s">
        <v>153</v>
      </c>
      <c r="Z587" s="1913"/>
      <c r="AA587" s="1913"/>
      <c r="AB587" s="1913"/>
      <c r="AC587" s="1913"/>
      <c r="AD587" s="1913"/>
      <c r="AE587" s="1913"/>
      <c r="AF587" s="1913"/>
      <c r="AG587" s="1913"/>
      <c r="AH587" s="1594">
        <v>0</v>
      </c>
      <c r="AI587" s="87"/>
      <c r="AJ587" s="354"/>
    </row>
    <row r="588" spans="1:36" s="765" customFormat="1" ht="15" hidden="1" customHeight="1" x14ac:dyDescent="0.25">
      <c r="A588" s="1630">
        <v>4</v>
      </c>
      <c r="B588" s="1921" t="s">
        <v>1248</v>
      </c>
      <c r="C588" s="2006"/>
      <c r="D588" s="2006"/>
      <c r="E588" s="2006"/>
      <c r="F588" s="2085"/>
      <c r="G588" s="1588" t="s">
        <v>108</v>
      </c>
      <c r="H588" s="59"/>
      <c r="I588" s="1588"/>
      <c r="J588" s="393">
        <f>H588*I588</f>
        <v>0</v>
      </c>
      <c r="K588" s="1603"/>
      <c r="L588" s="1603"/>
      <c r="M588" s="1603"/>
      <c r="N588" s="1603"/>
      <c r="U588" s="1603"/>
      <c r="V588" s="1603"/>
      <c r="Y588" s="1891" t="s">
        <v>1147</v>
      </c>
      <c r="Z588" s="1891"/>
      <c r="AA588" s="1891"/>
      <c r="AB588" s="1891"/>
      <c r="AC588" s="1891"/>
      <c r="AD588" s="1891"/>
      <c r="AE588" s="1891"/>
      <c r="AF588" s="1891"/>
      <c r="AG588" s="1891"/>
      <c r="AH588" s="360" t="e">
        <f>AH579-AH586-AH587-#REF!</f>
        <v>#REF!</v>
      </c>
      <c r="AI588" s="87"/>
      <c r="AJ588" s="354"/>
    </row>
    <row r="589" spans="1:36" s="765" customFormat="1" ht="15" customHeight="1" x14ac:dyDescent="0.25">
      <c r="A589" s="1946" t="s">
        <v>39</v>
      </c>
      <c r="B589" s="2096"/>
      <c r="C589" s="2096"/>
      <c r="D589" s="2096"/>
      <c r="E589" s="2096"/>
      <c r="F589" s="2096"/>
      <c r="G589" s="2460"/>
      <c r="H589" s="101" t="s">
        <v>5</v>
      </c>
      <c r="I589" s="101" t="s">
        <v>5</v>
      </c>
      <c r="J589" s="101">
        <f>SUM(J587:J588)</f>
        <v>100000</v>
      </c>
      <c r="K589" s="347"/>
      <c r="L589" s="392">
        <f>J589-K589</f>
        <v>100000</v>
      </c>
      <c r="M589" s="1603"/>
      <c r="N589" s="1603"/>
      <c r="U589" s="1603"/>
      <c r="V589" s="1603"/>
      <c r="Y589" s="1944" t="s">
        <v>483</v>
      </c>
      <c r="Z589" s="1945"/>
      <c r="AA589" s="1945"/>
      <c r="AB589" s="1945"/>
      <c r="AC589" s="1945"/>
      <c r="AD589" s="1945"/>
      <c r="AE589" s="1912" t="s">
        <v>82</v>
      </c>
      <c r="AF589" s="1659" t="s">
        <v>82</v>
      </c>
      <c r="AG589" s="1589" t="s">
        <v>82</v>
      </c>
      <c r="AH589" s="1589" t="e">
        <f>#REF!+#REF!+AH576+AH579-321402.91</f>
        <v>#REF!</v>
      </c>
      <c r="AI589" s="108"/>
      <c r="AJ589" s="91"/>
    </row>
    <row r="590" spans="1:36" ht="15.75" x14ac:dyDescent="0.25">
      <c r="A590" s="1635"/>
      <c r="B590" s="1635"/>
      <c r="C590" s="1635"/>
      <c r="D590" s="1635"/>
      <c r="E590" s="1635"/>
      <c r="F590" s="1635"/>
      <c r="G590" s="1635"/>
      <c r="H590" s="1635"/>
      <c r="I590" s="1635"/>
      <c r="J590" s="98"/>
      <c r="K590" s="347"/>
      <c r="L590" s="392"/>
      <c r="M590" s="61"/>
      <c r="N590" s="70"/>
      <c r="U590" s="1820"/>
      <c r="V590" s="1820"/>
      <c r="Y590" s="1823"/>
      <c r="Z590" s="1823"/>
      <c r="AA590" s="1823"/>
      <c r="AB590" s="1823"/>
      <c r="AC590" s="1823"/>
      <c r="AD590" s="1823"/>
      <c r="AE590" s="1823"/>
      <c r="AF590" s="1823"/>
      <c r="AG590" s="1823"/>
      <c r="AH590" s="1192"/>
      <c r="AI590" s="718"/>
      <c r="AJ590" s="91"/>
    </row>
    <row r="591" spans="1:36" s="765" customFormat="1" ht="15" customHeight="1" x14ac:dyDescent="0.25">
      <c r="A591" s="1" t="s">
        <v>1247</v>
      </c>
      <c r="B591" s="72"/>
      <c r="C591" s="72"/>
      <c r="D591" s="72"/>
      <c r="E591" s="72"/>
      <c r="F591" s="72"/>
      <c r="G591" s="72"/>
      <c r="H591" s="74"/>
      <c r="I591" s="74"/>
      <c r="J591" s="74"/>
      <c r="K591" s="1603"/>
      <c r="L591" s="1603"/>
      <c r="M591" s="1603"/>
      <c r="N591" s="1603"/>
      <c r="U591" s="1820"/>
      <c r="V591" s="1820"/>
      <c r="Y591" s="1924" t="s">
        <v>514</v>
      </c>
      <c r="Z591" s="1925"/>
      <c r="AA591" s="1925"/>
      <c r="AB591" s="1925"/>
      <c r="AC591" s="1925"/>
      <c r="AD591" s="1925"/>
      <c r="AE591" s="1925"/>
      <c r="AF591" s="1925"/>
      <c r="AG591" s="1925"/>
      <c r="AH591" s="1925"/>
      <c r="AI591" s="87"/>
      <c r="AJ591" s="87"/>
    </row>
    <row r="592" spans="1:36" s="765" customFormat="1" ht="31.5" customHeight="1" x14ac:dyDescent="0.25">
      <c r="A592" s="800" t="s">
        <v>8</v>
      </c>
      <c r="B592" s="1899" t="s">
        <v>35</v>
      </c>
      <c r="C592" s="1998"/>
      <c r="D592" s="1998"/>
      <c r="E592" s="1998"/>
      <c r="F592" s="1999"/>
      <c r="G592" s="1581" t="s">
        <v>61</v>
      </c>
      <c r="H592" s="1581" t="s">
        <v>248</v>
      </c>
      <c r="I592" s="1581" t="s">
        <v>264</v>
      </c>
      <c r="J592" s="1581" t="s">
        <v>256</v>
      </c>
      <c r="K592" s="1603"/>
      <c r="L592" s="1603"/>
      <c r="M592" s="1603"/>
      <c r="N592" s="1603"/>
      <c r="U592" s="1820"/>
      <c r="V592" s="1820"/>
      <c r="Y592" s="1913" t="s">
        <v>1134</v>
      </c>
      <c r="Z592" s="1913"/>
      <c r="AA592" s="1913"/>
      <c r="AB592" s="1913"/>
      <c r="AC592" s="1913"/>
      <c r="AD592" s="1913"/>
      <c r="AE592" s="1913"/>
      <c r="AF592" s="1913"/>
      <c r="AG592" s="1913"/>
      <c r="AH592" s="1594">
        <v>0</v>
      </c>
      <c r="AI592" s="87"/>
      <c r="AJ592" s="87"/>
    </row>
    <row r="593" spans="1:36" s="765" customFormat="1" ht="15.75" x14ac:dyDescent="0.25">
      <c r="A593" s="1630">
        <v>1</v>
      </c>
      <c r="B593" s="1921" t="s">
        <v>1731</v>
      </c>
      <c r="C593" s="2006"/>
      <c r="D593" s="2006"/>
      <c r="E593" s="2006"/>
      <c r="F593" s="2085"/>
      <c r="G593" s="1588" t="s">
        <v>108</v>
      </c>
      <c r="H593" s="59">
        <v>2</v>
      </c>
      <c r="I593" s="1588">
        <v>100000</v>
      </c>
      <c r="J593" s="393">
        <f>H593*I593</f>
        <v>200000</v>
      </c>
      <c r="K593" s="1603"/>
      <c r="L593" s="780"/>
      <c r="M593" s="1603"/>
      <c r="N593" s="1603"/>
      <c r="U593" s="1820"/>
      <c r="V593" s="1820"/>
      <c r="Y593" s="1913" t="s">
        <v>153</v>
      </c>
      <c r="Z593" s="1913"/>
      <c r="AA593" s="1913"/>
      <c r="AB593" s="1913"/>
      <c r="AC593" s="1913"/>
      <c r="AD593" s="1913"/>
      <c r="AE593" s="1913"/>
      <c r="AF593" s="1913"/>
      <c r="AG593" s="1913"/>
      <c r="AH593" s="1594">
        <v>0</v>
      </c>
      <c r="AI593" s="87"/>
      <c r="AJ593" s="354"/>
    </row>
    <row r="594" spans="1:36" s="765" customFormat="1" ht="15.75" x14ac:dyDescent="0.25">
      <c r="A594" s="1630">
        <v>2</v>
      </c>
      <c r="B594" s="1921" t="s">
        <v>2034</v>
      </c>
      <c r="C594" s="2006"/>
      <c r="D594" s="2006"/>
      <c r="E594" s="2006"/>
      <c r="F594" s="2085"/>
      <c r="G594" s="1588" t="s">
        <v>108</v>
      </c>
      <c r="H594" s="59">
        <v>2</v>
      </c>
      <c r="I594" s="1588">
        <v>50000</v>
      </c>
      <c r="J594" s="393">
        <f>H594*I594</f>
        <v>100000</v>
      </c>
      <c r="K594" s="1603"/>
      <c r="L594" s="780"/>
      <c r="M594" s="1603"/>
      <c r="N594" s="1603"/>
      <c r="U594" s="1820"/>
      <c r="V594" s="1820"/>
      <c r="Y594" s="1913" t="s">
        <v>153</v>
      </c>
      <c r="Z594" s="1913"/>
      <c r="AA594" s="1913"/>
      <c r="AB594" s="1913"/>
      <c r="AC594" s="1913"/>
      <c r="AD594" s="1913"/>
      <c r="AE594" s="1913"/>
      <c r="AF594" s="1913"/>
      <c r="AG594" s="1913"/>
      <c r="AH594" s="1594">
        <v>0</v>
      </c>
      <c r="AI594" s="87"/>
      <c r="AJ594" s="354"/>
    </row>
    <row r="595" spans="1:36" s="765" customFormat="1" ht="15" customHeight="1" x14ac:dyDescent="0.25">
      <c r="A595" s="1946" t="s">
        <v>39</v>
      </c>
      <c r="B595" s="2096"/>
      <c r="C595" s="2096"/>
      <c r="D595" s="2096"/>
      <c r="E595" s="2096"/>
      <c r="F595" s="2096"/>
      <c r="G595" s="2460"/>
      <c r="H595" s="101" t="s">
        <v>5</v>
      </c>
      <c r="I595" s="101" t="s">
        <v>5</v>
      </c>
      <c r="J595" s="101">
        <f>SUM(J593:J594)</f>
        <v>300000</v>
      </c>
      <c r="K595" s="347"/>
      <c r="L595" s="392"/>
      <c r="M595" s="1603"/>
      <c r="N595" s="1603"/>
      <c r="U595" s="1603"/>
      <c r="V595" s="1603"/>
      <c r="Y595" s="1944" t="s">
        <v>483</v>
      </c>
      <c r="Z595" s="1945"/>
      <c r="AA595" s="1945"/>
      <c r="AB595" s="1945"/>
      <c r="AC595" s="1945"/>
      <c r="AD595" s="1945"/>
      <c r="AE595" s="1912" t="s">
        <v>82</v>
      </c>
      <c r="AF595" s="1659" t="s">
        <v>82</v>
      </c>
      <c r="AG595" s="1589" t="s">
        <v>82</v>
      </c>
      <c r="AH595" s="1589" t="e">
        <f>#REF!+AH574+AH589+#REF!-321402.91</f>
        <v>#REF!</v>
      </c>
      <c r="AI595" s="108"/>
      <c r="AJ595" s="91"/>
    </row>
    <row r="596" spans="1:36" s="765" customFormat="1" ht="15" customHeight="1" x14ac:dyDescent="0.25">
      <c r="A596" s="1635"/>
      <c r="B596" s="1635"/>
      <c r="C596" s="1635"/>
      <c r="D596" s="1635"/>
      <c r="E596" s="1635"/>
      <c r="F596" s="1635"/>
      <c r="G596" s="1635"/>
      <c r="H596" s="1635"/>
      <c r="I596" s="1635"/>
      <c r="J596" s="98"/>
      <c r="K596" s="347"/>
      <c r="L596" s="1187"/>
      <c r="M596" s="1603"/>
      <c r="N596" s="1603"/>
      <c r="U596" s="1820"/>
      <c r="V596" s="1820"/>
      <c r="Y596" s="2107" t="s">
        <v>1147</v>
      </c>
      <c r="Z596" s="2107"/>
      <c r="AA596" s="2107"/>
      <c r="AB596" s="2107"/>
      <c r="AC596" s="2107"/>
      <c r="AD596" s="2107"/>
      <c r="AE596" s="2107"/>
      <c r="AF596" s="2107"/>
      <c r="AG596" s="2107"/>
      <c r="AH596" s="80" t="e">
        <f>#REF!+AH570+#REF!+AH588</f>
        <v>#REF!</v>
      </c>
      <c r="AI596" s="99"/>
      <c r="AJ596" s="91"/>
    </row>
    <row r="597" spans="1:36" s="765" customFormat="1" ht="15" hidden="1" customHeight="1" x14ac:dyDescent="0.25">
      <c r="A597" s="1645" t="s">
        <v>63</v>
      </c>
      <c r="B597" s="72"/>
      <c r="C597" s="72"/>
      <c r="D597" s="72"/>
      <c r="E597" s="94" t="s">
        <v>70</v>
      </c>
      <c r="F597" s="1644"/>
      <c r="G597" s="1644"/>
      <c r="H597" s="60"/>
      <c r="I597" s="69"/>
      <c r="J597" s="85">
        <f>J598</f>
        <v>0</v>
      </c>
      <c r="K597" s="392"/>
      <c r="L597" s="347"/>
      <c r="M597" s="1603"/>
      <c r="N597" s="1603"/>
      <c r="U597" s="1820"/>
      <c r="V597" s="1820"/>
    </row>
    <row r="598" spans="1:36" s="765" customFormat="1" ht="15" hidden="1" customHeight="1" x14ac:dyDescent="0.25">
      <c r="A598" s="71" t="s">
        <v>27</v>
      </c>
      <c r="B598" s="71"/>
      <c r="C598" s="71"/>
      <c r="D598" s="71"/>
      <c r="E598" s="773" t="s">
        <v>142</v>
      </c>
      <c r="F598" s="71"/>
      <c r="G598" s="71"/>
      <c r="H598" s="63"/>
      <c r="I598" s="63"/>
      <c r="J598" s="92">
        <f>J603</f>
        <v>0</v>
      </c>
      <c r="K598" s="392"/>
      <c r="L598" s="347"/>
      <c r="M598" s="1603"/>
      <c r="N598" s="1603"/>
      <c r="U598" s="1820"/>
      <c r="V598" s="1820"/>
    </row>
    <row r="599" spans="1:36" s="765" customFormat="1" ht="15" hidden="1" customHeight="1" x14ac:dyDescent="0.25">
      <c r="A599" s="1644" t="s">
        <v>318</v>
      </c>
      <c r="B599" s="1644"/>
      <c r="C599" s="1644"/>
      <c r="D599" s="1644"/>
      <c r="E599" s="1644"/>
      <c r="F599" s="1644"/>
      <c r="G599" s="1644"/>
      <c r="H599" s="60"/>
      <c r="I599" s="69"/>
      <c r="J599" s="69"/>
      <c r="K599" s="392"/>
      <c r="L599" s="347"/>
      <c r="M599" s="1603"/>
      <c r="N599" s="1603"/>
      <c r="U599" s="1820"/>
      <c r="V599" s="1820"/>
    </row>
    <row r="600" spans="1:36" s="765" customFormat="1" ht="15" hidden="1" customHeight="1" x14ac:dyDescent="0.25">
      <c r="A600" s="1898" t="s">
        <v>8</v>
      </c>
      <c r="B600" s="2080" t="s">
        <v>35</v>
      </c>
      <c r="C600" s="1959"/>
      <c r="D600" s="2081"/>
      <c r="E600" s="1899" t="s">
        <v>735</v>
      </c>
      <c r="F600" s="1911"/>
      <c r="G600" s="1911"/>
      <c r="H600" s="1911"/>
      <c r="I600" s="1911"/>
      <c r="J600" s="1912"/>
      <c r="K600" s="392"/>
      <c r="L600" s="347"/>
      <c r="M600" s="1603"/>
      <c r="N600" s="1603"/>
      <c r="U600" s="1603"/>
      <c r="V600" s="1603"/>
    </row>
    <row r="601" spans="1:36" s="765" customFormat="1" ht="46.5" hidden="1" customHeight="1" x14ac:dyDescent="0.25">
      <c r="A601" s="1898"/>
      <c r="B601" s="2009"/>
      <c r="C601" s="1961"/>
      <c r="D601" s="1962"/>
      <c r="E601" s="1639" t="s">
        <v>61</v>
      </c>
      <c r="F601" s="1639" t="s">
        <v>1170</v>
      </c>
      <c r="G601" s="1639" t="s">
        <v>1171</v>
      </c>
      <c r="H601" s="1639" t="s">
        <v>931</v>
      </c>
      <c r="I601" s="1639" t="s">
        <v>1172</v>
      </c>
      <c r="J601" s="1639" t="s">
        <v>297</v>
      </c>
      <c r="K601" s="392"/>
      <c r="L601" s="347"/>
      <c r="M601" s="1603"/>
      <c r="N601" s="1603"/>
      <c r="U601" s="1603"/>
      <c r="V601" s="1603"/>
    </row>
    <row r="602" spans="1:36" s="765" customFormat="1" ht="45.75" hidden="1" customHeight="1" x14ac:dyDescent="0.25">
      <c r="A602" s="1630">
        <v>1</v>
      </c>
      <c r="B602" s="1921" t="s">
        <v>640</v>
      </c>
      <c r="C602" s="2078"/>
      <c r="D602" s="2079"/>
      <c r="E602" s="1639" t="s">
        <v>299</v>
      </c>
      <c r="F602" s="59">
        <v>21</v>
      </c>
      <c r="G602" s="59">
        <v>25</v>
      </c>
      <c r="H602" s="1588">
        <v>332.33</v>
      </c>
      <c r="I602" s="541">
        <v>100</v>
      </c>
      <c r="J602" s="1588"/>
      <c r="K602" s="392"/>
      <c r="L602" s="347"/>
      <c r="M602" s="1603"/>
      <c r="N602" s="1603"/>
      <c r="U602" s="1603"/>
      <c r="V602" s="1603"/>
    </row>
    <row r="603" spans="1:36" s="765" customFormat="1" ht="15" hidden="1" customHeight="1" x14ac:dyDescent="0.25">
      <c r="A603" s="1895" t="s">
        <v>39</v>
      </c>
      <c r="B603" s="1895"/>
      <c r="C603" s="1895"/>
      <c r="D603" s="1895"/>
      <c r="E603" s="1895"/>
      <c r="F603" s="1895"/>
      <c r="G603" s="1895"/>
      <c r="H603" s="1589" t="s">
        <v>5</v>
      </c>
      <c r="I603" s="1589" t="s">
        <v>5</v>
      </c>
      <c r="J603" s="1589">
        <f>SUM(J602:J602)</f>
        <v>0</v>
      </c>
      <c r="K603" s="392"/>
      <c r="L603" s="347"/>
      <c r="M603" s="1603"/>
      <c r="N603" s="1603"/>
      <c r="U603" s="1603"/>
      <c r="V603" s="1603"/>
    </row>
    <row r="604" spans="1:36" hidden="1" x14ac:dyDescent="0.25">
      <c r="A604" s="1645" t="s">
        <v>63</v>
      </c>
      <c r="B604" s="72"/>
      <c r="C604" s="72"/>
      <c r="D604" s="75"/>
      <c r="E604" s="71" t="s">
        <v>79</v>
      </c>
      <c r="I604" s="69"/>
      <c r="J604" s="85">
        <f>J605</f>
        <v>0</v>
      </c>
      <c r="K604" s="81"/>
      <c r="L604" s="61"/>
      <c r="M604" s="81"/>
      <c r="N604" s="61"/>
      <c r="U604" s="75"/>
      <c r="V604" s="75"/>
    </row>
    <row r="605" spans="1:36" s="773" customFormat="1" ht="14.25" hidden="1" x14ac:dyDescent="0.25">
      <c r="A605" s="71" t="s">
        <v>27</v>
      </c>
      <c r="B605" s="71"/>
      <c r="C605" s="71"/>
      <c r="D605" s="71"/>
      <c r="E605" s="773" t="s">
        <v>34</v>
      </c>
      <c r="F605" s="71"/>
      <c r="G605" s="71"/>
      <c r="H605" s="63"/>
      <c r="I605" s="63"/>
      <c r="J605" s="92">
        <f>J614</f>
        <v>0</v>
      </c>
    </row>
    <row r="606" spans="1:36" hidden="1" x14ac:dyDescent="0.25">
      <c r="A606" s="1644" t="s">
        <v>325</v>
      </c>
      <c r="I606" s="69"/>
      <c r="J606" s="69"/>
      <c r="K606" s="61"/>
      <c r="L606" s="61"/>
      <c r="M606" s="61"/>
      <c r="N606" s="61"/>
      <c r="U606" s="75"/>
      <c r="V606" s="75"/>
    </row>
    <row r="607" spans="1:36" hidden="1" x14ac:dyDescent="0.25">
      <c r="A607" s="1898" t="s">
        <v>8</v>
      </c>
      <c r="B607" s="1898" t="s">
        <v>35</v>
      </c>
      <c r="C607" s="1898"/>
      <c r="D607" s="1898"/>
      <c r="E607" s="1898"/>
      <c r="F607" s="1898"/>
      <c r="G607" s="1898" t="s">
        <v>61</v>
      </c>
      <c r="H607" s="1899" t="s">
        <v>1476</v>
      </c>
      <c r="I607" s="1998"/>
      <c r="J607" s="1999"/>
      <c r="K607" s="81"/>
      <c r="L607" s="61"/>
      <c r="M607" s="61"/>
      <c r="N607" s="61"/>
      <c r="U607" s="75"/>
      <c r="V607" s="75"/>
    </row>
    <row r="608" spans="1:36" ht="30" hidden="1" x14ac:dyDescent="0.25">
      <c r="A608" s="1898"/>
      <c r="B608" s="1898"/>
      <c r="C608" s="1898"/>
      <c r="D608" s="1898"/>
      <c r="E608" s="1898"/>
      <c r="F608" s="1898"/>
      <c r="G608" s="1898"/>
      <c r="H608" s="1581" t="s">
        <v>248</v>
      </c>
      <c r="I608" s="1588" t="s">
        <v>264</v>
      </c>
      <c r="J608" s="1588" t="s">
        <v>256</v>
      </c>
      <c r="K608" s="61"/>
      <c r="L608" s="61"/>
      <c r="M608" s="61"/>
      <c r="N608" s="61"/>
      <c r="U608" s="75"/>
      <c r="V608" s="75"/>
    </row>
    <row r="609" spans="1:22" ht="33" hidden="1" customHeight="1" x14ac:dyDescent="0.25">
      <c r="A609" s="1630">
        <v>1</v>
      </c>
      <c r="B609" s="1909" t="s">
        <v>734</v>
      </c>
      <c r="C609" s="1909"/>
      <c r="D609" s="1909"/>
      <c r="E609" s="1909"/>
      <c r="F609" s="1909"/>
      <c r="G609" s="1588" t="s">
        <v>633</v>
      </c>
      <c r="H609" s="59">
        <v>1</v>
      </c>
      <c r="I609" s="1588">
        <v>9971.16</v>
      </c>
      <c r="J609" s="1588">
        <f>H609*I609</f>
        <v>9971.16</v>
      </c>
      <c r="K609" s="61"/>
      <c r="L609" s="61"/>
      <c r="M609" s="61"/>
      <c r="N609" s="61"/>
      <c r="U609" s="75"/>
      <c r="V609" s="75"/>
    </row>
    <row r="610" spans="1:22" hidden="1" x14ac:dyDescent="0.25">
      <c r="A610" s="1630">
        <v>1</v>
      </c>
      <c r="B610" s="1921" t="s">
        <v>301</v>
      </c>
      <c r="C610" s="2006"/>
      <c r="D610" s="1922"/>
      <c r="E610" s="1922"/>
      <c r="F610" s="1923"/>
      <c r="G610" s="1588" t="s">
        <v>108</v>
      </c>
      <c r="H610" s="59">
        <v>1</v>
      </c>
      <c r="I610" s="1588">
        <v>4000</v>
      </c>
      <c r="J610" s="1588">
        <f>H610*I610</f>
        <v>4000</v>
      </c>
      <c r="K610" s="61"/>
      <c r="L610" s="61"/>
      <c r="M610" s="61"/>
      <c r="N610" s="61"/>
      <c r="U610" s="75"/>
      <c r="V610" s="75"/>
    </row>
    <row r="611" spans="1:22" hidden="1" x14ac:dyDescent="0.25">
      <c r="A611" s="1895" t="s">
        <v>39</v>
      </c>
      <c r="B611" s="1895"/>
      <c r="C611" s="1895"/>
      <c r="D611" s="1895"/>
      <c r="E611" s="1895"/>
      <c r="F611" s="1895"/>
      <c r="G611" s="1895"/>
      <c r="H611" s="1589" t="s">
        <v>5</v>
      </c>
      <c r="I611" s="1589" t="s">
        <v>5</v>
      </c>
      <c r="J611" s="1589">
        <f>J610</f>
        <v>4000</v>
      </c>
      <c r="K611" s="61"/>
      <c r="L611" s="70"/>
      <c r="M611" s="61"/>
      <c r="N611" s="61"/>
      <c r="U611" s="75"/>
      <c r="V611" s="75"/>
    </row>
    <row r="612" spans="1:22" hidden="1" x14ac:dyDescent="0.25">
      <c r="A612" s="1924" t="s">
        <v>514</v>
      </c>
      <c r="B612" s="1925"/>
      <c r="C612" s="1925"/>
      <c r="D612" s="1925"/>
      <c r="E612" s="1925"/>
      <c r="F612" s="1925"/>
      <c r="G612" s="1925"/>
      <c r="H612" s="1925"/>
      <c r="I612" s="1925"/>
      <c r="J612" s="1925"/>
      <c r="K612" s="61"/>
      <c r="L612" s="61"/>
      <c r="M612" s="61"/>
      <c r="N612" s="70"/>
      <c r="U612" s="75"/>
      <c r="V612" s="75"/>
    </row>
    <row r="613" spans="1:22" hidden="1" x14ac:dyDescent="0.25">
      <c r="A613" s="1913" t="s">
        <v>153</v>
      </c>
      <c r="B613" s="1913"/>
      <c r="C613" s="1913"/>
      <c r="D613" s="1913"/>
      <c r="E613" s="1913"/>
      <c r="F613" s="1913"/>
      <c r="G613" s="1913"/>
      <c r="H613" s="1913"/>
      <c r="I613" s="1913"/>
      <c r="J613" s="1594"/>
      <c r="K613" s="61"/>
      <c r="L613" s="61"/>
      <c r="M613" s="61"/>
      <c r="N613" s="70"/>
      <c r="U613" s="75"/>
      <c r="V613" s="75"/>
    </row>
    <row r="614" spans="1:22" hidden="1" x14ac:dyDescent="0.25">
      <c r="A614" s="1891" t="s">
        <v>619</v>
      </c>
      <c r="B614" s="1891"/>
      <c r="C614" s="1891"/>
      <c r="D614" s="1891"/>
      <c r="E614" s="1891"/>
      <c r="F614" s="1891"/>
      <c r="G614" s="1891"/>
      <c r="H614" s="1891"/>
      <c r="I614" s="1891"/>
      <c r="J614" s="1588"/>
      <c r="K614" s="61"/>
      <c r="L614" s="61"/>
      <c r="M614" s="61"/>
      <c r="N614" s="70"/>
      <c r="U614" s="75"/>
      <c r="V614" s="75"/>
    </row>
    <row r="615" spans="1:22" s="765" customFormat="1" ht="15" hidden="1" customHeight="1" x14ac:dyDescent="0.25">
      <c r="A615" s="1635"/>
      <c r="B615" s="1635"/>
      <c r="C615" s="1635"/>
      <c r="D615" s="1635"/>
      <c r="E615" s="1635"/>
      <c r="F615" s="1635"/>
      <c r="G615" s="1635"/>
      <c r="H615" s="1635"/>
      <c r="I615" s="1635"/>
      <c r="J615" s="98"/>
      <c r="K615" s="392"/>
      <c r="L615" s="347"/>
      <c r="M615" s="1603"/>
      <c r="N615" s="1603"/>
      <c r="U615" s="1603"/>
      <c r="V615" s="1603"/>
    </row>
    <row r="616" spans="1:22" hidden="1" x14ac:dyDescent="0.25">
      <c r="A616" s="1644" t="s">
        <v>311</v>
      </c>
      <c r="B616" s="781"/>
      <c r="C616" s="781"/>
      <c r="D616" s="781"/>
      <c r="E616" s="781"/>
      <c r="F616" s="781"/>
      <c r="G616" s="781"/>
      <c r="H616" s="781"/>
      <c r="I616" s="781"/>
      <c r="J616" s="782"/>
      <c r="K616" s="79"/>
      <c r="L616" s="79"/>
      <c r="M616" s="79"/>
      <c r="N616" s="79"/>
      <c r="O616" s="70"/>
      <c r="P616" s="70"/>
      <c r="Q616" s="70"/>
      <c r="R616" s="70"/>
      <c r="S616" s="70"/>
      <c r="U616" s="75"/>
      <c r="V616" s="75"/>
    </row>
    <row r="617" spans="1:22" s="773" customFormat="1" ht="14.25" x14ac:dyDescent="0.25">
      <c r="A617" s="71" t="s">
        <v>63</v>
      </c>
      <c r="B617" s="71"/>
      <c r="C617" s="71"/>
      <c r="D617" s="71"/>
      <c r="E617" s="773" t="s">
        <v>80</v>
      </c>
      <c r="F617" s="71"/>
      <c r="G617" s="71"/>
      <c r="H617" s="63"/>
      <c r="I617" s="63"/>
      <c r="J617" s="92">
        <f>J618+J642+J635+J652+J626</f>
        <v>500000</v>
      </c>
    </row>
    <row r="618" spans="1:22" s="773" customFormat="1" ht="14.25" x14ac:dyDescent="0.25">
      <c r="A618" s="71" t="s">
        <v>27</v>
      </c>
      <c r="B618" s="71"/>
      <c r="C618" s="71"/>
      <c r="D618" s="71"/>
      <c r="E618" s="773" t="s">
        <v>34</v>
      </c>
      <c r="F618" s="71"/>
      <c r="G618" s="71"/>
      <c r="H618" s="63"/>
      <c r="I618" s="63"/>
      <c r="J618" s="92">
        <f>J624</f>
        <v>300000</v>
      </c>
    </row>
    <row r="619" spans="1:22" x14ac:dyDescent="0.25">
      <c r="A619" s="1644" t="s">
        <v>1719</v>
      </c>
      <c r="U619" s="75"/>
      <c r="V619" s="75"/>
    </row>
    <row r="620" spans="1:22" s="765" customFormat="1" x14ac:dyDescent="0.25">
      <c r="A620" s="2092" t="s">
        <v>8</v>
      </c>
      <c r="B620" s="1914" t="s">
        <v>35</v>
      </c>
      <c r="C620" s="1916"/>
      <c r="D620" s="1915"/>
      <c r="E620" s="1915"/>
      <c r="F620" s="1917"/>
      <c r="G620" s="2092" t="s">
        <v>61</v>
      </c>
      <c r="H620" s="1898" t="s">
        <v>1827</v>
      </c>
      <c r="I620" s="1898"/>
      <c r="J620" s="1898"/>
      <c r="K620" s="1603"/>
      <c r="L620" s="1603"/>
      <c r="M620" s="1603"/>
      <c r="N620" s="1603"/>
      <c r="U620" s="1603"/>
      <c r="V620" s="1603"/>
    </row>
    <row r="621" spans="1:22" s="765" customFormat="1" ht="27.75" customHeight="1" x14ac:dyDescent="0.25">
      <c r="A621" s="2053"/>
      <c r="B621" s="1918"/>
      <c r="C621" s="1919"/>
      <c r="D621" s="1919"/>
      <c r="E621" s="1919"/>
      <c r="F621" s="1920"/>
      <c r="G621" s="2053"/>
      <c r="H621" s="1581" t="s">
        <v>248</v>
      </c>
      <c r="I621" s="1581" t="s">
        <v>264</v>
      </c>
      <c r="J621" s="1581" t="s">
        <v>256</v>
      </c>
      <c r="K621" s="1603"/>
      <c r="L621" s="1603"/>
      <c r="M621" s="1603"/>
      <c r="N621" s="1603"/>
      <c r="U621" s="1603"/>
      <c r="V621" s="1603"/>
    </row>
    <row r="622" spans="1:22" s="765" customFormat="1" x14ac:dyDescent="0.25">
      <c r="A622" s="1625">
        <v>1</v>
      </c>
      <c r="B622" s="1892" t="s">
        <v>2035</v>
      </c>
      <c r="C622" s="2010"/>
      <c r="D622" s="1893"/>
      <c r="E622" s="1893"/>
      <c r="F622" s="1894"/>
      <c r="G622" s="1581" t="s">
        <v>304</v>
      </c>
      <c r="H622" s="1581">
        <v>2</v>
      </c>
      <c r="I622" s="393">
        <v>50000</v>
      </c>
      <c r="J622" s="393">
        <f>H622*I622</f>
        <v>100000</v>
      </c>
      <c r="K622" s="1603"/>
      <c r="L622" s="1603"/>
      <c r="M622" s="1603"/>
      <c r="N622" s="1603"/>
      <c r="U622" s="1603"/>
      <c r="V622" s="1603"/>
    </row>
    <row r="623" spans="1:22" s="765" customFormat="1" x14ac:dyDescent="0.25">
      <c r="A623" s="1590">
        <v>2</v>
      </c>
      <c r="B623" s="1892" t="s">
        <v>2039</v>
      </c>
      <c r="C623" s="2010"/>
      <c r="D623" s="1893"/>
      <c r="E623" s="1893"/>
      <c r="F623" s="1894"/>
      <c r="G623" s="1547" t="s">
        <v>304</v>
      </c>
      <c r="H623" s="1598">
        <v>2</v>
      </c>
      <c r="I623" s="1142">
        <v>100000</v>
      </c>
      <c r="J623" s="393">
        <f>H623*I623</f>
        <v>200000</v>
      </c>
      <c r="K623" s="1603"/>
      <c r="L623" s="1603"/>
      <c r="M623" s="1603"/>
      <c r="N623" s="1603"/>
      <c r="U623" s="1603"/>
      <c r="V623" s="1603"/>
    </row>
    <row r="624" spans="1:22" x14ac:dyDescent="0.25">
      <c r="A624" s="1946" t="s">
        <v>39</v>
      </c>
      <c r="B624" s="1947"/>
      <c r="C624" s="2096"/>
      <c r="D624" s="1947"/>
      <c r="E624" s="1947"/>
      <c r="F624" s="1947"/>
      <c r="G624" s="1948"/>
      <c r="H624" s="101" t="s">
        <v>5</v>
      </c>
      <c r="I624" s="101" t="s">
        <v>5</v>
      </c>
      <c r="J624" s="101">
        <f>SUM(J622:J623)</f>
        <v>300000</v>
      </c>
      <c r="U624" s="75"/>
      <c r="V624" s="75"/>
    </row>
    <row r="625" spans="1:22" ht="18.75" customHeight="1" x14ac:dyDescent="0.25">
      <c r="A625" s="63"/>
      <c r="B625" s="63"/>
      <c r="C625" s="63"/>
      <c r="D625" s="63"/>
      <c r="E625" s="63"/>
      <c r="F625" s="63"/>
      <c r="G625" s="63"/>
      <c r="H625" s="92"/>
      <c r="I625" s="92"/>
      <c r="J625" s="92"/>
      <c r="U625" s="75"/>
      <c r="V625" s="75"/>
    </row>
    <row r="626" spans="1:22" s="773" customFormat="1" ht="15" hidden="1" customHeight="1" x14ac:dyDescent="0.25">
      <c r="A626" s="71" t="s">
        <v>27</v>
      </c>
      <c r="B626" s="71"/>
      <c r="C626" s="71"/>
      <c r="D626" s="71"/>
      <c r="E626" s="773" t="s">
        <v>827</v>
      </c>
      <c r="F626" s="71"/>
      <c r="G626" s="71"/>
      <c r="H626" s="63"/>
      <c r="I626" s="63"/>
      <c r="J626" s="92">
        <f>J633</f>
        <v>0</v>
      </c>
    </row>
    <row r="627" spans="1:22" s="773" customFormat="1" ht="14.45" hidden="1" customHeight="1" x14ac:dyDescent="0.25">
      <c r="A627" s="71"/>
      <c r="B627" s="71"/>
      <c r="C627" s="71"/>
      <c r="D627" s="71"/>
      <c r="F627" s="71"/>
      <c r="G627" s="71"/>
      <c r="H627" s="63"/>
      <c r="I627" s="63"/>
      <c r="J627" s="92"/>
    </row>
    <row r="628" spans="1:22" ht="14.25" hidden="1" customHeight="1" x14ac:dyDescent="0.25">
      <c r="A628" s="1644" t="s">
        <v>826</v>
      </c>
      <c r="U628" s="75"/>
      <c r="V628" s="75"/>
    </row>
    <row r="629" spans="1:22" s="765" customFormat="1" ht="15" hidden="1" customHeight="1" x14ac:dyDescent="0.25">
      <c r="A629" s="2092" t="s">
        <v>8</v>
      </c>
      <c r="B629" s="1914" t="s">
        <v>35</v>
      </c>
      <c r="C629" s="1916"/>
      <c r="D629" s="1915"/>
      <c r="E629" s="1915"/>
      <c r="F629" s="1917"/>
      <c r="G629" s="2092" t="s">
        <v>61</v>
      </c>
      <c r="H629" s="1898" t="s">
        <v>735</v>
      </c>
      <c r="I629" s="1898"/>
      <c r="J629" s="1898"/>
      <c r="K629" s="1603"/>
      <c r="L629" s="1603"/>
      <c r="M629" s="1603"/>
      <c r="N629" s="1603"/>
      <c r="U629" s="1603"/>
      <c r="V629" s="1603"/>
    </row>
    <row r="630" spans="1:22" s="765" customFormat="1" ht="27" hidden="1" customHeight="1" x14ac:dyDescent="0.25">
      <c r="A630" s="2053"/>
      <c r="B630" s="1918"/>
      <c r="C630" s="1919"/>
      <c r="D630" s="1919"/>
      <c r="E630" s="1919"/>
      <c r="F630" s="1920"/>
      <c r="G630" s="2053"/>
      <c r="H630" s="1581" t="s">
        <v>248</v>
      </c>
      <c r="I630" s="1581" t="s">
        <v>264</v>
      </c>
      <c r="J630" s="1581" t="s">
        <v>256</v>
      </c>
      <c r="K630" s="1603"/>
      <c r="L630" s="1603"/>
      <c r="M630" s="1603"/>
      <c r="N630" s="1603"/>
      <c r="U630" s="1603"/>
      <c r="V630" s="1603"/>
    </row>
    <row r="631" spans="1:22" s="765" customFormat="1" ht="13.5" hidden="1" customHeight="1" x14ac:dyDescent="0.25">
      <c r="A631" s="1625">
        <v>1</v>
      </c>
      <c r="B631" s="1892"/>
      <c r="C631" s="2010"/>
      <c r="D631" s="1893"/>
      <c r="E631" s="1893"/>
      <c r="F631" s="1894"/>
      <c r="G631" s="1625"/>
      <c r="H631" s="1581"/>
      <c r="I631" s="393"/>
      <c r="J631" s="393">
        <f>H631*I631</f>
        <v>0</v>
      </c>
      <c r="K631" s="1603"/>
      <c r="L631" s="1603"/>
      <c r="M631" s="1603"/>
      <c r="N631" s="1603"/>
      <c r="U631" s="1603"/>
      <c r="V631" s="1603"/>
    </row>
    <row r="632" spans="1:22" ht="13.5" hidden="1" customHeight="1" x14ac:dyDescent="0.25">
      <c r="A632" s="933">
        <v>2</v>
      </c>
      <c r="B632" s="2462"/>
      <c r="C632" s="2463"/>
      <c r="D632" s="2464"/>
      <c r="E632" s="2464"/>
      <c r="F632" s="2465"/>
      <c r="G632" s="783"/>
      <c r="H632" s="93"/>
      <c r="I632" s="393"/>
      <c r="J632" s="393">
        <f>H632*I632</f>
        <v>0</v>
      </c>
      <c r="U632" s="75"/>
      <c r="V632" s="75"/>
    </row>
    <row r="633" spans="1:22" hidden="1" x14ac:dyDescent="0.25">
      <c r="A633" s="1946" t="s">
        <v>39</v>
      </c>
      <c r="B633" s="1947"/>
      <c r="C633" s="2096"/>
      <c r="D633" s="1947"/>
      <c r="E633" s="1947"/>
      <c r="F633" s="1947"/>
      <c r="G633" s="1948"/>
      <c r="H633" s="101" t="s">
        <v>5</v>
      </c>
      <c r="I633" s="101" t="s">
        <v>5</v>
      </c>
      <c r="J633" s="101">
        <f>SUM(J631:J632)</f>
        <v>0</v>
      </c>
      <c r="U633" s="75"/>
      <c r="V633" s="75"/>
    </row>
    <row r="634" spans="1:22" hidden="1" x14ac:dyDescent="0.25">
      <c r="A634" s="63"/>
      <c r="B634" s="63"/>
      <c r="C634" s="63"/>
      <c r="D634" s="63"/>
      <c r="E634" s="63"/>
      <c r="F634" s="63"/>
      <c r="G634" s="63"/>
      <c r="H634" s="92"/>
      <c r="I634" s="92"/>
      <c r="J634" s="92"/>
      <c r="U634" s="75"/>
      <c r="V634" s="75"/>
    </row>
    <row r="635" spans="1:22" s="773" customFormat="1" ht="15" customHeight="1" x14ac:dyDescent="0.25">
      <c r="A635" s="71" t="s">
        <v>27</v>
      </c>
      <c r="B635" s="71"/>
      <c r="C635" s="71"/>
      <c r="D635" s="71"/>
      <c r="E635" s="773" t="s">
        <v>828</v>
      </c>
      <c r="F635" s="71"/>
      <c r="G635" s="71"/>
      <c r="H635" s="63"/>
      <c r="I635" s="63"/>
      <c r="J635" s="92">
        <f>J640</f>
        <v>200000</v>
      </c>
    </row>
    <row r="636" spans="1:22" ht="14.25" customHeight="1" x14ac:dyDescent="0.25">
      <c r="A636" s="1644" t="s">
        <v>829</v>
      </c>
      <c r="U636" s="75"/>
      <c r="V636" s="75"/>
    </row>
    <row r="637" spans="1:22" s="765" customFormat="1" ht="15" customHeight="1" x14ac:dyDescent="0.25">
      <c r="A637" s="2024" t="s">
        <v>8</v>
      </c>
      <c r="B637" s="1956" t="s">
        <v>35</v>
      </c>
      <c r="C637" s="1916"/>
      <c r="D637" s="1916"/>
      <c r="E637" s="1916"/>
      <c r="F637" s="1957"/>
      <c r="G637" s="2024" t="s">
        <v>61</v>
      </c>
      <c r="H637" s="1926" t="s">
        <v>1476</v>
      </c>
      <c r="I637" s="1926"/>
      <c r="J637" s="1926"/>
      <c r="K637" s="1603"/>
      <c r="L637" s="1603"/>
      <c r="M637" s="1603"/>
      <c r="N637" s="1603"/>
      <c r="U637" s="1603"/>
      <c r="V637" s="1603"/>
    </row>
    <row r="638" spans="1:22" s="765" customFormat="1" ht="27" customHeight="1" x14ac:dyDescent="0.25">
      <c r="A638" s="2053"/>
      <c r="B638" s="1918"/>
      <c r="C638" s="1919"/>
      <c r="D638" s="1919"/>
      <c r="E638" s="1919"/>
      <c r="F638" s="1920"/>
      <c r="G638" s="2053"/>
      <c r="H638" s="1598" t="s">
        <v>248</v>
      </c>
      <c r="I638" s="1598" t="s">
        <v>264</v>
      </c>
      <c r="J638" s="1598" t="s">
        <v>256</v>
      </c>
      <c r="K638" s="1603"/>
      <c r="L638" s="1603"/>
      <c r="M638" s="1603"/>
      <c r="N638" s="1603"/>
      <c r="U638" s="1603"/>
      <c r="V638" s="1603"/>
    </row>
    <row r="639" spans="1:22" s="765" customFormat="1" x14ac:dyDescent="0.25">
      <c r="A639" s="1625">
        <v>1</v>
      </c>
      <c r="B639" s="2408" t="s">
        <v>2153</v>
      </c>
      <c r="C639" s="2524"/>
      <c r="D639" s="2524"/>
      <c r="E639" s="2524"/>
      <c r="F639" s="2525"/>
      <c r="G639" s="1598" t="s">
        <v>304</v>
      </c>
      <c r="H639" s="1598">
        <v>8</v>
      </c>
      <c r="I639" s="1142">
        <v>25000</v>
      </c>
      <c r="J639" s="1142">
        <f>H639*I639</f>
        <v>200000</v>
      </c>
      <c r="K639" s="1603"/>
      <c r="L639" s="1603"/>
      <c r="M639" s="1603"/>
      <c r="N639" s="1603"/>
      <c r="U639" s="1603"/>
      <c r="V639" s="1603"/>
    </row>
    <row r="640" spans="1:22" x14ac:dyDescent="0.25">
      <c r="A640" s="2039" t="s">
        <v>39</v>
      </c>
      <c r="B640" s="2040"/>
      <c r="C640" s="2040"/>
      <c r="D640" s="2040"/>
      <c r="E640" s="2040"/>
      <c r="F640" s="2040"/>
      <c r="G640" s="2041"/>
      <c r="H640" s="1511" t="s">
        <v>5</v>
      </c>
      <c r="I640" s="1511" t="s">
        <v>5</v>
      </c>
      <c r="J640" s="1511">
        <f>SUM(J639:J639)</f>
        <v>200000</v>
      </c>
      <c r="U640" s="75"/>
      <c r="V640" s="75"/>
    </row>
    <row r="641" spans="1:22" x14ac:dyDescent="0.25">
      <c r="A641" s="63"/>
      <c r="B641" s="63"/>
      <c r="C641" s="63"/>
      <c r="D641" s="63"/>
      <c r="E641" s="63"/>
      <c r="F641" s="63"/>
      <c r="G641" s="63"/>
      <c r="H641" s="92"/>
      <c r="I641" s="92"/>
      <c r="J641" s="92"/>
      <c r="U641" s="75"/>
      <c r="V641" s="75"/>
    </row>
    <row r="642" spans="1:22" s="773" customFormat="1" ht="15" hidden="1" customHeight="1" x14ac:dyDescent="0.25">
      <c r="A642" s="71" t="s">
        <v>27</v>
      </c>
      <c r="B642" s="71"/>
      <c r="C642" s="71"/>
      <c r="D642" s="71"/>
      <c r="E642" s="773" t="s">
        <v>141</v>
      </c>
      <c r="F642" s="71"/>
      <c r="G642" s="71"/>
      <c r="H642" s="63"/>
      <c r="I642" s="63"/>
      <c r="J642" s="92">
        <f>J649</f>
        <v>0</v>
      </c>
    </row>
    <row r="643" spans="1:22" s="773" customFormat="1" ht="14.45" hidden="1" customHeight="1" x14ac:dyDescent="0.25">
      <c r="A643" s="71"/>
      <c r="B643" s="71"/>
      <c r="C643" s="71"/>
      <c r="D643" s="71"/>
      <c r="F643" s="71"/>
      <c r="G643" s="71"/>
      <c r="H643" s="63"/>
      <c r="I643" s="63"/>
      <c r="J643" s="92"/>
    </row>
    <row r="644" spans="1:22" ht="14.25" hidden="1" customHeight="1" x14ac:dyDescent="0.25">
      <c r="A644" s="1644" t="s">
        <v>826</v>
      </c>
      <c r="U644" s="75"/>
      <c r="V644" s="75"/>
    </row>
    <row r="645" spans="1:22" s="765" customFormat="1" ht="15" hidden="1" customHeight="1" x14ac:dyDescent="0.25">
      <c r="A645" s="2092" t="s">
        <v>8</v>
      </c>
      <c r="B645" s="1914" t="s">
        <v>35</v>
      </c>
      <c r="C645" s="1916"/>
      <c r="D645" s="1915"/>
      <c r="E645" s="1915"/>
      <c r="F645" s="1917"/>
      <c r="G645" s="2092" t="s">
        <v>61</v>
      </c>
      <c r="H645" s="1898" t="s">
        <v>735</v>
      </c>
      <c r="I645" s="1898"/>
      <c r="J645" s="1898"/>
      <c r="K645" s="1603"/>
      <c r="L645" s="1603"/>
      <c r="M645" s="1603"/>
      <c r="N645" s="1603"/>
      <c r="U645" s="1603"/>
      <c r="V645" s="1603"/>
    </row>
    <row r="646" spans="1:22" s="765" customFormat="1" ht="27" hidden="1" customHeight="1" x14ac:dyDescent="0.25">
      <c r="A646" s="2053"/>
      <c r="B646" s="1918"/>
      <c r="C646" s="1919"/>
      <c r="D646" s="1919"/>
      <c r="E646" s="1919"/>
      <c r="F646" s="1920"/>
      <c r="G646" s="2053"/>
      <c r="H646" s="1581" t="s">
        <v>248</v>
      </c>
      <c r="I646" s="1581" t="s">
        <v>264</v>
      </c>
      <c r="J646" s="1581" t="s">
        <v>256</v>
      </c>
      <c r="K646" s="1603"/>
      <c r="L646" s="1603"/>
      <c r="M646" s="1603"/>
      <c r="N646" s="1603"/>
      <c r="U646" s="1603"/>
      <c r="V646" s="1603"/>
    </row>
    <row r="647" spans="1:22" s="765" customFormat="1" ht="13.5" hidden="1" customHeight="1" x14ac:dyDescent="0.25">
      <c r="A647" s="1625">
        <v>1</v>
      </c>
      <c r="B647" s="1892"/>
      <c r="C647" s="2010"/>
      <c r="D647" s="1893"/>
      <c r="E647" s="1893"/>
      <c r="F647" s="1894"/>
      <c r="G647" s="1625"/>
      <c r="H647" s="1581"/>
      <c r="I647" s="393"/>
      <c r="J647" s="393">
        <f>H647*I647</f>
        <v>0</v>
      </c>
      <c r="K647" s="1603"/>
      <c r="L647" s="1603"/>
      <c r="M647" s="1603"/>
      <c r="N647" s="1603"/>
      <c r="U647" s="1603"/>
      <c r="V647" s="1603"/>
    </row>
    <row r="648" spans="1:22" ht="13.5" hidden="1" customHeight="1" x14ac:dyDescent="0.25">
      <c r="A648" s="933">
        <v>2</v>
      </c>
      <c r="B648" s="2462"/>
      <c r="C648" s="2463"/>
      <c r="D648" s="2464"/>
      <c r="E648" s="2464"/>
      <c r="F648" s="2465"/>
      <c r="G648" s="783"/>
      <c r="H648" s="93"/>
      <c r="I648" s="393"/>
      <c r="J648" s="393">
        <f>H648*I648</f>
        <v>0</v>
      </c>
      <c r="U648" s="75"/>
      <c r="V648" s="75"/>
    </row>
    <row r="649" spans="1:22" hidden="1" x14ac:dyDescent="0.25">
      <c r="A649" s="1946" t="s">
        <v>39</v>
      </c>
      <c r="B649" s="1947"/>
      <c r="C649" s="2096"/>
      <c r="D649" s="1947"/>
      <c r="E649" s="1947"/>
      <c r="F649" s="1947"/>
      <c r="G649" s="1948"/>
      <c r="H649" s="101" t="s">
        <v>5</v>
      </c>
      <c r="I649" s="101" t="s">
        <v>5</v>
      </c>
      <c r="J649" s="101">
        <f>SUM(J647:J648)</f>
        <v>0</v>
      </c>
      <c r="U649" s="75"/>
      <c r="V649" s="75"/>
    </row>
    <row r="650" spans="1:22" hidden="1" x14ac:dyDescent="0.25">
      <c r="U650" s="75"/>
      <c r="V650" s="75"/>
    </row>
    <row r="651" spans="1:22" hidden="1" x14ac:dyDescent="0.25">
      <c r="A651" s="63"/>
      <c r="B651" s="63"/>
      <c r="C651" s="63"/>
      <c r="D651" s="63"/>
      <c r="E651" s="63"/>
      <c r="F651" s="63"/>
      <c r="G651" s="63"/>
      <c r="H651" s="92"/>
      <c r="I651" s="92"/>
      <c r="J651" s="92"/>
      <c r="U651" s="75"/>
      <c r="V651" s="75"/>
    </row>
    <row r="652" spans="1:22" s="773" customFormat="1" ht="15" hidden="1" customHeight="1" x14ac:dyDescent="0.25">
      <c r="A652" s="71" t="s">
        <v>27</v>
      </c>
      <c r="B652" s="71"/>
      <c r="C652" s="71"/>
      <c r="D652" s="71"/>
      <c r="E652" s="773" t="s">
        <v>142</v>
      </c>
      <c r="F652" s="71"/>
      <c r="G652" s="71"/>
      <c r="H652" s="63"/>
      <c r="I652" s="63"/>
      <c r="J652" s="92">
        <f>J658</f>
        <v>0</v>
      </c>
    </row>
    <row r="653" spans="1:22" ht="14.25" hidden="1" customHeight="1" x14ac:dyDescent="0.25">
      <c r="A653" s="1644" t="s">
        <v>829</v>
      </c>
      <c r="U653" s="75"/>
      <c r="V653" s="75"/>
    </row>
    <row r="654" spans="1:22" s="765" customFormat="1" ht="15" hidden="1" customHeight="1" x14ac:dyDescent="0.25">
      <c r="A654" s="2092" t="s">
        <v>8</v>
      </c>
      <c r="B654" s="1914" t="s">
        <v>35</v>
      </c>
      <c r="C654" s="1916"/>
      <c r="D654" s="1915"/>
      <c r="E654" s="1915"/>
      <c r="F654" s="1917"/>
      <c r="G654" s="2092" t="s">
        <v>61</v>
      </c>
      <c r="H654" s="1898" t="s">
        <v>735</v>
      </c>
      <c r="I654" s="1898"/>
      <c r="J654" s="1898"/>
      <c r="K654" s="1603"/>
      <c r="L654" s="1603"/>
      <c r="M654" s="1603"/>
      <c r="N654" s="1603"/>
      <c r="U654" s="1603"/>
      <c r="V654" s="1603"/>
    </row>
    <row r="655" spans="1:22" s="765" customFormat="1" ht="27" hidden="1" customHeight="1" x14ac:dyDescent="0.25">
      <c r="A655" s="2053"/>
      <c r="B655" s="1918"/>
      <c r="C655" s="1919"/>
      <c r="D655" s="1919"/>
      <c r="E655" s="1919"/>
      <c r="F655" s="1920"/>
      <c r="G655" s="2053"/>
      <c r="H655" s="1581" t="s">
        <v>248</v>
      </c>
      <c r="I655" s="1581" t="s">
        <v>264</v>
      </c>
      <c r="J655" s="1581" t="s">
        <v>256</v>
      </c>
      <c r="K655" s="1603"/>
      <c r="L655" s="1603"/>
      <c r="M655" s="1603"/>
      <c r="N655" s="1603"/>
      <c r="U655" s="1603"/>
      <c r="V655" s="1603"/>
    </row>
    <row r="656" spans="1:22" s="765" customFormat="1" ht="13.5" hidden="1" customHeight="1" x14ac:dyDescent="0.25">
      <c r="A656" s="1625">
        <v>1</v>
      </c>
      <c r="B656" s="1892"/>
      <c r="C656" s="2010"/>
      <c r="D656" s="1893"/>
      <c r="E656" s="1893"/>
      <c r="F656" s="1894"/>
      <c r="G656" s="1625"/>
      <c r="H656" s="1581"/>
      <c r="I656" s="393"/>
      <c r="J656" s="393">
        <f>H656*I656</f>
        <v>0</v>
      </c>
      <c r="K656" s="1603"/>
      <c r="L656" s="1603"/>
      <c r="M656" s="1603"/>
      <c r="N656" s="1603"/>
      <c r="U656" s="1603"/>
      <c r="V656" s="1603"/>
    </row>
    <row r="657" spans="1:22" ht="13.5" hidden="1" customHeight="1" x14ac:dyDescent="0.25">
      <c r="A657" s="933">
        <v>2</v>
      </c>
      <c r="B657" s="2462"/>
      <c r="C657" s="2463"/>
      <c r="D657" s="2464"/>
      <c r="E657" s="2464"/>
      <c r="F657" s="2465"/>
      <c r="G657" s="783"/>
      <c r="H657" s="93"/>
      <c r="I657" s="393"/>
      <c r="J657" s="393">
        <f>H657*I657</f>
        <v>0</v>
      </c>
      <c r="U657" s="75"/>
      <c r="V657" s="75"/>
    </row>
    <row r="658" spans="1:22" hidden="1" x14ac:dyDescent="0.25">
      <c r="A658" s="1946" t="s">
        <v>39</v>
      </c>
      <c r="B658" s="1947"/>
      <c r="C658" s="2096"/>
      <c r="D658" s="1947"/>
      <c r="E658" s="1947"/>
      <c r="F658" s="1947"/>
      <c r="G658" s="1948"/>
      <c r="H658" s="101" t="s">
        <v>5</v>
      </c>
      <c r="I658" s="101" t="s">
        <v>5</v>
      </c>
      <c r="J658" s="101">
        <f>SUM(J656:J657)</f>
        <v>0</v>
      </c>
      <c r="U658" s="75"/>
      <c r="V658" s="75"/>
    </row>
    <row r="659" spans="1:22" hidden="1" x14ac:dyDescent="0.25">
      <c r="A659" s="1645" t="s">
        <v>63</v>
      </c>
      <c r="B659" s="72"/>
      <c r="C659" s="72"/>
      <c r="D659" s="72"/>
      <c r="E659" s="94" t="s">
        <v>99</v>
      </c>
      <c r="I659" s="69"/>
      <c r="J659" s="85">
        <f>J660+J661</f>
        <v>0</v>
      </c>
      <c r="K659" s="61"/>
      <c r="L659" s="61"/>
      <c r="M659" s="61"/>
      <c r="N659" s="61"/>
      <c r="U659" s="75"/>
      <c r="V659" s="75"/>
    </row>
    <row r="660" spans="1:22" s="773" customFormat="1" ht="12.75" hidden="1" customHeight="1" x14ac:dyDescent="0.25">
      <c r="A660" s="71" t="s">
        <v>27</v>
      </c>
      <c r="B660" s="71"/>
      <c r="C660" s="71"/>
      <c r="D660" s="71"/>
      <c r="E660" s="773" t="s">
        <v>34</v>
      </c>
      <c r="F660" s="71"/>
      <c r="G660" s="71"/>
      <c r="H660" s="63"/>
      <c r="I660" s="63"/>
      <c r="J660" s="92">
        <f>J670</f>
        <v>0</v>
      </c>
    </row>
    <row r="661" spans="1:22" s="773" customFormat="1" ht="12.75" hidden="1" customHeight="1" x14ac:dyDescent="0.25">
      <c r="A661" s="71" t="s">
        <v>27</v>
      </c>
      <c r="B661" s="71"/>
      <c r="C661" s="71"/>
      <c r="D661" s="71"/>
      <c r="E661" s="94" t="s">
        <v>142</v>
      </c>
      <c r="F661" s="71"/>
      <c r="G661" s="72"/>
      <c r="H661" s="74"/>
      <c r="I661" s="74"/>
      <c r="J661" s="92">
        <f>J671</f>
        <v>0</v>
      </c>
    </row>
    <row r="662" spans="1:22" hidden="1" x14ac:dyDescent="0.25">
      <c r="A662" s="1644" t="s">
        <v>327</v>
      </c>
      <c r="I662" s="69"/>
      <c r="J662" s="69"/>
      <c r="K662" s="61"/>
      <c r="L662" s="61"/>
      <c r="M662" s="61"/>
      <c r="N662" s="61"/>
      <c r="U662" s="75"/>
      <c r="V662" s="75"/>
    </row>
    <row r="663" spans="1:22" hidden="1" x14ac:dyDescent="0.25">
      <c r="A663" s="1898" t="s">
        <v>8</v>
      </c>
      <c r="B663" s="1898" t="s">
        <v>35</v>
      </c>
      <c r="C663" s="1898"/>
      <c r="D663" s="1898"/>
      <c r="E663" s="1898"/>
      <c r="F663" s="1898"/>
      <c r="G663" s="1898" t="s">
        <v>61</v>
      </c>
      <c r="H663" s="1899" t="s">
        <v>1476</v>
      </c>
      <c r="I663" s="1998"/>
      <c r="J663" s="1999"/>
      <c r="K663" s="61"/>
      <c r="L663" s="61"/>
      <c r="M663" s="61"/>
      <c r="N663" s="61"/>
      <c r="U663" s="75"/>
      <c r="V663" s="75"/>
    </row>
    <row r="664" spans="1:22" ht="32.25" hidden="1" customHeight="1" x14ac:dyDescent="0.25">
      <c r="A664" s="1898"/>
      <c r="B664" s="1898"/>
      <c r="C664" s="1898"/>
      <c r="D664" s="1898"/>
      <c r="E664" s="1898"/>
      <c r="F664" s="1898"/>
      <c r="G664" s="1898"/>
      <c r="H664" s="1581" t="s">
        <v>248</v>
      </c>
      <c r="I664" s="1588" t="s">
        <v>264</v>
      </c>
      <c r="J664" s="1588" t="s">
        <v>256</v>
      </c>
      <c r="K664" s="61"/>
      <c r="L664" s="61"/>
      <c r="M664" s="61"/>
      <c r="N664" s="61"/>
      <c r="U664" s="75"/>
      <c r="V664" s="75"/>
    </row>
    <row r="665" spans="1:22" hidden="1" x14ac:dyDescent="0.25">
      <c r="A665" s="1630">
        <v>1</v>
      </c>
      <c r="B665" s="1909" t="s">
        <v>730</v>
      </c>
      <c r="C665" s="1909"/>
      <c r="D665" s="1909"/>
      <c r="E665" s="1909"/>
      <c r="F665" s="1909"/>
      <c r="G665" s="1588" t="s">
        <v>303</v>
      </c>
      <c r="H665" s="1588"/>
      <c r="I665" s="1588"/>
      <c r="J665" s="1588">
        <f>H665*I665</f>
        <v>0</v>
      </c>
      <c r="K665" s="61"/>
      <c r="L665" s="61"/>
      <c r="M665" s="61"/>
      <c r="N665" s="61"/>
      <c r="U665" s="75"/>
      <c r="V665" s="75"/>
    </row>
    <row r="666" spans="1:22" hidden="1" x14ac:dyDescent="0.25">
      <c r="A666" s="1895" t="s">
        <v>39</v>
      </c>
      <c r="B666" s="1895"/>
      <c r="C666" s="1895"/>
      <c r="D666" s="1895"/>
      <c r="E666" s="1895"/>
      <c r="F666" s="1895"/>
      <c r="G666" s="1895"/>
      <c r="H666" s="1589" t="s">
        <v>5</v>
      </c>
      <c r="I666" s="1589" t="s">
        <v>5</v>
      </c>
      <c r="J666" s="1589">
        <f>SUM(J665:J665)</f>
        <v>0</v>
      </c>
      <c r="K666" s="344"/>
      <c r="L666" s="70"/>
      <c r="M666" s="61"/>
      <c r="N666" s="61"/>
      <c r="U666" s="75"/>
      <c r="V666" s="75"/>
    </row>
    <row r="667" spans="1:22" ht="15" hidden="1" customHeight="1" x14ac:dyDescent="0.25">
      <c r="A667" s="1924" t="s">
        <v>514</v>
      </c>
      <c r="B667" s="1925"/>
      <c r="C667" s="1925"/>
      <c r="D667" s="1925"/>
      <c r="E667" s="1925"/>
      <c r="F667" s="1925"/>
      <c r="G667" s="1925"/>
      <c r="H667" s="1925"/>
      <c r="I667" s="1925"/>
      <c r="J667" s="1925"/>
      <c r="K667" s="344"/>
      <c r="L667" s="70"/>
      <c r="M667" s="61"/>
      <c r="N667" s="61"/>
      <c r="U667" s="75"/>
      <c r="V667" s="75"/>
    </row>
    <row r="668" spans="1:22" hidden="1" x14ac:dyDescent="0.25">
      <c r="A668" s="1913" t="s">
        <v>1134</v>
      </c>
      <c r="B668" s="1913"/>
      <c r="C668" s="1913"/>
      <c r="D668" s="1913"/>
      <c r="E668" s="1913"/>
      <c r="F668" s="1913"/>
      <c r="G668" s="1913"/>
      <c r="H668" s="1913"/>
      <c r="I668" s="1913"/>
      <c r="J668" s="1594">
        <v>0</v>
      </c>
      <c r="K668" s="344"/>
      <c r="L668" s="70"/>
      <c r="M668" s="61"/>
      <c r="N668" s="61"/>
      <c r="U668" s="75"/>
      <c r="V668" s="75"/>
    </row>
    <row r="669" spans="1:22" hidden="1" x14ac:dyDescent="0.25">
      <c r="A669" s="1913" t="s">
        <v>153</v>
      </c>
      <c r="B669" s="1913"/>
      <c r="C669" s="1913"/>
      <c r="D669" s="1913"/>
      <c r="E669" s="1913"/>
      <c r="F669" s="1913"/>
      <c r="G669" s="1913"/>
      <c r="H669" s="1913"/>
      <c r="I669" s="1913"/>
      <c r="J669" s="1594"/>
      <c r="K669" s="344"/>
      <c r="L669" s="174"/>
      <c r="M669" s="61"/>
      <c r="N669" s="61"/>
      <c r="U669" s="75"/>
      <c r="V669" s="75"/>
    </row>
    <row r="670" spans="1:22" hidden="1" x14ac:dyDescent="0.25">
      <c r="A670" s="1891" t="s">
        <v>619</v>
      </c>
      <c r="B670" s="1891"/>
      <c r="C670" s="1891"/>
      <c r="D670" s="1891"/>
      <c r="E670" s="1891"/>
      <c r="F670" s="1891"/>
      <c r="G670" s="1891"/>
      <c r="H670" s="1891"/>
      <c r="I670" s="1891"/>
      <c r="J670" s="1588"/>
      <c r="K670" s="344">
        <v>0</v>
      </c>
      <c r="L670" s="174">
        <f>J670-K670</f>
        <v>0</v>
      </c>
      <c r="M670" s="61"/>
      <c r="N670" s="61"/>
      <c r="U670" s="75"/>
      <c r="V670" s="75"/>
    </row>
    <row r="671" spans="1:22" hidden="1" x14ac:dyDescent="0.25">
      <c r="A671" s="1891" t="s">
        <v>1147</v>
      </c>
      <c r="B671" s="1891"/>
      <c r="C671" s="1891"/>
      <c r="D671" s="1891"/>
      <c r="E671" s="1891"/>
      <c r="F671" s="1891"/>
      <c r="G671" s="1891"/>
      <c r="H671" s="1891"/>
      <c r="I671" s="1891"/>
      <c r="J671" s="360"/>
      <c r="K671" s="344"/>
      <c r="L671" s="70"/>
      <c r="M671" s="61"/>
      <c r="N671" s="61"/>
      <c r="U671" s="75"/>
      <c r="V671" s="75"/>
    </row>
    <row r="672" spans="1:22" s="773" customFormat="1" ht="12.75" hidden="1" customHeight="1" x14ac:dyDescent="0.25">
      <c r="A672" s="71"/>
      <c r="B672" s="71"/>
      <c r="C672" s="71"/>
      <c r="D672" s="71"/>
      <c r="F672" s="71"/>
      <c r="G672" s="71"/>
      <c r="H672" s="63"/>
      <c r="I672" s="63"/>
      <c r="J672" s="92"/>
    </row>
    <row r="673" spans="1:43" hidden="1" x14ac:dyDescent="0.25">
      <c r="A673" s="1645" t="s">
        <v>63</v>
      </c>
      <c r="B673" s="1645"/>
      <c r="C673" s="1645"/>
      <c r="D673" s="1645"/>
      <c r="E673" s="934" t="s">
        <v>127</v>
      </c>
      <c r="F673" s="71"/>
      <c r="J673" s="85">
        <f>J674</f>
        <v>0</v>
      </c>
      <c r="K673" s="774"/>
      <c r="L673" s="774"/>
      <c r="M673" s="774"/>
      <c r="N673" s="774"/>
      <c r="O673" s="774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  <c r="AA673" s="75"/>
      <c r="AB673" s="75"/>
      <c r="AC673" s="75"/>
      <c r="AD673" s="75"/>
      <c r="AE673" s="75"/>
      <c r="AF673" s="75"/>
      <c r="AG673" s="75"/>
      <c r="AH673" s="75"/>
      <c r="AI673" s="75"/>
      <c r="AJ673" s="75"/>
      <c r="AK673" s="75"/>
      <c r="AL673" s="75"/>
      <c r="AM673" s="75"/>
      <c r="AN673" s="75"/>
      <c r="AO673" s="75"/>
      <c r="AP673" s="75"/>
      <c r="AQ673" s="75"/>
    </row>
    <row r="674" spans="1:43" hidden="1" x14ac:dyDescent="0.25">
      <c r="A674" s="1645" t="s">
        <v>27</v>
      </c>
      <c r="B674" s="1645"/>
      <c r="C674" s="1645"/>
      <c r="D674" s="1645"/>
      <c r="E674" s="773" t="s">
        <v>34</v>
      </c>
      <c r="F674" s="71"/>
      <c r="J674" s="85">
        <f>J678</f>
        <v>0</v>
      </c>
      <c r="K674" s="1593"/>
      <c r="L674" s="1593"/>
      <c r="M674" s="1593"/>
      <c r="N674" s="1593"/>
      <c r="O674" s="1593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  <c r="AA674" s="75"/>
      <c r="AB674" s="75"/>
      <c r="AC674" s="75"/>
      <c r="AD674" s="75"/>
      <c r="AE674" s="75"/>
      <c r="AF674" s="75"/>
      <c r="AG674" s="75"/>
      <c r="AH674" s="75"/>
      <c r="AI674" s="75"/>
      <c r="AJ674" s="75"/>
      <c r="AK674" s="75"/>
      <c r="AL674" s="75"/>
      <c r="AM674" s="75"/>
      <c r="AN674" s="75"/>
      <c r="AO674" s="75"/>
      <c r="AP674" s="75"/>
      <c r="AQ674" s="75"/>
    </row>
    <row r="675" spans="1:43" s="765" customFormat="1" hidden="1" x14ac:dyDescent="0.25">
      <c r="A675" s="1644" t="s">
        <v>1438</v>
      </c>
      <c r="B675" s="63"/>
      <c r="C675" s="63"/>
      <c r="D675" s="63"/>
      <c r="E675" s="63"/>
      <c r="F675" s="63"/>
      <c r="G675" s="63"/>
      <c r="H675" s="92"/>
      <c r="I675" s="92"/>
      <c r="J675" s="92"/>
      <c r="K675" s="92"/>
      <c r="L675" s="92"/>
      <c r="M675" s="92"/>
      <c r="N675" s="1603"/>
      <c r="O675" s="1603"/>
      <c r="P675" s="1603"/>
      <c r="Q675" s="1603"/>
      <c r="R675" s="1603"/>
      <c r="S675" s="1603"/>
      <c r="T675" s="1603"/>
      <c r="U675" s="1603"/>
      <c r="V675" s="1603"/>
      <c r="W675" s="1603"/>
      <c r="X675" s="1603"/>
      <c r="Y675" s="1603"/>
      <c r="Z675" s="1603"/>
      <c r="AA675" s="1603"/>
      <c r="AB675" s="1603"/>
      <c r="AC675" s="1603"/>
      <c r="AD675" s="1603"/>
      <c r="AE675" s="1603"/>
      <c r="AF675" s="1603"/>
      <c r="AG675" s="1603"/>
      <c r="AH675" s="1603"/>
      <c r="AI675" s="1603"/>
      <c r="AJ675" s="1603"/>
      <c r="AK675" s="1603"/>
      <c r="AL675" s="1603"/>
      <c r="AM675" s="1603"/>
      <c r="AN675" s="1603"/>
      <c r="AO675" s="1603"/>
      <c r="AP675" s="1603"/>
      <c r="AQ675" s="1603"/>
    </row>
    <row r="676" spans="1:43" s="765" customFormat="1" ht="45" hidden="1" x14ac:dyDescent="0.25">
      <c r="A676" s="800" t="s">
        <v>8</v>
      </c>
      <c r="B676" s="1899" t="s">
        <v>35</v>
      </c>
      <c r="C676" s="1998"/>
      <c r="D676" s="1998"/>
      <c r="E676" s="1998"/>
      <c r="F676" s="1999"/>
      <c r="G676" s="1581" t="s">
        <v>61</v>
      </c>
      <c r="H676" s="1581" t="s">
        <v>248</v>
      </c>
      <c r="I676" s="1581" t="s">
        <v>350</v>
      </c>
      <c r="J676" s="1582" t="s">
        <v>256</v>
      </c>
      <c r="K676" s="92"/>
      <c r="L676" s="92"/>
      <c r="M676" s="92"/>
      <c r="N676" s="1603"/>
      <c r="O676" s="1603"/>
      <c r="P676" s="1603"/>
      <c r="Q676" s="1603"/>
      <c r="R676" s="1603"/>
      <c r="S676" s="1603"/>
      <c r="T676" s="1603"/>
      <c r="U676" s="1603"/>
      <c r="V676" s="1603"/>
      <c r="W676" s="1603"/>
      <c r="X676" s="1603"/>
      <c r="Y676" s="1603"/>
      <c r="Z676" s="1603"/>
      <c r="AA676" s="1603"/>
      <c r="AB676" s="1603"/>
      <c r="AC676" s="1603"/>
      <c r="AD676" s="1603"/>
      <c r="AE676" s="1603"/>
      <c r="AF676" s="1603"/>
      <c r="AG676" s="1603"/>
      <c r="AH676" s="1603"/>
      <c r="AI676" s="1603"/>
      <c r="AJ676" s="1603"/>
      <c r="AK676" s="1603"/>
      <c r="AL676" s="1603"/>
      <c r="AM676" s="1603"/>
      <c r="AN676" s="1603"/>
      <c r="AO676" s="1603"/>
      <c r="AP676" s="1603"/>
      <c r="AQ676" s="1603"/>
    </row>
    <row r="677" spans="1:43" s="765" customFormat="1" hidden="1" x14ac:dyDescent="0.25">
      <c r="A677" s="933">
        <v>1</v>
      </c>
      <c r="B677" s="2462" t="s">
        <v>1439</v>
      </c>
      <c r="C677" s="2463"/>
      <c r="D677" s="2463"/>
      <c r="E677" s="2463"/>
      <c r="F677" s="2526"/>
      <c r="G677" s="801" t="s">
        <v>245</v>
      </c>
      <c r="H677" s="802"/>
      <c r="I677" s="801"/>
      <c r="J677" s="938"/>
      <c r="K677" s="92"/>
      <c r="L677" s="92"/>
      <c r="M677" s="92"/>
      <c r="N677" s="1603"/>
      <c r="O677" s="1603"/>
      <c r="P677" s="1603"/>
      <c r="Q677" s="1603"/>
      <c r="R677" s="1603"/>
      <c r="S677" s="1603"/>
      <c r="T677" s="1603"/>
      <c r="U677" s="1603"/>
      <c r="V677" s="1603"/>
      <c r="W677" s="1603"/>
      <c r="X677" s="1603"/>
      <c r="Y677" s="1603"/>
      <c r="Z677" s="1603"/>
      <c r="AA677" s="1603"/>
      <c r="AB677" s="1603"/>
      <c r="AC677" s="1603"/>
      <c r="AD677" s="1603"/>
      <c r="AE677" s="1603"/>
      <c r="AF677" s="1603"/>
      <c r="AG677" s="1603"/>
      <c r="AH677" s="1603"/>
      <c r="AI677" s="1603"/>
      <c r="AJ677" s="1603"/>
      <c r="AK677" s="1603"/>
      <c r="AL677" s="1603"/>
      <c r="AM677" s="1603"/>
      <c r="AN677" s="1603"/>
      <c r="AO677" s="1603"/>
      <c r="AP677" s="1603"/>
      <c r="AQ677" s="1603"/>
    </row>
    <row r="678" spans="1:43" s="765" customFormat="1" hidden="1" x14ac:dyDescent="0.25">
      <c r="A678" s="1946" t="s">
        <v>39</v>
      </c>
      <c r="B678" s="2096"/>
      <c r="C678" s="2096"/>
      <c r="D678" s="2096"/>
      <c r="E678" s="2096"/>
      <c r="F678" s="2096"/>
      <c r="G678" s="2460"/>
      <c r="H678" s="101" t="s">
        <v>5</v>
      </c>
      <c r="I678" s="101" t="s">
        <v>5</v>
      </c>
      <c r="J678" s="937"/>
      <c r="K678" s="92"/>
      <c r="L678" s="92"/>
      <c r="M678" s="92"/>
      <c r="N678" s="1603"/>
      <c r="O678" s="1603"/>
      <c r="P678" s="1603"/>
      <c r="Q678" s="1603"/>
      <c r="R678" s="1603"/>
      <c r="S678" s="1603"/>
      <c r="T678" s="1603"/>
      <c r="U678" s="1603"/>
      <c r="V678" s="1603"/>
      <c r="W678" s="1603"/>
      <c r="X678" s="1603"/>
      <c r="Y678" s="1603"/>
      <c r="Z678" s="1603"/>
      <c r="AA678" s="1603"/>
      <c r="AB678" s="1603"/>
      <c r="AC678" s="1603"/>
      <c r="AD678" s="1603"/>
      <c r="AE678" s="1603"/>
      <c r="AF678" s="1603"/>
      <c r="AG678" s="1603"/>
      <c r="AH678" s="1603"/>
      <c r="AI678" s="1603"/>
      <c r="AJ678" s="1603"/>
      <c r="AK678" s="1603"/>
      <c r="AL678" s="1603"/>
      <c r="AM678" s="1603"/>
      <c r="AN678" s="1603"/>
      <c r="AO678" s="1603"/>
      <c r="AP678" s="1603"/>
      <c r="AQ678" s="1603"/>
    </row>
    <row r="679" spans="1:43" s="773" customFormat="1" ht="12.75" hidden="1" customHeight="1" x14ac:dyDescent="0.25">
      <c r="A679" s="71"/>
      <c r="B679" s="71"/>
      <c r="C679" s="71"/>
      <c r="D679" s="71"/>
      <c r="F679" s="71"/>
      <c r="G679" s="71"/>
      <c r="H679" s="63"/>
      <c r="I679" s="63"/>
      <c r="J679" s="92"/>
    </row>
    <row r="680" spans="1:43" x14ac:dyDescent="0.25">
      <c r="A680" s="1645" t="s">
        <v>63</v>
      </c>
      <c r="B680" s="72"/>
      <c r="C680" s="72"/>
      <c r="D680" s="72"/>
      <c r="E680" s="94" t="s">
        <v>81</v>
      </c>
      <c r="I680" s="69"/>
      <c r="J680" s="85">
        <f>J681</f>
        <v>617446</v>
      </c>
      <c r="K680" s="70"/>
      <c r="L680" s="61"/>
      <c r="M680" s="61"/>
      <c r="N680" s="61"/>
      <c r="U680" s="75"/>
      <c r="V680" s="75"/>
    </row>
    <row r="681" spans="1:43" s="773" customFormat="1" ht="14.25" x14ac:dyDescent="0.25">
      <c r="A681" s="71" t="s">
        <v>27</v>
      </c>
      <c r="B681" s="71"/>
      <c r="C681" s="71"/>
      <c r="D681" s="71"/>
      <c r="E681" s="773" t="s">
        <v>34</v>
      </c>
      <c r="F681" s="71"/>
      <c r="G681" s="71"/>
      <c r="H681" s="63"/>
      <c r="I681" s="63"/>
      <c r="J681" s="92">
        <f>J702+J723+J729</f>
        <v>617446</v>
      </c>
    </row>
    <row r="682" spans="1:43" s="773" customFormat="1" hidden="1" x14ac:dyDescent="0.25">
      <c r="A682" s="71" t="s">
        <v>27</v>
      </c>
      <c r="B682" s="71"/>
      <c r="C682" s="71"/>
      <c r="D682" s="71"/>
      <c r="E682" s="94" t="s">
        <v>142</v>
      </c>
      <c r="F682" s="71"/>
      <c r="G682" s="72"/>
      <c r="H682" s="74"/>
      <c r="I682" s="74"/>
      <c r="J682" s="92">
        <v>0</v>
      </c>
    </row>
    <row r="683" spans="1:43" s="773" customFormat="1" ht="14.25" hidden="1" x14ac:dyDescent="0.25">
      <c r="A683" s="71" t="s">
        <v>27</v>
      </c>
      <c r="B683" s="71"/>
      <c r="C683" s="71"/>
      <c r="D683" s="71"/>
      <c r="E683" s="773" t="s">
        <v>827</v>
      </c>
      <c r="F683" s="71"/>
      <c r="G683" s="71"/>
      <c r="H683" s="63"/>
      <c r="I683" s="63"/>
      <c r="J683" s="92" t="e">
        <f>#REF!</f>
        <v>#REF!</v>
      </c>
    </row>
    <row r="684" spans="1:43" hidden="1" x14ac:dyDescent="0.25">
      <c r="A684" s="1644" t="s">
        <v>1255</v>
      </c>
      <c r="K684" s="61"/>
      <c r="L684" s="61"/>
      <c r="M684" s="61"/>
      <c r="N684" s="61"/>
    </row>
    <row r="685" spans="1:43" hidden="1" x14ac:dyDescent="0.25">
      <c r="A685" s="2092" t="s">
        <v>8</v>
      </c>
      <c r="B685" s="1914" t="s">
        <v>35</v>
      </c>
      <c r="C685" s="1916"/>
      <c r="D685" s="1915"/>
      <c r="E685" s="1915"/>
      <c r="F685" s="1917"/>
      <c r="G685" s="2092" t="s">
        <v>61</v>
      </c>
      <c r="H685" s="1898" t="s">
        <v>735</v>
      </c>
      <c r="I685" s="1898"/>
      <c r="J685" s="1898"/>
      <c r="K685" s="61"/>
      <c r="L685" s="61"/>
      <c r="M685" s="61"/>
      <c r="N685" s="61"/>
    </row>
    <row r="686" spans="1:43" ht="46.5" hidden="1" customHeight="1" x14ac:dyDescent="0.25">
      <c r="A686" s="2053"/>
      <c r="B686" s="1918"/>
      <c r="C686" s="1919"/>
      <c r="D686" s="1919"/>
      <c r="E686" s="1919"/>
      <c r="F686" s="1920"/>
      <c r="G686" s="2053"/>
      <c r="H686" s="1581" t="s">
        <v>248</v>
      </c>
      <c r="I686" s="1581" t="s">
        <v>350</v>
      </c>
      <c r="J686" s="1581" t="s">
        <v>256</v>
      </c>
      <c r="K686" s="61"/>
      <c r="L686" s="61"/>
      <c r="M686" s="61"/>
      <c r="N686" s="61"/>
    </row>
    <row r="687" spans="1:43" hidden="1" x14ac:dyDescent="0.25">
      <c r="A687" s="1581">
        <v>1</v>
      </c>
      <c r="B687" s="1892" t="s">
        <v>1252</v>
      </c>
      <c r="C687" s="2010"/>
      <c r="D687" s="1893"/>
      <c r="E687" s="1893"/>
      <c r="F687" s="1894"/>
      <c r="G687" s="1581" t="s">
        <v>304</v>
      </c>
      <c r="H687" s="1581"/>
      <c r="I687" s="1588"/>
      <c r="J687" s="1588"/>
      <c r="K687" s="343"/>
      <c r="L687" s="61"/>
      <c r="M687" s="61"/>
      <c r="N687" s="61"/>
    </row>
    <row r="688" spans="1:43" hidden="1" x14ac:dyDescent="0.25">
      <c r="A688" s="1581">
        <v>2</v>
      </c>
      <c r="B688" s="1892" t="s">
        <v>1251</v>
      </c>
      <c r="C688" s="2010"/>
      <c r="D688" s="1893"/>
      <c r="E688" s="1893"/>
      <c r="F688" s="1894"/>
      <c r="G688" s="1581" t="s">
        <v>304</v>
      </c>
      <c r="H688" s="1581"/>
      <c r="I688" s="1588"/>
      <c r="J688" s="1588"/>
      <c r="K688" s="343"/>
      <c r="L688" s="61"/>
      <c r="M688" s="61"/>
      <c r="N688" s="61"/>
    </row>
    <row r="689" spans="1:10" s="87" customFormat="1" ht="14.25" hidden="1" x14ac:dyDescent="0.25">
      <c r="A689" s="1895" t="s">
        <v>39</v>
      </c>
      <c r="B689" s="1895"/>
      <c r="C689" s="1895"/>
      <c r="D689" s="1895"/>
      <c r="E689" s="1895"/>
      <c r="F689" s="1895"/>
      <c r="G689" s="1895"/>
      <c r="H689" s="1589" t="s">
        <v>5</v>
      </c>
      <c r="I689" s="1589" t="s">
        <v>5</v>
      </c>
      <c r="J689" s="1589">
        <f>SUM(J687:J688)</f>
        <v>0</v>
      </c>
    </row>
    <row r="690" spans="1:10" s="87" customFormat="1" ht="14.25" hidden="1" x14ac:dyDescent="0.25">
      <c r="A690" s="63"/>
      <c r="B690" s="63"/>
      <c r="C690" s="63"/>
      <c r="D690" s="63"/>
      <c r="E690" s="63"/>
      <c r="F690" s="63"/>
      <c r="G690" s="63"/>
      <c r="H690" s="64"/>
      <c r="I690" s="64"/>
      <c r="J690" s="64"/>
    </row>
    <row r="691" spans="1:10" s="87" customFormat="1" x14ac:dyDescent="0.25">
      <c r="A691" s="1644" t="s">
        <v>1254</v>
      </c>
      <c r="B691" s="72"/>
      <c r="C691" s="75"/>
      <c r="D691" s="75"/>
      <c r="E691" s="71"/>
      <c r="F691" s="1644"/>
      <c r="G691" s="1644"/>
      <c r="H691" s="60"/>
      <c r="I691" s="69"/>
      <c r="J691" s="85"/>
    </row>
    <row r="692" spans="1:10" s="87" customFormat="1" x14ac:dyDescent="0.25">
      <c r="A692" s="1926" t="s">
        <v>8</v>
      </c>
      <c r="B692" s="1926" t="s">
        <v>35</v>
      </c>
      <c r="C692" s="2046"/>
      <c r="D692" s="2046"/>
      <c r="E692" s="2046"/>
      <c r="F692" s="2046"/>
      <c r="G692" s="1898" t="s">
        <v>61</v>
      </c>
      <c r="H692" s="1899" t="s">
        <v>1827</v>
      </c>
      <c r="I692" s="1998"/>
      <c r="J692" s="1999"/>
    </row>
    <row r="693" spans="1:10" s="87" customFormat="1" ht="31.5" customHeight="1" x14ac:dyDescent="0.25">
      <c r="A693" s="2046"/>
      <c r="B693" s="2046"/>
      <c r="C693" s="2046"/>
      <c r="D693" s="2046"/>
      <c r="E693" s="2046"/>
      <c r="F693" s="2046"/>
      <c r="G693" s="1898"/>
      <c r="H693" s="1581" t="s">
        <v>248</v>
      </c>
      <c r="I693" s="1588" t="s">
        <v>264</v>
      </c>
      <c r="J693" s="1588" t="s">
        <v>256</v>
      </c>
    </row>
    <row r="694" spans="1:10" s="87" customFormat="1" ht="15" customHeight="1" x14ac:dyDescent="0.25">
      <c r="A694" s="2143" t="s">
        <v>1253</v>
      </c>
      <c r="B694" s="2007"/>
      <c r="C694" s="2007"/>
      <c r="D694" s="2007"/>
      <c r="E694" s="2007"/>
      <c r="F694" s="2007"/>
      <c r="G694" s="2007"/>
      <c r="H694" s="2007"/>
      <c r="I694" s="2008"/>
      <c r="J694" s="1188">
        <f>SUM(J695:J701)</f>
        <v>170000</v>
      </c>
    </row>
    <row r="695" spans="1:10" s="87" customFormat="1" x14ac:dyDescent="0.25">
      <c r="A695" s="1598">
        <v>1</v>
      </c>
      <c r="B695" s="2527" t="s">
        <v>1623</v>
      </c>
      <c r="C695" s="2047"/>
      <c r="D695" s="2047"/>
      <c r="E695" s="2047"/>
      <c r="F695" s="2048"/>
      <c r="G695" s="1175" t="s">
        <v>304</v>
      </c>
      <c r="H695" s="1175">
        <v>8</v>
      </c>
      <c r="I695" s="1535">
        <v>2570</v>
      </c>
      <c r="J695" s="1617">
        <f>H695*I695</f>
        <v>20560</v>
      </c>
    </row>
    <row r="696" spans="1:10" s="87" customFormat="1" x14ac:dyDescent="0.25">
      <c r="A696" s="1598">
        <v>2</v>
      </c>
      <c r="B696" s="2527" t="s">
        <v>1624</v>
      </c>
      <c r="C696" s="2047"/>
      <c r="D696" s="2047"/>
      <c r="E696" s="2047"/>
      <c r="F696" s="2048"/>
      <c r="G696" s="1175" t="s">
        <v>304</v>
      </c>
      <c r="H696" s="1175">
        <v>8</v>
      </c>
      <c r="I696" s="1535">
        <v>2570</v>
      </c>
      <c r="J696" s="1617">
        <f t="shared" ref="J696:J701" si="5">H696*I696</f>
        <v>20560</v>
      </c>
    </row>
    <row r="697" spans="1:10" s="87" customFormat="1" x14ac:dyDescent="0.25">
      <c r="A697" s="1598">
        <v>3</v>
      </c>
      <c r="B697" s="2527" t="s">
        <v>1625</v>
      </c>
      <c r="C697" s="2047"/>
      <c r="D697" s="2047"/>
      <c r="E697" s="2047"/>
      <c r="F697" s="2048"/>
      <c r="G697" s="1175" t="s">
        <v>304</v>
      </c>
      <c r="H697" s="1175">
        <v>8</v>
      </c>
      <c r="I697" s="1535">
        <v>2570</v>
      </c>
      <c r="J697" s="1617">
        <f t="shared" si="5"/>
        <v>20560</v>
      </c>
    </row>
    <row r="698" spans="1:10" s="87" customFormat="1" x14ac:dyDescent="0.25">
      <c r="A698" s="1598">
        <v>4</v>
      </c>
      <c r="B698" s="2527" t="s">
        <v>1626</v>
      </c>
      <c r="C698" s="2047"/>
      <c r="D698" s="2047"/>
      <c r="E698" s="2047"/>
      <c r="F698" s="2048"/>
      <c r="G698" s="1175" t="s">
        <v>304</v>
      </c>
      <c r="H698" s="1175">
        <v>8</v>
      </c>
      <c r="I698" s="1535">
        <v>4000</v>
      </c>
      <c r="J698" s="1617">
        <f t="shared" si="5"/>
        <v>32000</v>
      </c>
    </row>
    <row r="699" spans="1:10" s="87" customFormat="1" x14ac:dyDescent="0.25">
      <c r="A699" s="1598">
        <v>5</v>
      </c>
      <c r="B699" s="2527" t="s">
        <v>1628</v>
      </c>
      <c r="C699" s="2047"/>
      <c r="D699" s="2047"/>
      <c r="E699" s="2047"/>
      <c r="F699" s="2048"/>
      <c r="G699" s="1175" t="s">
        <v>304</v>
      </c>
      <c r="H699" s="1175">
        <v>1</v>
      </c>
      <c r="I699" s="1535">
        <v>1610</v>
      </c>
      <c r="J699" s="1617">
        <f t="shared" si="5"/>
        <v>1610</v>
      </c>
    </row>
    <row r="700" spans="1:10" s="87" customFormat="1" ht="30.75" customHeight="1" x14ac:dyDescent="0.25">
      <c r="A700" s="1598">
        <v>6</v>
      </c>
      <c r="B700" s="2527" t="s">
        <v>1627</v>
      </c>
      <c r="C700" s="2047"/>
      <c r="D700" s="2047"/>
      <c r="E700" s="2047"/>
      <c r="F700" s="2048"/>
      <c r="G700" s="1175" t="s">
        <v>304</v>
      </c>
      <c r="H700" s="1175">
        <v>3</v>
      </c>
      <c r="I700" s="1535">
        <v>1570</v>
      </c>
      <c r="J700" s="1617">
        <f t="shared" si="5"/>
        <v>4710</v>
      </c>
    </row>
    <row r="701" spans="1:10" s="87" customFormat="1" x14ac:dyDescent="0.25">
      <c r="A701" s="1598">
        <v>7</v>
      </c>
      <c r="B701" s="2527" t="s">
        <v>1629</v>
      </c>
      <c r="C701" s="2047"/>
      <c r="D701" s="2047"/>
      <c r="E701" s="2047"/>
      <c r="F701" s="2048"/>
      <c r="G701" s="1175" t="s">
        <v>304</v>
      </c>
      <c r="H701" s="1175">
        <v>14</v>
      </c>
      <c r="I701" s="1535">
        <v>5000</v>
      </c>
      <c r="J701" s="1617">
        <f t="shared" si="5"/>
        <v>70000</v>
      </c>
    </row>
    <row r="702" spans="1:10" s="87" customFormat="1" ht="14.25" x14ac:dyDescent="0.25">
      <c r="A702" s="1951" t="s">
        <v>39</v>
      </c>
      <c r="B702" s="1951"/>
      <c r="C702" s="1951"/>
      <c r="D702" s="1951"/>
      <c r="E702" s="1951"/>
      <c r="F702" s="1951"/>
      <c r="G702" s="1951"/>
      <c r="H702" s="1951"/>
      <c r="I702" s="1951"/>
      <c r="J702" s="1589">
        <f>SUM(J695:J701)</f>
        <v>170000</v>
      </c>
    </row>
    <row r="703" spans="1:10" s="87" customFormat="1" ht="14.25" hidden="1" x14ac:dyDescent="0.25">
      <c r="A703" s="63"/>
      <c r="B703" s="63"/>
      <c r="C703" s="63"/>
      <c r="D703" s="63"/>
      <c r="E703" s="63"/>
      <c r="F703" s="63"/>
      <c r="G703" s="63"/>
      <c r="H703" s="64"/>
      <c r="I703" s="64"/>
      <c r="J703" s="64"/>
    </row>
    <row r="704" spans="1:10" s="87" customFormat="1" hidden="1" x14ac:dyDescent="0.25">
      <c r="A704" s="1644" t="s">
        <v>1256</v>
      </c>
      <c r="B704" s="72"/>
      <c r="C704" s="72"/>
      <c r="D704" s="72"/>
      <c r="E704" s="72"/>
      <c r="F704" s="72"/>
      <c r="G704" s="72"/>
      <c r="H704" s="74"/>
      <c r="I704" s="74"/>
      <c r="J704" s="74"/>
    </row>
    <row r="705" spans="1:12" s="87" customFormat="1" ht="30" hidden="1" x14ac:dyDescent="0.25">
      <c r="A705" s="800" t="s">
        <v>8</v>
      </c>
      <c r="B705" s="1899" t="s">
        <v>35</v>
      </c>
      <c r="C705" s="1998"/>
      <c r="D705" s="1998"/>
      <c r="E705" s="1998"/>
      <c r="F705" s="1999"/>
      <c r="G705" s="1581" t="s">
        <v>61</v>
      </c>
      <c r="H705" s="1581" t="s">
        <v>248</v>
      </c>
      <c r="I705" s="1581" t="s">
        <v>264</v>
      </c>
      <c r="J705" s="1581" t="s">
        <v>256</v>
      </c>
    </row>
    <row r="706" spans="1:12" s="87" customFormat="1" hidden="1" x14ac:dyDescent="0.25">
      <c r="A706" s="933">
        <v>1</v>
      </c>
      <c r="B706" s="2462" t="s">
        <v>1440</v>
      </c>
      <c r="C706" s="2463"/>
      <c r="D706" s="2463"/>
      <c r="E706" s="2463"/>
      <c r="F706" s="2526"/>
      <c r="G706" s="801" t="s">
        <v>245</v>
      </c>
      <c r="H706" s="802">
        <v>1</v>
      </c>
      <c r="I706" s="801">
        <v>73500</v>
      </c>
      <c r="J706" s="393">
        <f>H706*I706</f>
        <v>73500</v>
      </c>
      <c r="K706" s="805"/>
    </row>
    <row r="707" spans="1:12" s="87" customFormat="1" ht="14.25" hidden="1" x14ac:dyDescent="0.25">
      <c r="A707" s="1946" t="s">
        <v>39</v>
      </c>
      <c r="B707" s="2096"/>
      <c r="C707" s="2096"/>
      <c r="D707" s="2096"/>
      <c r="E707" s="2096"/>
      <c r="F707" s="2096"/>
      <c r="G707" s="2460"/>
      <c r="H707" s="101" t="s">
        <v>5</v>
      </c>
      <c r="I707" s="101" t="s">
        <v>5</v>
      </c>
      <c r="J707" s="101"/>
      <c r="L707" s="354"/>
    </row>
    <row r="708" spans="1:12" s="87" customFormat="1" ht="14.25" x14ac:dyDescent="0.25">
      <c r="A708" s="63"/>
      <c r="B708" s="63"/>
      <c r="C708" s="63"/>
      <c r="D708" s="63"/>
      <c r="E708" s="63"/>
      <c r="F708" s="63"/>
      <c r="G708" s="63"/>
      <c r="H708" s="92"/>
      <c r="I708" s="92"/>
      <c r="J708" s="92"/>
      <c r="L708" s="354"/>
    </row>
    <row r="709" spans="1:12" s="87" customFormat="1" x14ac:dyDescent="0.25">
      <c r="A709" s="1644" t="s">
        <v>1254</v>
      </c>
      <c r="B709" s="72"/>
      <c r="C709" s="75"/>
      <c r="D709" s="75"/>
      <c r="E709" s="71"/>
      <c r="F709" s="1644"/>
      <c r="G709" s="1644"/>
      <c r="H709" s="60"/>
      <c r="I709" s="69"/>
      <c r="J709" s="85"/>
    </row>
    <row r="710" spans="1:12" s="87" customFormat="1" x14ac:dyDescent="0.25">
      <c r="A710" s="1926" t="s">
        <v>8</v>
      </c>
      <c r="B710" s="1926" t="s">
        <v>35</v>
      </c>
      <c r="C710" s="2046"/>
      <c r="D710" s="2046"/>
      <c r="E710" s="2046"/>
      <c r="F710" s="2046"/>
      <c r="G710" s="1898" t="s">
        <v>61</v>
      </c>
      <c r="H710" s="1899" t="s">
        <v>1827</v>
      </c>
      <c r="I710" s="1998"/>
      <c r="J710" s="1999"/>
    </row>
    <row r="711" spans="1:12" s="87" customFormat="1" ht="31.5" customHeight="1" x14ac:dyDescent="0.25">
      <c r="A711" s="2046"/>
      <c r="B711" s="2046"/>
      <c r="C711" s="2046"/>
      <c r="D711" s="2046"/>
      <c r="E711" s="2046"/>
      <c r="F711" s="2046"/>
      <c r="G711" s="1898"/>
      <c r="H711" s="1581" t="s">
        <v>248</v>
      </c>
      <c r="I711" s="1588" t="s">
        <v>264</v>
      </c>
      <c r="J711" s="1588" t="s">
        <v>256</v>
      </c>
    </row>
    <row r="712" spans="1:12" s="87" customFormat="1" ht="15" customHeight="1" x14ac:dyDescent="0.25">
      <c r="A712" s="2143" t="s">
        <v>1253</v>
      </c>
      <c r="B712" s="2007"/>
      <c r="C712" s="2007"/>
      <c r="D712" s="2007"/>
      <c r="E712" s="2007"/>
      <c r="F712" s="2007"/>
      <c r="G712" s="2007"/>
      <c r="H712" s="2007"/>
      <c r="I712" s="2008"/>
      <c r="J712" s="1188">
        <f>SUM(J713:J722)</f>
        <v>271346</v>
      </c>
    </row>
    <row r="713" spans="1:12" s="87" customFormat="1" x14ac:dyDescent="0.25">
      <c r="A713" s="1598">
        <v>1</v>
      </c>
      <c r="B713" s="1986" t="s">
        <v>1770</v>
      </c>
      <c r="C713" s="1986"/>
      <c r="D713" s="1986"/>
      <c r="E713" s="1986"/>
      <c r="F713" s="1986"/>
      <c r="G713" s="1175" t="s">
        <v>304</v>
      </c>
      <c r="H713" s="1175">
        <v>20</v>
      </c>
      <c r="I713" s="1535">
        <v>4708</v>
      </c>
      <c r="J713" s="1617">
        <f>H713*I713</f>
        <v>94160</v>
      </c>
    </row>
    <row r="714" spans="1:12" s="87" customFormat="1" ht="15" customHeight="1" x14ac:dyDescent="0.25">
      <c r="A714" s="1598">
        <v>2</v>
      </c>
      <c r="B714" s="1986" t="s">
        <v>1779</v>
      </c>
      <c r="C714" s="1986"/>
      <c r="D714" s="1986"/>
      <c r="E714" s="1986"/>
      <c r="F714" s="1986"/>
      <c r="G714" s="1175" t="s">
        <v>304</v>
      </c>
      <c r="H714" s="1175">
        <v>5</v>
      </c>
      <c r="I714" s="1535">
        <v>5095</v>
      </c>
      <c r="J714" s="1617">
        <f t="shared" ref="J714:J722" si="6">H714*I714</f>
        <v>25475</v>
      </c>
    </row>
    <row r="715" spans="1:12" s="87" customFormat="1" ht="15" customHeight="1" x14ac:dyDescent="0.25">
      <c r="A715" s="1598">
        <v>3</v>
      </c>
      <c r="B715" s="1986" t="s">
        <v>1771</v>
      </c>
      <c r="C715" s="1986"/>
      <c r="D715" s="1986"/>
      <c r="E715" s="1986"/>
      <c r="F715" s="1986"/>
      <c r="G715" s="1175" t="s">
        <v>304</v>
      </c>
      <c r="H715" s="1175">
        <v>5</v>
      </c>
      <c r="I715" s="1535">
        <v>5112</v>
      </c>
      <c r="J715" s="1617">
        <f t="shared" si="6"/>
        <v>25560</v>
      </c>
    </row>
    <row r="716" spans="1:12" s="87" customFormat="1" ht="15" customHeight="1" x14ac:dyDescent="0.25">
      <c r="A716" s="1598">
        <v>4</v>
      </c>
      <c r="B716" s="1986" t="s">
        <v>1772</v>
      </c>
      <c r="C716" s="1986"/>
      <c r="D716" s="1986"/>
      <c r="E716" s="1986"/>
      <c r="F716" s="1986"/>
      <c r="G716" s="1175" t="s">
        <v>304</v>
      </c>
      <c r="H716" s="1175">
        <v>5</v>
      </c>
      <c r="I716" s="1535">
        <v>4895</v>
      </c>
      <c r="J716" s="1617">
        <f t="shared" si="6"/>
        <v>24475</v>
      </c>
    </row>
    <row r="717" spans="1:12" s="87" customFormat="1" ht="15" customHeight="1" x14ac:dyDescent="0.25">
      <c r="A717" s="1598">
        <v>5</v>
      </c>
      <c r="B717" s="1986" t="s">
        <v>1777</v>
      </c>
      <c r="C717" s="1986"/>
      <c r="D717" s="1986"/>
      <c r="E717" s="1986"/>
      <c r="F717" s="1986"/>
      <c r="G717" s="1175" t="s">
        <v>304</v>
      </c>
      <c r="H717" s="1175">
        <v>1</v>
      </c>
      <c r="I717" s="1535">
        <v>4394</v>
      </c>
      <c r="J717" s="1617">
        <f t="shared" si="6"/>
        <v>4394</v>
      </c>
    </row>
    <row r="718" spans="1:12" s="87" customFormat="1" x14ac:dyDescent="0.25">
      <c r="A718" s="1598">
        <v>6</v>
      </c>
      <c r="B718" s="1986" t="s">
        <v>1778</v>
      </c>
      <c r="C718" s="1986"/>
      <c r="D718" s="1986"/>
      <c r="E718" s="1986"/>
      <c r="F718" s="1986"/>
      <c r="G718" s="1175" t="s">
        <v>304</v>
      </c>
      <c r="H718" s="1175">
        <v>1</v>
      </c>
      <c r="I718" s="1535">
        <v>3602</v>
      </c>
      <c r="J718" s="1617">
        <f t="shared" si="6"/>
        <v>3602</v>
      </c>
    </row>
    <row r="719" spans="1:12" s="87" customFormat="1" ht="15" customHeight="1" x14ac:dyDescent="0.25">
      <c r="A719" s="1598">
        <v>7</v>
      </c>
      <c r="B719" s="1986" t="s">
        <v>1773</v>
      </c>
      <c r="C719" s="1986"/>
      <c r="D719" s="1986"/>
      <c r="E719" s="1986"/>
      <c r="F719" s="1986"/>
      <c r="G719" s="1175" t="s">
        <v>304</v>
      </c>
      <c r="H719" s="1175">
        <v>8</v>
      </c>
      <c r="I719" s="1535">
        <v>2570</v>
      </c>
      <c r="J719" s="1617">
        <f t="shared" si="6"/>
        <v>20560</v>
      </c>
    </row>
    <row r="720" spans="1:12" s="87" customFormat="1" x14ac:dyDescent="0.25">
      <c r="A720" s="1598">
        <v>8</v>
      </c>
      <c r="B720" s="1986" t="s">
        <v>1774</v>
      </c>
      <c r="C720" s="1986"/>
      <c r="D720" s="1986"/>
      <c r="E720" s="1986"/>
      <c r="F720" s="1986"/>
      <c r="G720" s="1175" t="s">
        <v>304</v>
      </c>
      <c r="H720" s="1175">
        <v>8</v>
      </c>
      <c r="I720" s="1535">
        <v>2570</v>
      </c>
      <c r="J720" s="1617">
        <f t="shared" si="6"/>
        <v>20560</v>
      </c>
    </row>
    <row r="721" spans="1:43" s="87" customFormat="1" x14ac:dyDescent="0.25">
      <c r="A721" s="1598">
        <v>9</v>
      </c>
      <c r="B721" s="1986" t="s">
        <v>1775</v>
      </c>
      <c r="C721" s="1986"/>
      <c r="D721" s="1986"/>
      <c r="E721" s="1986"/>
      <c r="F721" s="1986"/>
      <c r="G721" s="1175" t="s">
        <v>304</v>
      </c>
      <c r="H721" s="1175">
        <v>8</v>
      </c>
      <c r="I721" s="1535">
        <v>2570</v>
      </c>
      <c r="J721" s="1617">
        <f t="shared" si="6"/>
        <v>20560</v>
      </c>
    </row>
    <row r="722" spans="1:43" s="87" customFormat="1" x14ac:dyDescent="0.25">
      <c r="A722" s="1598">
        <v>10</v>
      </c>
      <c r="B722" s="1986" t="s">
        <v>1776</v>
      </c>
      <c r="C722" s="1986"/>
      <c r="D722" s="1986"/>
      <c r="E722" s="1986"/>
      <c r="F722" s="1986"/>
      <c r="G722" s="1175" t="s">
        <v>304</v>
      </c>
      <c r="H722" s="1175">
        <v>8</v>
      </c>
      <c r="I722" s="1535">
        <v>4000</v>
      </c>
      <c r="J722" s="1617">
        <f t="shared" si="6"/>
        <v>32000</v>
      </c>
    </row>
    <row r="723" spans="1:43" s="87" customFormat="1" ht="14.25" x14ac:dyDescent="0.25">
      <c r="A723" s="1951" t="s">
        <v>39</v>
      </c>
      <c r="B723" s="1951"/>
      <c r="C723" s="1951"/>
      <c r="D723" s="1951"/>
      <c r="E723" s="1951"/>
      <c r="F723" s="1951"/>
      <c r="G723" s="1951"/>
      <c r="H723" s="1951"/>
      <c r="I723" s="1951"/>
      <c r="J723" s="1589">
        <f>J712</f>
        <v>271346</v>
      </c>
    </row>
    <row r="724" spans="1:43" s="87" customFormat="1" ht="14.25" x14ac:dyDescent="0.25">
      <c r="A724" s="1303"/>
      <c r="B724" s="1303"/>
      <c r="C724" s="1303"/>
      <c r="D724" s="1303"/>
      <c r="E724" s="1303"/>
      <c r="F724" s="1303"/>
      <c r="G724" s="1303"/>
      <c r="H724" s="1303"/>
      <c r="I724" s="1303"/>
      <c r="J724" s="64"/>
    </row>
    <row r="725" spans="1:43" s="84" customFormat="1" ht="18.75" x14ac:dyDescent="0.2">
      <c r="A725" s="1644" t="s">
        <v>1520</v>
      </c>
      <c r="B725" s="71"/>
      <c r="C725" s="71"/>
      <c r="D725" s="71"/>
      <c r="E725" s="94"/>
      <c r="F725" s="71"/>
      <c r="G725" s="72"/>
      <c r="H725" s="74"/>
      <c r="I725" s="74"/>
      <c r="J725" s="92"/>
      <c r="K725" s="1802"/>
      <c r="L725" s="79"/>
      <c r="M725" s="79"/>
      <c r="N725" s="1029"/>
      <c r="O725" s="1030"/>
      <c r="P725" s="1031"/>
      <c r="Q725" s="1031"/>
      <c r="R725" s="1032"/>
      <c r="S725" s="1033"/>
      <c r="T725" s="1033"/>
      <c r="U725" s="1033"/>
      <c r="V725" s="1033"/>
      <c r="W725" s="1033"/>
      <c r="X725" s="1033"/>
      <c r="Y725" s="1033"/>
      <c r="Z725" s="1033"/>
      <c r="AA725" s="1033"/>
      <c r="AB725" s="1033"/>
      <c r="AC725" s="1033"/>
      <c r="AD725" s="1033"/>
      <c r="AE725" s="1033"/>
      <c r="AF725" s="1033"/>
      <c r="AG725" s="1033"/>
      <c r="AH725" s="1033"/>
      <c r="AI725" s="1033"/>
      <c r="AJ725" s="1033"/>
      <c r="AK725" s="1034"/>
      <c r="AL725" s="1034"/>
      <c r="AM725" s="1034"/>
      <c r="AN725" s="1034"/>
      <c r="AO725" s="1034"/>
      <c r="AP725" s="1034"/>
      <c r="AQ725" s="1034"/>
    </row>
    <row r="726" spans="1:43" s="87" customFormat="1" x14ac:dyDescent="0.25">
      <c r="A726" s="1926" t="s">
        <v>8</v>
      </c>
      <c r="B726" s="1926" t="s">
        <v>35</v>
      </c>
      <c r="C726" s="2046"/>
      <c r="D726" s="2046"/>
      <c r="E726" s="2046"/>
      <c r="F726" s="2046"/>
      <c r="G726" s="1898" t="s">
        <v>61</v>
      </c>
      <c r="H726" s="1899" t="s">
        <v>1827</v>
      </c>
      <c r="I726" s="1998"/>
      <c r="J726" s="1999"/>
    </row>
    <row r="727" spans="1:43" s="87" customFormat="1" ht="31.5" customHeight="1" x14ac:dyDescent="0.25">
      <c r="A727" s="2046"/>
      <c r="B727" s="2046"/>
      <c r="C727" s="2046"/>
      <c r="D727" s="2046"/>
      <c r="E727" s="2046"/>
      <c r="F727" s="2046"/>
      <c r="G727" s="1898"/>
      <c r="H727" s="1581" t="s">
        <v>248</v>
      </c>
      <c r="I727" s="1588" t="s">
        <v>264</v>
      </c>
      <c r="J727" s="1588" t="s">
        <v>256</v>
      </c>
    </row>
    <row r="728" spans="1:43" s="84" customFormat="1" ht="15.75" customHeight="1" x14ac:dyDescent="0.25">
      <c r="A728" s="541">
        <v>1</v>
      </c>
      <c r="B728" s="1344" t="s">
        <v>1521</v>
      </c>
      <c r="C728" s="1345"/>
      <c r="D728" s="1345"/>
      <c r="E728" s="1345"/>
      <c r="F728" s="1345"/>
      <c r="G728" s="1175" t="s">
        <v>304</v>
      </c>
      <c r="H728" s="1175">
        <v>50</v>
      </c>
      <c r="I728" s="1535">
        <v>3522</v>
      </c>
      <c r="J728" s="1617">
        <f>H728*I728</f>
        <v>176100</v>
      </c>
      <c r="K728" s="1593"/>
      <c r="L728" s="1101"/>
      <c r="M728" s="79"/>
      <c r="N728" s="1029"/>
      <c r="O728" s="1030"/>
      <c r="P728" s="1031"/>
      <c r="Q728" s="1031"/>
      <c r="R728" s="1032"/>
      <c r="S728" s="1033"/>
      <c r="T728" s="1033"/>
      <c r="U728" s="1033"/>
      <c r="V728" s="1033"/>
      <c r="W728" s="1033"/>
      <c r="X728" s="1033"/>
      <c r="Y728" s="1033"/>
      <c r="Z728" s="1033"/>
      <c r="AA728" s="1033"/>
      <c r="AB728" s="1033"/>
      <c r="AC728" s="1033"/>
      <c r="AD728" s="1033"/>
      <c r="AE728" s="1033"/>
      <c r="AF728" s="1033"/>
      <c r="AG728" s="1033"/>
      <c r="AH728" s="1033"/>
      <c r="AI728" s="1033"/>
      <c r="AJ728" s="1033"/>
      <c r="AK728" s="1034"/>
      <c r="AL728" s="1034"/>
      <c r="AM728" s="1034"/>
      <c r="AN728" s="1034"/>
      <c r="AO728" s="1034"/>
      <c r="AP728" s="1034"/>
      <c r="AQ728" s="1034"/>
    </row>
    <row r="729" spans="1:43" s="84" customFormat="1" ht="15" customHeight="1" x14ac:dyDescent="0.25">
      <c r="A729" s="2531" t="s">
        <v>39</v>
      </c>
      <c r="B729" s="2532"/>
      <c r="C729" s="2532"/>
      <c r="D729" s="2532"/>
      <c r="E729" s="2532"/>
      <c r="F729" s="2532"/>
      <c r="G729" s="2532"/>
      <c r="H729" s="2532"/>
      <c r="I729" s="2533"/>
      <c r="J729" s="1037">
        <f>SUM(J728:J728)</f>
        <v>176100</v>
      </c>
      <c r="K729" s="1334"/>
      <c r="L729" s="79"/>
      <c r="M729" s="79"/>
      <c r="N729" s="1029"/>
      <c r="O729" s="1030"/>
      <c r="P729" s="1031"/>
      <c r="Q729" s="1031"/>
      <c r="R729" s="1032"/>
      <c r="S729" s="1033"/>
      <c r="T729" s="1033"/>
      <c r="U729" s="1033"/>
      <c r="V729" s="1033"/>
      <c r="W729" s="1033"/>
      <c r="X729" s="1033"/>
      <c r="Y729" s="1033"/>
      <c r="Z729" s="1033"/>
      <c r="AA729" s="1033"/>
      <c r="AB729" s="1033"/>
      <c r="AC729" s="1033"/>
      <c r="AD729" s="1033"/>
      <c r="AE729" s="1033"/>
      <c r="AF729" s="1033"/>
      <c r="AG729" s="1033"/>
      <c r="AH729" s="1033"/>
      <c r="AI729" s="1033"/>
      <c r="AJ729" s="1033"/>
      <c r="AK729" s="1034"/>
      <c r="AL729" s="1034"/>
      <c r="AM729" s="1034"/>
      <c r="AN729" s="1034"/>
      <c r="AO729" s="1034"/>
      <c r="AP729" s="1034"/>
      <c r="AQ729" s="1034"/>
    </row>
    <row r="730" spans="1:43" s="87" customFormat="1" ht="14.25" x14ac:dyDescent="0.25">
      <c r="A730" s="1303"/>
      <c r="B730" s="1303"/>
      <c r="C730" s="1303"/>
      <c r="D730" s="1303"/>
      <c r="E730" s="1303"/>
      <c r="F730" s="1303"/>
      <c r="G730" s="1303"/>
      <c r="H730" s="1303"/>
      <c r="I730" s="1303"/>
      <c r="J730" s="64"/>
    </row>
    <row r="731" spans="1:43" s="84" customFormat="1" ht="18.75" hidden="1" x14ac:dyDescent="0.2">
      <c r="A731" s="71" t="s">
        <v>27</v>
      </c>
      <c r="B731" s="71"/>
      <c r="C731" s="71"/>
      <c r="D731" s="71"/>
      <c r="E731" s="94" t="s">
        <v>827</v>
      </c>
      <c r="F731" s="71"/>
      <c r="G731" s="72"/>
      <c r="H731" s="74"/>
      <c r="I731" s="74"/>
      <c r="J731" s="92">
        <f>J735</f>
        <v>0</v>
      </c>
      <c r="K731" s="1802" t="s">
        <v>1533</v>
      </c>
      <c r="L731" s="79"/>
      <c r="M731" s="79"/>
      <c r="N731" s="1029"/>
      <c r="O731" s="1030"/>
      <c r="P731" s="1031"/>
      <c r="Q731" s="1031"/>
      <c r="R731" s="1032"/>
      <c r="S731" s="1033"/>
      <c r="T731" s="1033"/>
      <c r="U731" s="1033"/>
      <c r="V731" s="1033"/>
      <c r="W731" s="1033"/>
      <c r="X731" s="1033"/>
      <c r="Y731" s="1033"/>
      <c r="Z731" s="1033"/>
      <c r="AA731" s="1033"/>
      <c r="AB731" s="1033"/>
      <c r="AC731" s="1033"/>
      <c r="AD731" s="1033"/>
      <c r="AE731" s="1033"/>
      <c r="AF731" s="1033"/>
      <c r="AG731" s="1033"/>
      <c r="AH731" s="1033"/>
      <c r="AI731" s="1033"/>
      <c r="AJ731" s="1033"/>
      <c r="AK731" s="1034"/>
      <c r="AL731" s="1034"/>
      <c r="AM731" s="1034"/>
      <c r="AN731" s="1034"/>
      <c r="AO731" s="1034"/>
      <c r="AP731" s="1034"/>
      <c r="AQ731" s="1034"/>
    </row>
    <row r="732" spans="1:43" s="84" customFormat="1" ht="18.75" hidden="1" x14ac:dyDescent="0.2">
      <c r="A732" s="1644" t="s">
        <v>1520</v>
      </c>
      <c r="B732" s="71"/>
      <c r="C732" s="71"/>
      <c r="D732" s="71"/>
      <c r="E732" s="94"/>
      <c r="F732" s="71"/>
      <c r="G732" s="72"/>
      <c r="H732" s="74"/>
      <c r="I732" s="74"/>
      <c r="J732" s="92"/>
      <c r="K732" s="1802"/>
      <c r="L732" s="79"/>
      <c r="M732" s="79"/>
      <c r="N732" s="1029"/>
      <c r="O732" s="1030"/>
      <c r="P732" s="1031"/>
      <c r="Q732" s="1031"/>
      <c r="R732" s="1032"/>
      <c r="S732" s="1033"/>
      <c r="T732" s="1033"/>
      <c r="U732" s="1033"/>
      <c r="V732" s="1033"/>
      <c r="W732" s="1033"/>
      <c r="X732" s="1033"/>
      <c r="Y732" s="1033"/>
      <c r="Z732" s="1033"/>
      <c r="AA732" s="1033"/>
      <c r="AB732" s="1033"/>
      <c r="AC732" s="1033"/>
      <c r="AD732" s="1033"/>
      <c r="AE732" s="1033"/>
      <c r="AF732" s="1033"/>
      <c r="AG732" s="1033"/>
      <c r="AH732" s="1033"/>
      <c r="AI732" s="1033"/>
      <c r="AJ732" s="1033"/>
      <c r="AK732" s="1034"/>
      <c r="AL732" s="1034"/>
      <c r="AM732" s="1034"/>
      <c r="AN732" s="1034"/>
      <c r="AO732" s="1034"/>
      <c r="AP732" s="1034"/>
      <c r="AQ732" s="1034"/>
    </row>
    <row r="733" spans="1:43" s="84" customFormat="1" ht="30" hidden="1" x14ac:dyDescent="0.25">
      <c r="A733" s="1639" t="s">
        <v>8</v>
      </c>
      <c r="B733" s="2397" t="s">
        <v>35</v>
      </c>
      <c r="C733" s="2398"/>
      <c r="D733" s="2398"/>
      <c r="E733" s="2398"/>
      <c r="F733" s="2398"/>
      <c r="G733" s="2398"/>
      <c r="H733" s="2398"/>
      <c r="I733" s="2399"/>
      <c r="J733" s="1649" t="s">
        <v>297</v>
      </c>
      <c r="K733" s="392"/>
      <c r="L733" s="79"/>
      <c r="M733" s="79"/>
      <c r="N733" s="1029"/>
      <c r="O733" s="1030"/>
      <c r="P733" s="1031"/>
      <c r="Q733" s="1031"/>
      <c r="R733" s="1032"/>
      <c r="S733" s="1033"/>
      <c r="T733" s="1033"/>
      <c r="U733" s="1033"/>
      <c r="V733" s="1033"/>
      <c r="W733" s="1033"/>
      <c r="X733" s="1033"/>
      <c r="Y733" s="1033"/>
      <c r="Z733" s="1033"/>
      <c r="AA733" s="1033"/>
      <c r="AB733" s="1033"/>
      <c r="AC733" s="1033"/>
      <c r="AD733" s="1033"/>
      <c r="AE733" s="1033"/>
      <c r="AF733" s="1033"/>
      <c r="AG733" s="1033"/>
      <c r="AH733" s="1033"/>
      <c r="AI733" s="1033"/>
      <c r="AJ733" s="1033"/>
      <c r="AK733" s="1034"/>
      <c r="AL733" s="1034"/>
      <c r="AM733" s="1034"/>
      <c r="AN733" s="1034"/>
      <c r="AO733" s="1034"/>
      <c r="AP733" s="1034"/>
      <c r="AQ733" s="1034"/>
    </row>
    <row r="734" spans="1:43" s="84" customFormat="1" ht="15.75" hidden="1" customHeight="1" x14ac:dyDescent="0.25">
      <c r="A734" s="541">
        <v>1</v>
      </c>
      <c r="B734" s="2528" t="s">
        <v>1521</v>
      </c>
      <c r="C734" s="2529"/>
      <c r="D734" s="2529"/>
      <c r="E734" s="2529"/>
      <c r="F734" s="2529"/>
      <c r="G734" s="2529"/>
      <c r="H734" s="2529"/>
      <c r="I734" s="2530"/>
      <c r="J734" s="1035"/>
      <c r="K734" s="1593"/>
      <c r="L734" s="79"/>
      <c r="M734" s="79"/>
      <c r="N734" s="1029"/>
      <c r="O734" s="1030"/>
      <c r="P734" s="1031"/>
      <c r="Q734" s="1031"/>
      <c r="R734" s="1032"/>
      <c r="S734" s="1033"/>
      <c r="T734" s="1033"/>
      <c r="U734" s="1033"/>
      <c r="V734" s="1033"/>
      <c r="W734" s="1033"/>
      <c r="X734" s="1033"/>
      <c r="Y734" s="1033"/>
      <c r="Z734" s="1033"/>
      <c r="AA734" s="1033"/>
      <c r="AB734" s="1033"/>
      <c r="AC734" s="1033"/>
      <c r="AD734" s="1033"/>
      <c r="AE734" s="1033"/>
      <c r="AF734" s="1033"/>
      <c r="AG734" s="1033"/>
      <c r="AH734" s="1033"/>
      <c r="AI734" s="1033"/>
      <c r="AJ734" s="1033"/>
      <c r="AK734" s="1034"/>
      <c r="AL734" s="1034"/>
      <c r="AM734" s="1034"/>
      <c r="AN734" s="1034"/>
      <c r="AO734" s="1034"/>
      <c r="AP734" s="1034"/>
      <c r="AQ734" s="1034"/>
    </row>
    <row r="735" spans="1:43" s="84" customFormat="1" ht="15" hidden="1" customHeight="1" x14ac:dyDescent="0.25">
      <c r="A735" s="2531" t="s">
        <v>39</v>
      </c>
      <c r="B735" s="2532"/>
      <c r="C735" s="2532"/>
      <c r="D735" s="2532"/>
      <c r="E735" s="2532"/>
      <c r="F735" s="2532"/>
      <c r="G735" s="2532"/>
      <c r="H735" s="2532"/>
      <c r="I735" s="2533"/>
      <c r="J735" s="1037">
        <f>SUM(J734:J734)</f>
        <v>0</v>
      </c>
      <c r="K735" s="1334"/>
      <c r="L735" s="79"/>
      <c r="M735" s="79"/>
      <c r="N735" s="1029"/>
      <c r="O735" s="1030"/>
      <c r="P735" s="1031"/>
      <c r="Q735" s="1031"/>
      <c r="R735" s="1032"/>
      <c r="S735" s="1033"/>
      <c r="T735" s="1033"/>
      <c r="U735" s="1033"/>
      <c r="V735" s="1033"/>
      <c r="W735" s="1033"/>
      <c r="X735" s="1033"/>
      <c r="Y735" s="1033"/>
      <c r="Z735" s="1033"/>
      <c r="AA735" s="1033"/>
      <c r="AB735" s="1033"/>
      <c r="AC735" s="1033"/>
      <c r="AD735" s="1033"/>
      <c r="AE735" s="1033"/>
      <c r="AF735" s="1033"/>
      <c r="AG735" s="1033"/>
      <c r="AH735" s="1033"/>
      <c r="AI735" s="1033"/>
      <c r="AJ735" s="1033"/>
      <c r="AK735" s="1034"/>
      <c r="AL735" s="1034"/>
      <c r="AM735" s="1034"/>
      <c r="AN735" s="1034"/>
      <c r="AO735" s="1034"/>
      <c r="AP735" s="1034"/>
      <c r="AQ735" s="1034"/>
    </row>
    <row r="736" spans="1:43" hidden="1" x14ac:dyDescent="0.25">
      <c r="A736" s="1645" t="s">
        <v>63</v>
      </c>
      <c r="B736" s="72"/>
      <c r="C736" s="72"/>
      <c r="D736" s="72"/>
      <c r="E736" s="94" t="s">
        <v>98</v>
      </c>
      <c r="I736" s="69"/>
      <c r="J736" s="85">
        <f>J737</f>
        <v>0</v>
      </c>
      <c r="K736" s="70"/>
      <c r="L736" s="61"/>
      <c r="M736" s="61"/>
      <c r="N736" s="61"/>
      <c r="U736" s="75"/>
      <c r="V736" s="75"/>
    </row>
    <row r="737" spans="1:29" s="773" customFormat="1" ht="14.25" hidden="1" x14ac:dyDescent="0.25">
      <c r="A737" s="71" t="s">
        <v>27</v>
      </c>
      <c r="B737" s="71"/>
      <c r="C737" s="71"/>
      <c r="D737" s="71"/>
      <c r="E737" s="773" t="s">
        <v>34</v>
      </c>
      <c r="F737" s="71"/>
      <c r="G737" s="71"/>
      <c r="H737" s="63"/>
      <c r="I737" s="63"/>
      <c r="J737" s="92">
        <f>J743</f>
        <v>0</v>
      </c>
    </row>
    <row r="738" spans="1:29" s="87" customFormat="1" hidden="1" x14ac:dyDescent="0.25">
      <c r="A738" s="1644" t="s">
        <v>773</v>
      </c>
      <c r="B738" s="72"/>
      <c r="C738" s="75"/>
      <c r="D738" s="75"/>
      <c r="E738" s="71"/>
      <c r="F738" s="1644"/>
      <c r="G738" s="1644"/>
      <c r="H738" s="60"/>
      <c r="I738" s="69"/>
      <c r="J738" s="85"/>
      <c r="K738" s="174"/>
    </row>
    <row r="739" spans="1:29" s="87" customFormat="1" ht="15" hidden="1" customHeight="1" x14ac:dyDescent="0.25">
      <c r="A739" s="1926" t="s">
        <v>8</v>
      </c>
      <c r="B739" s="1926" t="s">
        <v>35</v>
      </c>
      <c r="C739" s="2046"/>
      <c r="D739" s="2046"/>
      <c r="E739" s="2046"/>
      <c r="F739" s="2046"/>
      <c r="G739" s="2092" t="s">
        <v>61</v>
      </c>
      <c r="H739" s="1898" t="s">
        <v>1476</v>
      </c>
      <c r="I739" s="1898"/>
      <c r="J739" s="1898"/>
      <c r="K739" s="174"/>
    </row>
    <row r="740" spans="1:29" s="87" customFormat="1" ht="30" hidden="1" x14ac:dyDescent="0.25">
      <c r="A740" s="2046"/>
      <c r="B740" s="2046"/>
      <c r="C740" s="2046"/>
      <c r="D740" s="2046"/>
      <c r="E740" s="2046"/>
      <c r="F740" s="2046"/>
      <c r="G740" s="2053"/>
      <c r="H740" s="1581" t="s">
        <v>248</v>
      </c>
      <c r="I740" s="1581" t="s">
        <v>264</v>
      </c>
      <c r="J740" s="1581" t="s">
        <v>256</v>
      </c>
      <c r="K740" s="174"/>
    </row>
    <row r="741" spans="1:29" s="87" customFormat="1" hidden="1" x14ac:dyDescent="0.25">
      <c r="A741" s="2143" t="s">
        <v>1498</v>
      </c>
      <c r="B741" s="2007"/>
      <c r="C741" s="2007"/>
      <c r="D741" s="2007"/>
      <c r="E741" s="2007"/>
      <c r="F741" s="2007"/>
      <c r="G741" s="2007"/>
      <c r="H741" s="2007"/>
      <c r="I741" s="2008"/>
      <c r="J741" s="1188">
        <f>J742</f>
        <v>0</v>
      </c>
      <c r="K741" s="174"/>
    </row>
    <row r="742" spans="1:29" s="87" customFormat="1" hidden="1" x14ac:dyDescent="0.25">
      <c r="A742" s="1598">
        <v>1</v>
      </c>
      <c r="B742" s="1986" t="s">
        <v>1805</v>
      </c>
      <c r="C742" s="1986"/>
      <c r="D742" s="1986"/>
      <c r="E742" s="1986"/>
      <c r="F742" s="1986"/>
      <c r="G742" s="1625" t="s">
        <v>245</v>
      </c>
      <c r="H742" s="1581"/>
      <c r="I742" s="393"/>
      <c r="J742" s="1617">
        <f>H742*I742</f>
        <v>0</v>
      </c>
      <c r="K742" s="174"/>
    </row>
    <row r="743" spans="1:29" s="87" customFormat="1" ht="14.25" hidden="1" x14ac:dyDescent="0.25">
      <c r="A743" s="2531" t="s">
        <v>39</v>
      </c>
      <c r="B743" s="2532"/>
      <c r="C743" s="2532"/>
      <c r="D743" s="2532"/>
      <c r="E743" s="2532"/>
      <c r="F743" s="2532"/>
      <c r="G743" s="2532"/>
      <c r="H743" s="2532"/>
      <c r="I743" s="2533"/>
      <c r="J743" s="1037">
        <f>SUM(J742:J742)</f>
        <v>0</v>
      </c>
      <c r="K743" s="174"/>
    </row>
    <row r="744" spans="1:29" s="87" customFormat="1" ht="14.25" hidden="1" x14ac:dyDescent="0.25">
      <c r="A744" s="63"/>
      <c r="B744" s="63"/>
      <c r="C744" s="63"/>
      <c r="D744" s="63"/>
      <c r="E744" s="63"/>
      <c r="F744" s="63"/>
      <c r="G744" s="63"/>
      <c r="H744" s="64"/>
      <c r="I744" s="64"/>
      <c r="J744" s="64"/>
      <c r="K744" s="174"/>
    </row>
    <row r="745" spans="1:29" s="75" customFormat="1" x14ac:dyDescent="0.25">
      <c r="A745" s="1645" t="s">
        <v>147</v>
      </c>
      <c r="B745" s="72"/>
      <c r="C745" s="72"/>
      <c r="D745" s="72"/>
      <c r="E745" s="94" t="s">
        <v>1725</v>
      </c>
      <c r="F745" s="72"/>
      <c r="G745" s="72"/>
      <c r="H745" s="74"/>
      <c r="I745" s="74"/>
      <c r="J745" s="92">
        <f>J747</f>
        <v>9109957.0800000001</v>
      </c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</row>
    <row r="747" spans="1:29" s="75" customFormat="1" x14ac:dyDescent="0.25">
      <c r="A747" s="71" t="s">
        <v>63</v>
      </c>
      <c r="B747" s="71"/>
      <c r="C747" s="71"/>
      <c r="D747" s="71"/>
      <c r="E747" s="94" t="s">
        <v>77</v>
      </c>
      <c r="F747" s="71"/>
      <c r="G747" s="72"/>
      <c r="H747" s="74"/>
      <c r="I747" s="74"/>
      <c r="J747" s="92">
        <f>J748+J749+J750+J751</f>
        <v>9109957.0800000001</v>
      </c>
      <c r="K747" s="363"/>
      <c r="L747" s="773"/>
    </row>
    <row r="748" spans="1:29" s="75" customFormat="1" x14ac:dyDescent="0.25">
      <c r="A748" s="71" t="s">
        <v>27</v>
      </c>
      <c r="B748" s="71"/>
      <c r="C748" s="71"/>
      <c r="D748" s="71"/>
      <c r="E748" s="94" t="s">
        <v>34</v>
      </c>
      <c r="F748" s="71"/>
      <c r="G748" s="72"/>
      <c r="H748" s="74"/>
      <c r="I748" s="74"/>
      <c r="J748" s="92">
        <f>J760+J770+J788+J801</f>
        <v>841500</v>
      </c>
      <c r="K748" s="83">
        <v>0</v>
      </c>
      <c r="L748" s="91" t="b">
        <f>J748=K748</f>
        <v>0</v>
      </c>
      <c r="M748" s="874"/>
    </row>
    <row r="749" spans="1:29" s="75" customFormat="1" x14ac:dyDescent="0.25">
      <c r="A749" s="71" t="s">
        <v>27</v>
      </c>
      <c r="B749" s="71"/>
      <c r="C749" s="71"/>
      <c r="D749" s="71"/>
      <c r="E749" s="94" t="s">
        <v>142</v>
      </c>
      <c r="F749" s="71"/>
      <c r="G749" s="72"/>
      <c r="H749" s="74"/>
      <c r="I749" s="74"/>
      <c r="J749" s="92">
        <f>J761+J771+J789+J802</f>
        <v>8253457.0800000001</v>
      </c>
      <c r="K749" s="83">
        <v>0</v>
      </c>
      <c r="L749" s="91" t="b">
        <f>J749=K749</f>
        <v>0</v>
      </c>
      <c r="M749" s="874"/>
    </row>
    <row r="750" spans="1:29" s="75" customFormat="1" x14ac:dyDescent="0.25">
      <c r="A750" s="71" t="s">
        <v>27</v>
      </c>
      <c r="B750" s="71"/>
      <c r="C750" s="71"/>
      <c r="D750" s="71"/>
      <c r="E750" s="94" t="s">
        <v>119</v>
      </c>
      <c r="F750" s="71"/>
      <c r="G750" s="72"/>
      <c r="H750" s="74"/>
      <c r="I750" s="74"/>
      <c r="J750" s="92">
        <f>J772</f>
        <v>15000</v>
      </c>
      <c r="K750" s="83">
        <v>0</v>
      </c>
      <c r="L750" s="91" t="b">
        <f>J750=K750</f>
        <v>0</v>
      </c>
    </row>
    <row r="751" spans="1:29" s="75" customFormat="1" hidden="1" x14ac:dyDescent="0.25">
      <c r="A751" s="71" t="s">
        <v>27</v>
      </c>
      <c r="B751" s="71"/>
      <c r="C751" s="71"/>
      <c r="D751" s="71"/>
      <c r="E751" s="94" t="s">
        <v>824</v>
      </c>
      <c r="F751" s="71"/>
      <c r="G751" s="72"/>
      <c r="H751" s="74"/>
      <c r="I751" s="74"/>
      <c r="J751" s="92"/>
      <c r="K751" s="83">
        <v>0</v>
      </c>
      <c r="L751" s="91" t="b">
        <f>J751=K751</f>
        <v>1</v>
      </c>
    </row>
    <row r="752" spans="1:29" x14ac:dyDescent="0.25">
      <c r="A752" s="1644" t="s">
        <v>306</v>
      </c>
      <c r="I752" s="69"/>
      <c r="J752" s="69"/>
      <c r="K752" s="354" t="s">
        <v>1478</v>
      </c>
      <c r="L752" s="714"/>
      <c r="M752" s="1662"/>
      <c r="N752" s="355"/>
      <c r="O752" s="354"/>
    </row>
    <row r="753" spans="1:15" ht="15" customHeight="1" x14ac:dyDescent="0.25">
      <c r="A753" s="1898" t="s">
        <v>8</v>
      </c>
      <c r="B753" s="1898" t="s">
        <v>35</v>
      </c>
      <c r="C753" s="1898"/>
      <c r="D753" s="1898"/>
      <c r="E753" s="1898"/>
      <c r="F753" s="1898" t="s">
        <v>272</v>
      </c>
      <c r="G753" s="1899" t="s">
        <v>1827</v>
      </c>
      <c r="H753" s="1911"/>
      <c r="I753" s="1911"/>
      <c r="J753" s="1912"/>
      <c r="K753" s="87"/>
      <c r="L753" s="714"/>
      <c r="M753" s="1662"/>
      <c r="N753" s="354"/>
      <c r="O753" s="354"/>
    </row>
    <row r="754" spans="1:15" ht="45" x14ac:dyDescent="0.25">
      <c r="A754" s="1898"/>
      <c r="B754" s="1898"/>
      <c r="C754" s="1898"/>
      <c r="D754" s="1898"/>
      <c r="E754" s="1898"/>
      <c r="F754" s="1898"/>
      <c r="G754" s="1581" t="s">
        <v>515</v>
      </c>
      <c r="H754" s="1581" t="s">
        <v>55</v>
      </c>
      <c r="I754" s="1588" t="s">
        <v>265</v>
      </c>
      <c r="J754" s="1588" t="s">
        <v>256</v>
      </c>
      <c r="K754" s="87"/>
      <c r="L754" s="714"/>
      <c r="M754" s="1662"/>
      <c r="N754" s="354"/>
      <c r="O754" s="354"/>
    </row>
    <row r="755" spans="1:15" ht="30" hidden="1" customHeight="1" x14ac:dyDescent="0.25">
      <c r="A755" s="2042">
        <v>1</v>
      </c>
      <c r="B755" s="1953" t="s">
        <v>56</v>
      </c>
      <c r="C755" s="1930"/>
      <c r="D755" s="1930"/>
      <c r="E755" s="1930"/>
      <c r="F755" s="1175" t="s">
        <v>1679</v>
      </c>
      <c r="G755" s="1612" t="s">
        <v>1842</v>
      </c>
      <c r="H755" s="1205"/>
      <c r="I755" s="1368">
        <v>2365.788</v>
      </c>
      <c r="J755" s="1367">
        <f>H755*I755</f>
        <v>0</v>
      </c>
      <c r="K755" s="87"/>
      <c r="L755" s="1044"/>
      <c r="M755" s="174"/>
      <c r="N755" s="1656"/>
      <c r="O755" s="1696"/>
    </row>
    <row r="756" spans="1:15" ht="30" x14ac:dyDescent="0.25">
      <c r="A756" s="2042"/>
      <c r="B756" s="1930"/>
      <c r="C756" s="1930"/>
      <c r="D756" s="1930"/>
      <c r="E756" s="1930"/>
      <c r="F756" s="1175" t="s">
        <v>1679</v>
      </c>
      <c r="G756" s="1620" t="s">
        <v>1843</v>
      </c>
      <c r="H756" s="1239">
        <f>3720-2783.68</f>
        <v>936.32</v>
      </c>
      <c r="I756" s="1368">
        <v>2365.788</v>
      </c>
      <c r="J756" s="1367">
        <f>H756*I756</f>
        <v>2215134.62</v>
      </c>
      <c r="K756" s="354"/>
      <c r="L756" s="989"/>
      <c r="M756" s="1048"/>
      <c r="N756" s="1656"/>
      <c r="O756" s="1696"/>
    </row>
    <row r="757" spans="1:15" ht="30" x14ac:dyDescent="0.25">
      <c r="A757" s="2042"/>
      <c r="B757" s="1930"/>
      <c r="C757" s="1930"/>
      <c r="D757" s="1930"/>
      <c r="E757" s="1930"/>
      <c r="F757" s="1175" t="s">
        <v>1679</v>
      </c>
      <c r="G757" s="1392" t="s">
        <v>1844</v>
      </c>
      <c r="H757" s="1239">
        <v>1250</v>
      </c>
      <c r="I757" s="1368">
        <v>2602.3670000000002</v>
      </c>
      <c r="J757" s="1367">
        <f>H757*I757</f>
        <v>3252958.75</v>
      </c>
      <c r="K757" s="354"/>
      <c r="L757" s="989"/>
      <c r="M757" s="1048"/>
      <c r="N757" s="1656"/>
      <c r="O757" s="1696"/>
    </row>
    <row r="758" spans="1:15" ht="15" customHeight="1" x14ac:dyDescent="0.25">
      <c r="A758" s="2035" t="s">
        <v>39</v>
      </c>
      <c r="B758" s="2035"/>
      <c r="C758" s="2035"/>
      <c r="D758" s="2035"/>
      <c r="E758" s="2035"/>
      <c r="F758" s="2035"/>
      <c r="G758" s="2035"/>
      <c r="H758" s="2035"/>
      <c r="I758" s="2035"/>
      <c r="J758" s="1393">
        <f>SUM(J755:J757)</f>
        <v>5468093.3700000001</v>
      </c>
      <c r="K758" s="344">
        <v>0</v>
      </c>
      <c r="L758" s="81">
        <f>J758-K758</f>
        <v>5468093.3700000001</v>
      </c>
      <c r="M758" s="81"/>
      <c r="N758" s="1048"/>
      <c r="O758" s="1048"/>
    </row>
    <row r="759" spans="1:15" ht="15" customHeight="1" x14ac:dyDescent="0.25">
      <c r="A759" s="2458" t="s">
        <v>514</v>
      </c>
      <c r="B759" s="2459"/>
      <c r="C759" s="2459"/>
      <c r="D759" s="2459"/>
      <c r="E759" s="2459"/>
      <c r="F759" s="2459"/>
      <c r="G759" s="2459"/>
      <c r="H759" s="2459"/>
      <c r="I759" s="2461"/>
      <c r="J759" s="1542"/>
      <c r="K759" s="344"/>
      <c r="L759" s="81"/>
      <c r="M759" s="81"/>
      <c r="N759" s="1048"/>
      <c r="O759" s="1048"/>
    </row>
    <row r="760" spans="1:15" ht="15" customHeight="1" x14ac:dyDescent="0.25">
      <c r="A760" s="1929" t="s">
        <v>2029</v>
      </c>
      <c r="B760" s="1929"/>
      <c r="C760" s="1929"/>
      <c r="D760" s="1929"/>
      <c r="E760" s="1929"/>
      <c r="F760" s="1929"/>
      <c r="G760" s="1929"/>
      <c r="H760" s="1929"/>
      <c r="I760" s="1929"/>
      <c r="J760" s="1363">
        <f>685400-200000</f>
        <v>485400</v>
      </c>
      <c r="K760" s="344"/>
      <c r="L760" s="81"/>
      <c r="M760" s="81"/>
      <c r="N760" s="1048"/>
      <c r="O760" s="1048"/>
    </row>
    <row r="761" spans="1:15" ht="15" customHeight="1" x14ac:dyDescent="0.25">
      <c r="A761" s="1929" t="s">
        <v>2030</v>
      </c>
      <c r="B761" s="1929"/>
      <c r="C761" s="1929"/>
      <c r="D761" s="1929"/>
      <c r="E761" s="1929"/>
      <c r="F761" s="1929"/>
      <c r="G761" s="1929"/>
      <c r="H761" s="1929"/>
      <c r="I761" s="1929"/>
      <c r="J761" s="1363">
        <f>J758-J760</f>
        <v>4982693.37</v>
      </c>
      <c r="K761" s="344"/>
      <c r="L761" s="81"/>
      <c r="M761" s="81">
        <v>4936983.24</v>
      </c>
      <c r="N761" s="1048"/>
      <c r="O761" s="1048"/>
    </row>
    <row r="762" spans="1:15" ht="15" customHeight="1" x14ac:dyDescent="0.25">
      <c r="A762" s="1545"/>
      <c r="B762" s="1600"/>
      <c r="C762" s="1600"/>
      <c r="D762" s="1600"/>
      <c r="E762" s="1600"/>
      <c r="F762" s="1600"/>
      <c r="G762" s="1600"/>
      <c r="H762" s="1600"/>
      <c r="I762" s="1600"/>
      <c r="J762" s="741"/>
      <c r="K762" s="344"/>
      <c r="L762" s="81"/>
      <c r="M762" s="81"/>
      <c r="N762" s="1048"/>
      <c r="O762" s="1048"/>
    </row>
    <row r="763" spans="1:15" x14ac:dyDescent="0.25">
      <c r="A763" s="1898" t="s">
        <v>8</v>
      </c>
      <c r="B763" s="1898" t="s">
        <v>35</v>
      </c>
      <c r="C763" s="1898"/>
      <c r="D763" s="1898"/>
      <c r="E763" s="1898"/>
      <c r="F763" s="1898" t="s">
        <v>272</v>
      </c>
      <c r="G763" s="1899" t="s">
        <v>1827</v>
      </c>
      <c r="H763" s="1911"/>
      <c r="I763" s="1911"/>
      <c r="J763" s="1912"/>
      <c r="K763" s="87"/>
      <c r="L763" s="354"/>
      <c r="M763" s="354"/>
      <c r="N763" s="354"/>
      <c r="O763" s="354"/>
    </row>
    <row r="764" spans="1:15" ht="45" x14ac:dyDescent="0.25">
      <c r="A764" s="1898"/>
      <c r="B764" s="1898"/>
      <c r="C764" s="1898"/>
      <c r="D764" s="1898"/>
      <c r="E764" s="1898"/>
      <c r="F764" s="1898"/>
      <c r="G764" s="1581" t="s">
        <v>515</v>
      </c>
      <c r="H764" s="1581" t="s">
        <v>55</v>
      </c>
      <c r="I764" s="1588" t="s">
        <v>265</v>
      </c>
      <c r="J764" s="1588" t="s">
        <v>256</v>
      </c>
      <c r="K764" s="87"/>
      <c r="L764" s="354"/>
      <c r="M764" s="354"/>
      <c r="N764" s="354"/>
      <c r="O764" s="354"/>
    </row>
    <row r="765" spans="1:15" ht="30" hidden="1" customHeight="1" x14ac:dyDescent="0.25">
      <c r="A765" s="2144">
        <v>2</v>
      </c>
      <c r="B765" s="2148" t="s">
        <v>1941</v>
      </c>
      <c r="C765" s="2149"/>
      <c r="D765" s="2149"/>
      <c r="E765" s="2149"/>
      <c r="F765" s="1394" t="s">
        <v>1673</v>
      </c>
      <c r="G765" s="1612" t="s">
        <v>1842</v>
      </c>
      <c r="H765" s="1395"/>
      <c r="I765" s="1239">
        <v>8.8597999999999999</v>
      </c>
      <c r="J765" s="1397">
        <f>H765*I765</f>
        <v>0</v>
      </c>
      <c r="K765" s="354"/>
      <c r="L765" s="1044"/>
      <c r="M765" s="174"/>
      <c r="N765" s="354"/>
      <c r="O765" s="354"/>
    </row>
    <row r="766" spans="1:15" ht="30" hidden="1" x14ac:dyDescent="0.25">
      <c r="A766" s="2042"/>
      <c r="B766" s="1930"/>
      <c r="C766" s="1930"/>
      <c r="D766" s="1930"/>
      <c r="E766" s="1930"/>
      <c r="F766" s="1175" t="s">
        <v>1673</v>
      </c>
      <c r="G766" s="1620" t="s">
        <v>1843</v>
      </c>
      <c r="H766" s="1398"/>
      <c r="I766" s="1239">
        <v>8.8597999999999999</v>
      </c>
      <c r="J766" s="1363">
        <f>H766*I766</f>
        <v>0</v>
      </c>
      <c r="K766" s="814"/>
      <c r="L766" s="1284"/>
      <c r="M766" s="1047"/>
      <c r="N766" s="1656"/>
      <c r="O766" s="1696"/>
    </row>
    <row r="767" spans="1:15" ht="30" x14ac:dyDescent="0.25">
      <c r="A767" s="2043"/>
      <c r="B767" s="1930"/>
      <c r="C767" s="1930"/>
      <c r="D767" s="1930"/>
      <c r="E767" s="1930"/>
      <c r="F767" s="1175" t="s">
        <v>1673</v>
      </c>
      <c r="G767" s="1392" t="s">
        <v>1844</v>
      </c>
      <c r="H767" s="1398">
        <v>272000</v>
      </c>
      <c r="I767" s="1239">
        <v>9.7457999999999991</v>
      </c>
      <c r="J767" s="1363">
        <f>H767*I767</f>
        <v>2650857.6</v>
      </c>
      <c r="K767" s="87"/>
      <c r="L767" s="1047"/>
      <c r="M767" s="1047"/>
      <c r="N767" s="1656"/>
      <c r="O767" s="1696"/>
    </row>
    <row r="768" spans="1:15" ht="15" customHeight="1" x14ac:dyDescent="0.25">
      <c r="A768" s="2035" t="s">
        <v>39</v>
      </c>
      <c r="B768" s="2035"/>
      <c r="C768" s="2035"/>
      <c r="D768" s="2035"/>
      <c r="E768" s="2035"/>
      <c r="F768" s="2035"/>
      <c r="G768" s="2035"/>
      <c r="H768" s="2035"/>
      <c r="I768" s="2035"/>
      <c r="J768" s="1369">
        <f>SUM(J765:J767)</f>
        <v>2650857.6</v>
      </c>
      <c r="K768" s="344">
        <v>0</v>
      </c>
      <c r="L768" s="81">
        <f>J768-K768</f>
        <v>2650857.6</v>
      </c>
      <c r="M768" s="61"/>
      <c r="N768" s="1656"/>
      <c r="O768" s="1696"/>
    </row>
    <row r="769" spans="1:28" ht="15" customHeight="1" x14ac:dyDescent="0.25">
      <c r="A769" s="2458" t="s">
        <v>514</v>
      </c>
      <c r="B769" s="2459"/>
      <c r="C769" s="2459"/>
      <c r="D769" s="2459"/>
      <c r="E769" s="2459"/>
      <c r="F769" s="2459"/>
      <c r="G769" s="2459"/>
      <c r="H769" s="2459"/>
      <c r="I769" s="2461"/>
      <c r="J769" s="1542"/>
      <c r="K769" s="174"/>
      <c r="L769" s="61"/>
      <c r="M769" s="354"/>
      <c r="N769" s="354"/>
      <c r="O769" s="1047"/>
    </row>
    <row r="770" spans="1:28" ht="15" customHeight="1" x14ac:dyDescent="0.25">
      <c r="A770" s="1929" t="s">
        <v>2029</v>
      </c>
      <c r="B770" s="1929"/>
      <c r="C770" s="1929"/>
      <c r="D770" s="1929"/>
      <c r="E770" s="1929"/>
      <c r="F770" s="1929"/>
      <c r="G770" s="1929"/>
      <c r="H770" s="1929"/>
      <c r="I770" s="1929"/>
      <c r="J770" s="1363">
        <f>359300-100000</f>
        <v>259300</v>
      </c>
      <c r="K770" s="344"/>
      <c r="L770" s="81"/>
      <c r="M770" s="70"/>
      <c r="N770" s="354"/>
      <c r="O770" s="354"/>
    </row>
    <row r="771" spans="1:28" ht="15" customHeight="1" x14ac:dyDescent="0.25">
      <c r="A771" s="1929" t="s">
        <v>2030</v>
      </c>
      <c r="B771" s="1929"/>
      <c r="C771" s="1929"/>
      <c r="D771" s="1929"/>
      <c r="E771" s="1929"/>
      <c r="F771" s="1929"/>
      <c r="G771" s="1929"/>
      <c r="H771" s="1929"/>
      <c r="I771" s="1929"/>
      <c r="J771" s="1363">
        <f>J768-J770-J772</f>
        <v>2376557.6</v>
      </c>
      <c r="K771" s="344"/>
      <c r="L771" s="81"/>
      <c r="M771" s="81">
        <v>1990829.46</v>
      </c>
      <c r="N771" s="354"/>
      <c r="O771" s="354"/>
    </row>
    <row r="772" spans="1:28" ht="15" customHeight="1" x14ac:dyDescent="0.25">
      <c r="A772" s="1953" t="s">
        <v>2036</v>
      </c>
      <c r="B772" s="1953"/>
      <c r="C772" s="1953"/>
      <c r="D772" s="1953"/>
      <c r="E772" s="1953"/>
      <c r="F772" s="1953"/>
      <c r="G772" s="1953"/>
      <c r="H772" s="1953"/>
      <c r="I772" s="1953"/>
      <c r="J772" s="1363">
        <v>15000</v>
      </c>
      <c r="K772" s="344"/>
      <c r="L772" s="81"/>
      <c r="M772" s="81"/>
      <c r="N772" s="354"/>
      <c r="O772" s="354"/>
    </row>
    <row r="773" spans="1:28" x14ac:dyDescent="0.25">
      <c r="A773" s="1774"/>
      <c r="B773" s="1635"/>
      <c r="C773" s="1635"/>
      <c r="D773" s="1635"/>
      <c r="E773" s="1635"/>
      <c r="F773" s="1635"/>
      <c r="G773" s="1635"/>
      <c r="H773" s="1635"/>
      <c r="I773" s="1635"/>
      <c r="J773" s="97"/>
      <c r="K773" s="344"/>
      <c r="L773" s="81"/>
      <c r="M773" s="81"/>
      <c r="N773" s="354"/>
      <c r="O773" s="354"/>
    </row>
    <row r="774" spans="1:28" x14ac:dyDescent="0.25">
      <c r="A774" s="1898" t="s">
        <v>8</v>
      </c>
      <c r="B774" s="1898" t="s">
        <v>35</v>
      </c>
      <c r="C774" s="1898"/>
      <c r="D774" s="1898"/>
      <c r="E774" s="1898"/>
      <c r="F774" s="1898" t="s">
        <v>272</v>
      </c>
      <c r="G774" s="1899" t="s">
        <v>1827</v>
      </c>
      <c r="H774" s="1911"/>
      <c r="I774" s="1911"/>
      <c r="J774" s="1912"/>
      <c r="K774" s="354"/>
      <c r="L774" s="174"/>
      <c r="M774" s="70"/>
      <c r="N774" s="354"/>
      <c r="O774" s="354"/>
    </row>
    <row r="775" spans="1:28" ht="45" x14ac:dyDescent="0.25">
      <c r="A775" s="1898"/>
      <c r="B775" s="1898"/>
      <c r="C775" s="1898"/>
      <c r="D775" s="1898"/>
      <c r="E775" s="1898"/>
      <c r="F775" s="1898"/>
      <c r="G775" s="1581" t="s">
        <v>515</v>
      </c>
      <c r="H775" s="1581" t="s">
        <v>55</v>
      </c>
      <c r="I775" s="1588" t="s">
        <v>265</v>
      </c>
      <c r="J775" s="1588" t="s">
        <v>256</v>
      </c>
      <c r="K775" s="354"/>
      <c r="L775" s="174"/>
      <c r="M775" s="70"/>
      <c r="N775" s="354"/>
      <c r="O775" s="354"/>
    </row>
    <row r="776" spans="1:28" ht="30" hidden="1" customHeight="1" x14ac:dyDescent="0.25">
      <c r="A776" s="2024">
        <v>3</v>
      </c>
      <c r="B776" s="2071" t="s">
        <v>57</v>
      </c>
      <c r="C776" s="2109"/>
      <c r="D776" s="2109"/>
      <c r="E776" s="2132"/>
      <c r="F776" s="1639" t="s">
        <v>1646</v>
      </c>
      <c r="G776" s="1620" t="s">
        <v>1843</v>
      </c>
      <c r="H776" s="103"/>
      <c r="I776" s="1368">
        <v>61.223999999999997</v>
      </c>
      <c r="J776" s="1588">
        <f t="shared" ref="J776:J785" si="7">H776*I776</f>
        <v>0</v>
      </c>
      <c r="K776" s="1656"/>
      <c r="L776" s="1696"/>
      <c r="M776" s="1696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  <c r="AA776" s="70"/>
      <c r="AB776" s="70"/>
    </row>
    <row r="777" spans="1:28" ht="30" customHeight="1" x14ac:dyDescent="0.25">
      <c r="A777" s="1906"/>
      <c r="B777" s="2032"/>
      <c r="C777" s="2033"/>
      <c r="D777" s="2033"/>
      <c r="E777" s="2034"/>
      <c r="F777" s="1639" t="s">
        <v>1646</v>
      </c>
      <c r="G777" s="1392" t="s">
        <v>1844</v>
      </c>
      <c r="H777" s="103">
        <v>2785</v>
      </c>
      <c r="I777" s="1368">
        <v>67.346000000000004</v>
      </c>
      <c r="J777" s="1588">
        <f t="shared" si="7"/>
        <v>187558.61</v>
      </c>
      <c r="K777" s="1656"/>
      <c r="L777" s="1696"/>
      <c r="M777" s="1696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  <c r="AA777" s="70"/>
      <c r="AB777" s="70"/>
    </row>
    <row r="778" spans="1:28" ht="30" hidden="1" customHeight="1" x14ac:dyDescent="0.25">
      <c r="A778" s="2024">
        <v>4</v>
      </c>
      <c r="B778" s="2071" t="s">
        <v>58</v>
      </c>
      <c r="C778" s="2109"/>
      <c r="D778" s="2109"/>
      <c r="E778" s="2132"/>
      <c r="F778" s="1639" t="s">
        <v>1646</v>
      </c>
      <c r="G778" s="1620" t="s">
        <v>1843</v>
      </c>
      <c r="H778" s="103"/>
      <c r="I778" s="1301">
        <v>65.603999999999999</v>
      </c>
      <c r="J778" s="1588">
        <f t="shared" si="7"/>
        <v>0</v>
      </c>
      <c r="K778" s="1656"/>
      <c r="L778" s="1696"/>
      <c r="M778" s="1696"/>
      <c r="N778" s="1658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  <c r="AB778" s="70"/>
    </row>
    <row r="779" spans="1:28" ht="30" customHeight="1" x14ac:dyDescent="0.25">
      <c r="A779" s="1906"/>
      <c r="B779" s="2032"/>
      <c r="C779" s="2033"/>
      <c r="D779" s="2033"/>
      <c r="E779" s="2034"/>
      <c r="F779" s="1639" t="s">
        <v>1646</v>
      </c>
      <c r="G779" s="1587" t="s">
        <v>1844</v>
      </c>
      <c r="H779" s="103">
        <v>3695</v>
      </c>
      <c r="I779" s="1368">
        <v>72.164000000000001</v>
      </c>
      <c r="J779" s="1588">
        <f t="shared" si="7"/>
        <v>266645.98</v>
      </c>
      <c r="K779" s="1656"/>
      <c r="L779" s="1696"/>
      <c r="M779" s="1696"/>
      <c r="N779" s="1658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  <c r="AA779" s="70"/>
      <c r="AB779" s="70"/>
    </row>
    <row r="780" spans="1:28" ht="30" hidden="1" customHeight="1" x14ac:dyDescent="0.25">
      <c r="A780" s="2024">
        <v>5</v>
      </c>
      <c r="B780" s="2071" t="s">
        <v>1481</v>
      </c>
      <c r="C780" s="2109"/>
      <c r="D780" s="2109"/>
      <c r="E780" s="2132"/>
      <c r="F780" s="1639" t="s">
        <v>1646</v>
      </c>
      <c r="G780" s="1620" t="s">
        <v>1843</v>
      </c>
      <c r="H780" s="103"/>
      <c r="I780" s="65">
        <v>14.868</v>
      </c>
      <c r="J780" s="1588">
        <f t="shared" si="7"/>
        <v>0</v>
      </c>
      <c r="K780" s="1656"/>
      <c r="L780" s="1696"/>
      <c r="M780" s="1696"/>
      <c r="N780" s="1745"/>
      <c r="O780" s="341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</row>
    <row r="781" spans="1:28" ht="30" customHeight="1" x14ac:dyDescent="0.25">
      <c r="A781" s="1906">
        <v>9</v>
      </c>
      <c r="B781" s="2032"/>
      <c r="C781" s="2033"/>
      <c r="D781" s="2033"/>
      <c r="E781" s="2034"/>
      <c r="F781" s="1639" t="s">
        <v>1646</v>
      </c>
      <c r="G781" s="1587" t="s">
        <v>1844</v>
      </c>
      <c r="H781" s="1300">
        <v>950</v>
      </c>
      <c r="I781" s="1301">
        <v>15.611000000000001</v>
      </c>
      <c r="J781" s="1617">
        <f t="shared" si="7"/>
        <v>14830.45</v>
      </c>
      <c r="K781" s="1656"/>
      <c r="L781" s="1696"/>
      <c r="M781" s="1696"/>
      <c r="N781" s="1379"/>
      <c r="O781" s="341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  <c r="AA781" s="70"/>
      <c r="AB781" s="70"/>
    </row>
    <row r="782" spans="1:28" ht="30" hidden="1" customHeight="1" x14ac:dyDescent="0.25">
      <c r="A782" s="2024">
        <v>6</v>
      </c>
      <c r="B782" s="2071" t="s">
        <v>1482</v>
      </c>
      <c r="C782" s="2109"/>
      <c r="D782" s="2109"/>
      <c r="E782" s="2132"/>
      <c r="F782" s="1639" t="s">
        <v>1646</v>
      </c>
      <c r="G782" s="1620" t="s">
        <v>1843</v>
      </c>
      <c r="H782" s="103"/>
      <c r="I782" s="65">
        <v>4.0919999999999996</v>
      </c>
      <c r="J782" s="1588">
        <f t="shared" si="7"/>
        <v>0</v>
      </c>
      <c r="K782" s="1656"/>
      <c r="L782" s="1696"/>
      <c r="M782" s="1746"/>
      <c r="N782" s="1379"/>
      <c r="O782" s="341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</row>
    <row r="783" spans="1:28" ht="30" customHeight="1" x14ac:dyDescent="0.25">
      <c r="A783" s="1906">
        <v>11</v>
      </c>
      <c r="B783" s="2032"/>
      <c r="C783" s="2033"/>
      <c r="D783" s="2033"/>
      <c r="E783" s="2034"/>
      <c r="F783" s="1639" t="s">
        <v>1646</v>
      </c>
      <c r="G783" s="1587" t="s">
        <v>1844</v>
      </c>
      <c r="H783" s="103">
        <v>2742</v>
      </c>
      <c r="I783" s="65">
        <v>4.3</v>
      </c>
      <c r="J783" s="1588">
        <f t="shared" si="7"/>
        <v>11790.6</v>
      </c>
      <c r="K783" s="1656"/>
      <c r="L783" s="1696"/>
      <c r="M783" s="1696"/>
      <c r="N783" s="1379"/>
      <c r="O783" s="341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  <c r="AA783" s="70"/>
      <c r="AB783" s="70"/>
    </row>
    <row r="784" spans="1:28" ht="30" hidden="1" customHeight="1" x14ac:dyDescent="0.25">
      <c r="A784" s="2024">
        <v>7</v>
      </c>
      <c r="B784" s="2071" t="s">
        <v>1485</v>
      </c>
      <c r="C784" s="2109"/>
      <c r="D784" s="2109"/>
      <c r="E784" s="2132"/>
      <c r="F784" s="1639" t="s">
        <v>1646</v>
      </c>
      <c r="G784" s="1620" t="s">
        <v>1843</v>
      </c>
      <c r="H784" s="103"/>
      <c r="I784" s="65">
        <f>I778</f>
        <v>65.603999999999999</v>
      </c>
      <c r="J784" s="1588">
        <f t="shared" si="7"/>
        <v>0</v>
      </c>
      <c r="K784" s="1656"/>
      <c r="L784" s="1696"/>
      <c r="M784" s="1696"/>
      <c r="N784" s="1379"/>
      <c r="O784" s="341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</row>
    <row r="785" spans="1:28" ht="30" customHeight="1" x14ac:dyDescent="0.25">
      <c r="A785" s="1906">
        <v>14</v>
      </c>
      <c r="B785" s="2032"/>
      <c r="C785" s="2033"/>
      <c r="D785" s="2033"/>
      <c r="E785" s="2034"/>
      <c r="F785" s="1639" t="s">
        <v>1646</v>
      </c>
      <c r="G785" s="1587" t="s">
        <v>1844</v>
      </c>
      <c r="H785" s="1300">
        <v>2420</v>
      </c>
      <c r="I785" s="65">
        <f>I779</f>
        <v>72.164000000000001</v>
      </c>
      <c r="J785" s="1617">
        <f t="shared" si="7"/>
        <v>174636.88</v>
      </c>
      <c r="K785" s="1656"/>
      <c r="L785" s="1696"/>
      <c r="M785" s="1696"/>
      <c r="N785" s="1379"/>
      <c r="O785" s="341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  <c r="AA785" s="70"/>
      <c r="AB785" s="70"/>
    </row>
    <row r="786" spans="1:28" ht="15" customHeight="1" x14ac:dyDescent="0.25">
      <c r="A786" s="2069" t="s">
        <v>39</v>
      </c>
      <c r="B786" s="2069"/>
      <c r="C786" s="2069"/>
      <c r="D786" s="2069"/>
      <c r="E786" s="2069"/>
      <c r="F786" s="2069"/>
      <c r="G786" s="1927"/>
      <c r="H786" s="1192" t="s">
        <v>82</v>
      </c>
      <c r="I786" s="1192" t="s">
        <v>82</v>
      </c>
      <c r="J786" s="1192">
        <f>SUM(J776:J785)</f>
        <v>655462.52</v>
      </c>
      <c r="K786" s="344">
        <v>0</v>
      </c>
      <c r="L786" s="81">
        <f>J786-K786</f>
        <v>655462.52</v>
      </c>
      <c r="M786" s="972"/>
      <c r="N786" s="1747"/>
      <c r="O786" s="1741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  <c r="AA786" s="70"/>
      <c r="AB786" s="70"/>
    </row>
    <row r="787" spans="1:28" ht="15" customHeight="1" x14ac:dyDescent="0.25">
      <c r="A787" s="2458" t="s">
        <v>514</v>
      </c>
      <c r="B787" s="2459"/>
      <c r="C787" s="2459"/>
      <c r="D787" s="2459"/>
      <c r="E787" s="2459"/>
      <c r="F787" s="2459"/>
      <c r="G787" s="2459"/>
      <c r="H787" s="2459"/>
      <c r="I787" s="2461"/>
      <c r="J787" s="1542"/>
      <c r="K787" s="344"/>
      <c r="L787" s="81"/>
      <c r="M787" s="972"/>
      <c r="N787" s="1747"/>
      <c r="O787" s="1741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  <c r="AA787" s="70"/>
      <c r="AB787" s="70"/>
    </row>
    <row r="788" spans="1:28" ht="15" customHeight="1" x14ac:dyDescent="0.25">
      <c r="A788" s="1929" t="s">
        <v>2029</v>
      </c>
      <c r="B788" s="1929"/>
      <c r="C788" s="1929"/>
      <c r="D788" s="1929"/>
      <c r="E788" s="1929"/>
      <c r="F788" s="1929"/>
      <c r="G788" s="1929"/>
      <c r="H788" s="1929"/>
      <c r="I788" s="1929"/>
      <c r="J788" s="1363">
        <f>80800-20000</f>
        <v>60800</v>
      </c>
      <c r="K788" s="344"/>
      <c r="L788" s="81"/>
      <c r="M788" s="972"/>
      <c r="N788" s="1747"/>
      <c r="O788" s="1741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  <c r="AA788" s="70"/>
      <c r="AB788" s="70"/>
    </row>
    <row r="789" spans="1:28" ht="15" customHeight="1" x14ac:dyDescent="0.25">
      <c r="A789" s="1929" t="s">
        <v>2030</v>
      </c>
      <c r="B789" s="1929"/>
      <c r="C789" s="1929"/>
      <c r="D789" s="1929"/>
      <c r="E789" s="1929"/>
      <c r="F789" s="1929"/>
      <c r="G789" s="1929"/>
      <c r="H789" s="1929"/>
      <c r="I789" s="1929"/>
      <c r="J789" s="1363">
        <f>J786-J788</f>
        <v>594662.52</v>
      </c>
      <c r="K789" s="344"/>
      <c r="L789" s="81"/>
      <c r="M789" s="972">
        <v>80902.789999999994</v>
      </c>
      <c r="N789" s="1747"/>
      <c r="O789" s="1741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</row>
    <row r="790" spans="1:28" ht="15" customHeight="1" x14ac:dyDescent="0.25">
      <c r="A790" s="1546"/>
      <c r="B790" s="1210"/>
      <c r="C790" s="1210"/>
      <c r="D790" s="1210"/>
      <c r="E790" s="1210"/>
      <c r="F790" s="1210"/>
      <c r="G790" s="1772"/>
      <c r="H790" s="64"/>
      <c r="I790" s="64"/>
      <c r="J790" s="64"/>
      <c r="K790" s="344"/>
      <c r="L790" s="81"/>
      <c r="M790" s="972"/>
      <c r="N790" s="1747"/>
      <c r="O790" s="1741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  <c r="AA790" s="70"/>
      <c r="AB790" s="70"/>
    </row>
    <row r="791" spans="1:28" x14ac:dyDescent="0.25">
      <c r="A791" s="1898" t="s">
        <v>8</v>
      </c>
      <c r="B791" s="1898" t="s">
        <v>35</v>
      </c>
      <c r="C791" s="1898"/>
      <c r="D791" s="1898"/>
      <c r="E791" s="1898"/>
      <c r="F791" s="1898" t="s">
        <v>272</v>
      </c>
      <c r="G791" s="1899" t="s">
        <v>1827</v>
      </c>
      <c r="H791" s="1911"/>
      <c r="I791" s="1911"/>
      <c r="J791" s="1912"/>
      <c r="K791" s="354"/>
      <c r="L791" s="174"/>
      <c r="M791" s="70"/>
      <c r="N791" s="354"/>
      <c r="O791" s="354"/>
    </row>
    <row r="792" spans="1:28" ht="45" x14ac:dyDescent="0.25">
      <c r="A792" s="1898"/>
      <c r="B792" s="1898"/>
      <c r="C792" s="1898"/>
      <c r="D792" s="1898"/>
      <c r="E792" s="1898"/>
      <c r="F792" s="1898"/>
      <c r="G792" s="1581" t="s">
        <v>515</v>
      </c>
      <c r="H792" s="1581" t="s">
        <v>55</v>
      </c>
      <c r="I792" s="1588" t="s">
        <v>265</v>
      </c>
      <c r="J792" s="1588" t="s">
        <v>256</v>
      </c>
      <c r="K792" s="354"/>
      <c r="L792" s="87"/>
      <c r="M792" s="354"/>
      <c r="N792" s="354"/>
      <c r="O792" s="354"/>
    </row>
    <row r="793" spans="1:28" ht="30" hidden="1" x14ac:dyDescent="0.25">
      <c r="A793" s="2042">
        <v>8</v>
      </c>
      <c r="B793" s="1953" t="s">
        <v>59</v>
      </c>
      <c r="C793" s="1930"/>
      <c r="D793" s="1930"/>
      <c r="E793" s="1930"/>
      <c r="F793" s="1175" t="s">
        <v>1646</v>
      </c>
      <c r="G793" s="1612" t="s">
        <v>1842</v>
      </c>
      <c r="H793" s="1363"/>
      <c r="I793" s="1368">
        <v>61.223999999999997</v>
      </c>
      <c r="J793" s="1363">
        <f>H793*I793</f>
        <v>0</v>
      </c>
      <c r="K793" s="87"/>
      <c r="L793" s="1044"/>
      <c r="M793" s="174"/>
      <c r="N793" s="354"/>
      <c r="O793" s="354"/>
    </row>
    <row r="794" spans="1:28" ht="30" hidden="1" customHeight="1" x14ac:dyDescent="0.25">
      <c r="A794" s="2042"/>
      <c r="B794" s="1930"/>
      <c r="C794" s="1930"/>
      <c r="D794" s="1930"/>
      <c r="E794" s="1930"/>
      <c r="F794" s="1175" t="s">
        <v>1646</v>
      </c>
      <c r="G794" s="1620" t="s">
        <v>1843</v>
      </c>
      <c r="H794" s="1363"/>
      <c r="I794" s="1368">
        <v>61.223999999999997</v>
      </c>
      <c r="J794" s="1363">
        <f t="shared" ref="J794:J795" si="8">H794*I794</f>
        <v>0</v>
      </c>
      <c r="K794" s="87"/>
      <c r="L794" s="990"/>
      <c r="M794" s="354"/>
      <c r="N794" s="354"/>
      <c r="O794" s="354"/>
    </row>
    <row r="795" spans="1:28" ht="30" customHeight="1" x14ac:dyDescent="0.25">
      <c r="A795" s="2043"/>
      <c r="B795" s="1930"/>
      <c r="C795" s="1930"/>
      <c r="D795" s="1930"/>
      <c r="E795" s="1930"/>
      <c r="F795" s="1175" t="s">
        <v>1646</v>
      </c>
      <c r="G795" s="1392" t="s">
        <v>1844</v>
      </c>
      <c r="H795" s="1363">
        <v>925</v>
      </c>
      <c r="I795" s="1368">
        <v>67.346000000000004</v>
      </c>
      <c r="J795" s="1363">
        <f t="shared" si="8"/>
        <v>62295.05</v>
      </c>
      <c r="K795" s="87"/>
      <c r="L795" s="990"/>
      <c r="M795" s="722"/>
      <c r="N795" s="354"/>
      <c r="O795" s="354"/>
    </row>
    <row r="796" spans="1:28" ht="30" hidden="1" customHeight="1" x14ac:dyDescent="0.25">
      <c r="A796" s="2042">
        <v>9</v>
      </c>
      <c r="B796" s="1953" t="s">
        <v>84</v>
      </c>
      <c r="C796" s="1930"/>
      <c r="D796" s="1930"/>
      <c r="E796" s="1930"/>
      <c r="F796" s="1175" t="s">
        <v>1679</v>
      </c>
      <c r="G796" s="1612" t="s">
        <v>1842</v>
      </c>
      <c r="H796" s="1363"/>
      <c r="I796" s="1368">
        <v>2365.788</v>
      </c>
      <c r="J796" s="1363">
        <f>H796*I796</f>
        <v>0</v>
      </c>
      <c r="K796" s="354"/>
      <c r="L796" s="1196"/>
      <c r="M796" s="722"/>
      <c r="N796" s="722"/>
      <c r="O796" s="354"/>
    </row>
    <row r="797" spans="1:28" ht="30" hidden="1" customHeight="1" x14ac:dyDescent="0.25">
      <c r="A797" s="2042"/>
      <c r="B797" s="1930"/>
      <c r="C797" s="1930"/>
      <c r="D797" s="1930"/>
      <c r="E797" s="1930"/>
      <c r="F797" s="1175" t="s">
        <v>1679</v>
      </c>
      <c r="G797" s="1620" t="s">
        <v>1843</v>
      </c>
      <c r="H797" s="1363"/>
      <c r="I797" s="1368">
        <v>2365.788</v>
      </c>
      <c r="J797" s="1363">
        <f t="shared" ref="J797:J798" si="9">H797*I797</f>
        <v>0</v>
      </c>
      <c r="K797" s="354"/>
      <c r="L797" s="1196"/>
      <c r="M797" s="722"/>
      <c r="N797" s="722"/>
      <c r="O797" s="354"/>
    </row>
    <row r="798" spans="1:28" ht="30" customHeight="1" x14ac:dyDescent="0.25">
      <c r="A798" s="2043"/>
      <c r="B798" s="1930"/>
      <c r="C798" s="1930"/>
      <c r="D798" s="1930"/>
      <c r="E798" s="1930"/>
      <c r="F798" s="1175" t="s">
        <v>1679</v>
      </c>
      <c r="G798" s="1392" t="s">
        <v>1844</v>
      </c>
      <c r="H798" s="1363">
        <v>105</v>
      </c>
      <c r="I798" s="1368">
        <v>2602.3670000000002</v>
      </c>
      <c r="J798" s="1363">
        <f t="shared" si="9"/>
        <v>273248.53999999998</v>
      </c>
      <c r="K798" s="354"/>
      <c r="L798" s="1196"/>
      <c r="M798" s="722"/>
      <c r="N798" s="722"/>
      <c r="O798" s="354"/>
    </row>
    <row r="799" spans="1:28" ht="15" customHeight="1" x14ac:dyDescent="0.25">
      <c r="A799" s="2035" t="s">
        <v>39</v>
      </c>
      <c r="B799" s="2035"/>
      <c r="C799" s="2035"/>
      <c r="D799" s="2035"/>
      <c r="E799" s="2035"/>
      <c r="F799" s="2035"/>
      <c r="G799" s="2035"/>
      <c r="H799" s="2035"/>
      <c r="I799" s="2035"/>
      <c r="J799" s="1369">
        <f>SUM(J793:J798)</f>
        <v>335543.59000000003</v>
      </c>
      <c r="K799" s="344">
        <v>0</v>
      </c>
      <c r="L799" s="81">
        <f>J799-K799</f>
        <v>335543.59000000003</v>
      </c>
      <c r="M799" s="81"/>
      <c r="N799" s="340"/>
      <c r="O799" s="1047"/>
    </row>
    <row r="800" spans="1:28" s="75" customFormat="1" ht="15" customHeight="1" x14ac:dyDescent="0.25">
      <c r="A800" s="2458" t="s">
        <v>514</v>
      </c>
      <c r="B800" s="2459"/>
      <c r="C800" s="2459"/>
      <c r="D800" s="2459"/>
      <c r="E800" s="2459"/>
      <c r="F800" s="2459"/>
      <c r="G800" s="2459"/>
      <c r="H800" s="2459"/>
      <c r="I800" s="2461"/>
      <c r="J800" s="1542"/>
      <c r="K800" s="99"/>
      <c r="L800" s="1045"/>
      <c r="M800" s="108"/>
      <c r="N800" s="81"/>
    </row>
    <row r="801" spans="1:14" s="75" customFormat="1" ht="15" customHeight="1" x14ac:dyDescent="0.25">
      <c r="A801" s="1929" t="s">
        <v>2029</v>
      </c>
      <c r="B801" s="1929"/>
      <c r="C801" s="1929"/>
      <c r="D801" s="1929"/>
      <c r="E801" s="1929"/>
      <c r="F801" s="1929"/>
      <c r="G801" s="1929"/>
      <c r="H801" s="1929"/>
      <c r="I801" s="1929"/>
      <c r="J801" s="1363">
        <f>46000-10000</f>
        <v>36000</v>
      </c>
      <c r="K801" s="99"/>
      <c r="L801" s="1045"/>
      <c r="M801" s="108"/>
      <c r="N801" s="81"/>
    </row>
    <row r="802" spans="1:14" s="75" customFormat="1" ht="15" customHeight="1" x14ac:dyDescent="0.25">
      <c r="A802" s="1929" t="s">
        <v>2030</v>
      </c>
      <c r="B802" s="1929"/>
      <c r="C802" s="1929"/>
      <c r="D802" s="1929"/>
      <c r="E802" s="1929"/>
      <c r="F802" s="1929"/>
      <c r="G802" s="1929"/>
      <c r="H802" s="1929"/>
      <c r="I802" s="1929"/>
      <c r="J802" s="1363">
        <f>J799-J801</f>
        <v>299543.59000000003</v>
      </c>
      <c r="K802" s="99"/>
      <c r="L802" s="1045"/>
      <c r="M802" s="108"/>
      <c r="N802" s="81"/>
    </row>
    <row r="803" spans="1:14" s="75" customFormat="1" ht="15" customHeight="1" x14ac:dyDescent="0.25">
      <c r="A803" s="1597"/>
      <c r="B803" s="1597"/>
      <c r="C803" s="1597"/>
      <c r="D803" s="1597"/>
      <c r="E803" s="1597"/>
      <c r="F803" s="1597"/>
      <c r="G803" s="1597"/>
      <c r="H803" s="1597"/>
      <c r="I803" s="1597"/>
      <c r="J803" s="109"/>
      <c r="K803" s="99"/>
      <c r="L803" s="1045"/>
      <c r="M803" s="108"/>
      <c r="N803" s="81"/>
    </row>
    <row r="804" spans="1:14" s="1221" customFormat="1" ht="15.75" x14ac:dyDescent="0.25">
      <c r="A804" s="2522" t="s">
        <v>118</v>
      </c>
      <c r="B804" s="2522"/>
      <c r="C804" s="2522"/>
      <c r="D804" s="2522"/>
      <c r="E804" s="2522"/>
      <c r="F804" s="2522"/>
      <c r="G804" s="2522"/>
      <c r="H804" s="2522"/>
      <c r="I804" s="105"/>
      <c r="J804" s="1218">
        <f>J799+J786+J768+J758+J729+J723+J702+J624+J595+J589+J583+J500+J488+J479+J322+J253+J239+J232+J203+J195+J172+J166+J157+J144+J640+J519+J508</f>
        <v>17083370.09</v>
      </c>
      <c r="K804" s="1219" t="b">
        <f>J804=J6</f>
        <v>1</v>
      </c>
      <c r="L804" s="1219">
        <f>J804-J6</f>
        <v>0</v>
      </c>
      <c r="M804" s="1220"/>
      <c r="N804" s="1220"/>
    </row>
    <row r="805" spans="1:14" x14ac:dyDescent="0.25">
      <c r="K805" s="764"/>
      <c r="M805" s="61"/>
      <c r="N805" s="61"/>
    </row>
    <row r="806" spans="1:14" hidden="1" x14ac:dyDescent="0.25">
      <c r="A806" s="715" t="s">
        <v>610</v>
      </c>
      <c r="I806" s="1931" t="s">
        <v>357</v>
      </c>
      <c r="J806" s="1931"/>
    </row>
    <row r="807" spans="1:14" x14ac:dyDescent="0.25">
      <c r="A807" s="803"/>
      <c r="I807" s="69"/>
      <c r="J807" s="1584"/>
    </row>
    <row r="808" spans="1:14" ht="15" customHeight="1" x14ac:dyDescent="0.25">
      <c r="A808" s="803" t="s">
        <v>156</v>
      </c>
      <c r="I808" s="1936" t="s">
        <v>729</v>
      </c>
      <c r="J808" s="1936"/>
    </row>
    <row r="809" spans="1:14" x14ac:dyDescent="0.25">
      <c r="A809" s="803"/>
      <c r="I809" s="69"/>
      <c r="J809" s="1583"/>
    </row>
    <row r="810" spans="1:14" x14ac:dyDescent="0.25">
      <c r="A810" s="803" t="s">
        <v>117</v>
      </c>
      <c r="I810" s="69"/>
      <c r="J810" s="1583"/>
    </row>
    <row r="811" spans="1:14" s="1648" customFormat="1" x14ac:dyDescent="0.25">
      <c r="A811" s="2495" t="s">
        <v>1681</v>
      </c>
      <c r="B811" s="2495"/>
      <c r="C811" s="2495"/>
      <c r="D811" s="2495"/>
      <c r="E811" s="2495"/>
      <c r="F811" s="2495"/>
      <c r="I811" s="1931" t="s">
        <v>243</v>
      </c>
      <c r="J811" s="1931"/>
      <c r="K811" s="91"/>
      <c r="L811" s="91"/>
      <c r="M811" s="91"/>
      <c r="N811" s="91"/>
    </row>
    <row r="812" spans="1:14" ht="19.5" customHeight="1" x14ac:dyDescent="0.25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</row>
    <row r="813" spans="1:14" ht="19.5" customHeight="1" x14ac:dyDescent="0.25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</row>
    <row r="814" spans="1:14" ht="19.5" customHeight="1" x14ac:dyDescent="0.25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</row>
  </sheetData>
  <sheetProtection insertRows="0" deleteRows="0" autoFilter="0"/>
  <dataConsolidate/>
  <mergeCells count="706">
    <mergeCell ref="A787:I787"/>
    <mergeCell ref="A788:I788"/>
    <mergeCell ref="A789:I789"/>
    <mergeCell ref="A800:I800"/>
    <mergeCell ref="A801:I801"/>
    <mergeCell ref="A776:A777"/>
    <mergeCell ref="B776:E777"/>
    <mergeCell ref="A768:I768"/>
    <mergeCell ref="A771:I771"/>
    <mergeCell ref="A772:I772"/>
    <mergeCell ref="A774:A775"/>
    <mergeCell ref="B774:E775"/>
    <mergeCell ref="F774:F775"/>
    <mergeCell ref="G774:J774"/>
    <mergeCell ref="A323:I323"/>
    <mergeCell ref="A324:I324"/>
    <mergeCell ref="A325:I325"/>
    <mergeCell ref="G494:J494"/>
    <mergeCell ref="B494:F495"/>
    <mergeCell ref="A494:A495"/>
    <mergeCell ref="B581:F581"/>
    <mergeCell ref="B582:F582"/>
    <mergeCell ref="A583:I583"/>
    <mergeCell ref="A484:H484"/>
    <mergeCell ref="A485:A486"/>
    <mergeCell ref="B485:E486"/>
    <mergeCell ref="F485:F486"/>
    <mergeCell ref="B487:E487"/>
    <mergeCell ref="A488:I488"/>
    <mergeCell ref="A489:J489"/>
    <mergeCell ref="A490:I490"/>
    <mergeCell ref="A491:I491"/>
    <mergeCell ref="A500:I500"/>
    <mergeCell ref="B539:F540"/>
    <mergeCell ref="B541:F541"/>
    <mergeCell ref="B542:F542"/>
    <mergeCell ref="H539:J539"/>
    <mergeCell ref="G539:G540"/>
    <mergeCell ref="A543:I543"/>
    <mergeCell ref="A710:A711"/>
    <mergeCell ref="B710:F711"/>
    <mergeCell ref="G710:G711"/>
    <mergeCell ref="A666:G666"/>
    <mergeCell ref="G663:G664"/>
    <mergeCell ref="A658:G658"/>
    <mergeCell ref="H654:J654"/>
    <mergeCell ref="B620:F621"/>
    <mergeCell ref="A611:G611"/>
    <mergeCell ref="B563:F563"/>
    <mergeCell ref="A545:I545"/>
    <mergeCell ref="A546:I546"/>
    <mergeCell ref="B594:F594"/>
    <mergeCell ref="B623:F623"/>
    <mergeCell ref="A547:I547"/>
    <mergeCell ref="A550:A551"/>
    <mergeCell ref="B550:F551"/>
    <mergeCell ref="G550:G551"/>
    <mergeCell ref="H550:J550"/>
    <mergeCell ref="B552:F552"/>
    <mergeCell ref="A553:I553"/>
    <mergeCell ref="A554:J554"/>
    <mergeCell ref="A544:J544"/>
    <mergeCell ref="A532:J532"/>
    <mergeCell ref="A534:I534"/>
    <mergeCell ref="A535:I535"/>
    <mergeCell ref="A536:I536"/>
    <mergeCell ref="A531:I531"/>
    <mergeCell ref="A539:A540"/>
    <mergeCell ref="B497:F497"/>
    <mergeCell ref="A533:I533"/>
    <mergeCell ref="B530:F530"/>
    <mergeCell ref="B529:F529"/>
    <mergeCell ref="A526:A527"/>
    <mergeCell ref="B526:F527"/>
    <mergeCell ref="G526:J526"/>
    <mergeCell ref="A528:J528"/>
    <mergeCell ref="A529:A530"/>
    <mergeCell ref="A503:A504"/>
    <mergeCell ref="B503:F504"/>
    <mergeCell ref="G503:J503"/>
    <mergeCell ref="A506:I506"/>
    <mergeCell ref="B505:F505"/>
    <mergeCell ref="A507:J507"/>
    <mergeCell ref="A519:I519"/>
    <mergeCell ref="A508:I508"/>
    <mergeCell ref="A509:I509"/>
    <mergeCell ref="G485:J485"/>
    <mergeCell ref="A476:A477"/>
    <mergeCell ref="B476:E477"/>
    <mergeCell ref="F476:F477"/>
    <mergeCell ref="G476:J476"/>
    <mergeCell ref="B478:E478"/>
    <mergeCell ref="A479:I479"/>
    <mergeCell ref="A480:J480"/>
    <mergeCell ref="A481:I481"/>
    <mergeCell ref="A482:I482"/>
    <mergeCell ref="A555:I555"/>
    <mergeCell ref="A556:I556"/>
    <mergeCell ref="A557:I557"/>
    <mergeCell ref="H560:J560"/>
    <mergeCell ref="A560:A561"/>
    <mergeCell ref="B560:F561"/>
    <mergeCell ref="G560:G561"/>
    <mergeCell ref="A564:G564"/>
    <mergeCell ref="B568:F568"/>
    <mergeCell ref="B562:F562"/>
    <mergeCell ref="B701:F701"/>
    <mergeCell ref="A753:A754"/>
    <mergeCell ref="G753:J753"/>
    <mergeCell ref="A707:G707"/>
    <mergeCell ref="A702:I702"/>
    <mergeCell ref="B696:F696"/>
    <mergeCell ref="B697:F697"/>
    <mergeCell ref="B698:F698"/>
    <mergeCell ref="B699:F699"/>
    <mergeCell ref="B705:F705"/>
    <mergeCell ref="B706:F706"/>
    <mergeCell ref="B733:I733"/>
    <mergeCell ref="B753:E754"/>
    <mergeCell ref="F753:F754"/>
    <mergeCell ref="A729:I729"/>
    <mergeCell ref="A726:A727"/>
    <mergeCell ref="B726:F727"/>
    <mergeCell ref="G726:G727"/>
    <mergeCell ref="H726:J726"/>
    <mergeCell ref="B716:F716"/>
    <mergeCell ref="B719:F719"/>
    <mergeCell ref="B742:F742"/>
    <mergeCell ref="A743:I743"/>
    <mergeCell ref="B717:F717"/>
    <mergeCell ref="B718:F718"/>
    <mergeCell ref="A692:A693"/>
    <mergeCell ref="B695:F695"/>
    <mergeCell ref="A678:G678"/>
    <mergeCell ref="G692:G693"/>
    <mergeCell ref="H692:J692"/>
    <mergeCell ref="B692:F693"/>
    <mergeCell ref="A758:I758"/>
    <mergeCell ref="B734:I734"/>
    <mergeCell ref="A735:I735"/>
    <mergeCell ref="H710:J710"/>
    <mergeCell ref="A723:I723"/>
    <mergeCell ref="B721:F721"/>
    <mergeCell ref="A739:A740"/>
    <mergeCell ref="B739:F740"/>
    <mergeCell ref="G739:G740"/>
    <mergeCell ref="B722:F722"/>
    <mergeCell ref="A712:I712"/>
    <mergeCell ref="B713:F713"/>
    <mergeCell ref="B714:F714"/>
    <mergeCell ref="B715:F715"/>
    <mergeCell ref="B700:F700"/>
    <mergeCell ref="A694:I694"/>
    <mergeCell ref="B688:F688"/>
    <mergeCell ref="A689:G689"/>
    <mergeCell ref="B687:F687"/>
    <mergeCell ref="A640:G640"/>
    <mergeCell ref="B631:F631"/>
    <mergeCell ref="A624:G624"/>
    <mergeCell ref="A629:A630"/>
    <mergeCell ref="B629:F630"/>
    <mergeCell ref="G629:G630"/>
    <mergeCell ref="A667:J667"/>
    <mergeCell ref="G685:G686"/>
    <mergeCell ref="A633:G633"/>
    <mergeCell ref="A637:A638"/>
    <mergeCell ref="A663:A664"/>
    <mergeCell ref="B663:F664"/>
    <mergeCell ref="A685:A686"/>
    <mergeCell ref="B647:F647"/>
    <mergeCell ref="B648:F648"/>
    <mergeCell ref="A649:G649"/>
    <mergeCell ref="A654:A655"/>
    <mergeCell ref="B654:F655"/>
    <mergeCell ref="G654:G655"/>
    <mergeCell ref="H645:J645"/>
    <mergeCell ref="A645:A646"/>
    <mergeCell ref="H637:J637"/>
    <mergeCell ref="H685:J685"/>
    <mergeCell ref="B685:F686"/>
    <mergeCell ref="B676:F676"/>
    <mergeCell ref="B677:F677"/>
    <mergeCell ref="H663:J663"/>
    <mergeCell ref="B665:F665"/>
    <mergeCell ref="B645:F646"/>
    <mergeCell ref="G645:G646"/>
    <mergeCell ref="B637:F638"/>
    <mergeCell ref="B656:F656"/>
    <mergeCell ref="B657:F657"/>
    <mergeCell ref="A671:I671"/>
    <mergeCell ref="A670:I670"/>
    <mergeCell ref="B588:F588"/>
    <mergeCell ref="A589:G589"/>
    <mergeCell ref="A600:A601"/>
    <mergeCell ref="G620:G621"/>
    <mergeCell ref="A607:A608"/>
    <mergeCell ref="B607:F608"/>
    <mergeCell ref="G607:G608"/>
    <mergeCell ref="H607:J607"/>
    <mergeCell ref="B609:F609"/>
    <mergeCell ref="B610:F610"/>
    <mergeCell ref="A614:I614"/>
    <mergeCell ref="B622:F622"/>
    <mergeCell ref="A612:J612"/>
    <mergeCell ref="A613:I613"/>
    <mergeCell ref="A603:G603"/>
    <mergeCell ref="A620:A621"/>
    <mergeCell ref="B600:D601"/>
    <mergeCell ref="E600:J600"/>
    <mergeCell ref="H629:J629"/>
    <mergeCell ref="B639:F639"/>
    <mergeCell ref="B632:F632"/>
    <mergeCell ref="G637:G638"/>
    <mergeCell ref="H620:J620"/>
    <mergeCell ref="A446:I446"/>
    <mergeCell ref="A447:J447"/>
    <mergeCell ref="A428:I428"/>
    <mergeCell ref="A475:H475"/>
    <mergeCell ref="A464:H464"/>
    <mergeCell ref="A471:I471"/>
    <mergeCell ref="A465:A466"/>
    <mergeCell ref="B465:E466"/>
    <mergeCell ref="F465:F466"/>
    <mergeCell ref="G465:J465"/>
    <mergeCell ref="B467:E467"/>
    <mergeCell ref="A472:I472"/>
    <mergeCell ref="A468:I468"/>
    <mergeCell ref="A469:J469"/>
    <mergeCell ref="A470:I470"/>
    <mergeCell ref="A473:I473"/>
    <mergeCell ref="A462:I462"/>
    <mergeCell ref="A448:I448"/>
    <mergeCell ref="A449:I449"/>
    <mergeCell ref="A459:I459"/>
    <mergeCell ref="A460:I460"/>
    <mergeCell ref="A461:I461"/>
    <mergeCell ref="A454:A455"/>
    <mergeCell ref="B454:E455"/>
    <mergeCell ref="F454:F455"/>
    <mergeCell ref="G454:J454"/>
    <mergeCell ref="A450:I450"/>
    <mergeCell ref="A453:H453"/>
    <mergeCell ref="B456:E456"/>
    <mergeCell ref="A457:I457"/>
    <mergeCell ref="A458:J458"/>
    <mergeCell ref="A451:I451"/>
    <mergeCell ref="A409:A410"/>
    <mergeCell ref="B409:E410"/>
    <mergeCell ref="A426:I426"/>
    <mergeCell ref="A427:I427"/>
    <mergeCell ref="B445:E445"/>
    <mergeCell ref="A439:I439"/>
    <mergeCell ref="A440:I440"/>
    <mergeCell ref="A442:H442"/>
    <mergeCell ref="A443:A444"/>
    <mergeCell ref="B443:E444"/>
    <mergeCell ref="F443:F444"/>
    <mergeCell ref="G443:J443"/>
    <mergeCell ref="A437:I437"/>
    <mergeCell ref="A432:A433"/>
    <mergeCell ref="B434:E434"/>
    <mergeCell ref="A435:I435"/>
    <mergeCell ref="A436:J436"/>
    <mergeCell ref="B423:E423"/>
    <mergeCell ref="A419:H419"/>
    <mergeCell ref="G409:J409"/>
    <mergeCell ref="B411:E411"/>
    <mergeCell ref="A413:J413"/>
    <mergeCell ref="A393:J393"/>
    <mergeCell ref="A394:I394"/>
    <mergeCell ref="A396:I396"/>
    <mergeCell ref="A412:I412"/>
    <mergeCell ref="A399:H399"/>
    <mergeCell ref="A400:A401"/>
    <mergeCell ref="B400:E401"/>
    <mergeCell ref="F400:F401"/>
    <mergeCell ref="A429:I429"/>
    <mergeCell ref="A431:H431"/>
    <mergeCell ref="B432:E433"/>
    <mergeCell ref="F432:F433"/>
    <mergeCell ref="G432:J432"/>
    <mergeCell ref="A420:A421"/>
    <mergeCell ref="B402:E402"/>
    <mergeCell ref="G402:H402"/>
    <mergeCell ref="F409:F410"/>
    <mergeCell ref="A414:I414"/>
    <mergeCell ref="A438:I438"/>
    <mergeCell ref="B334:E335"/>
    <mergeCell ref="A425:J425"/>
    <mergeCell ref="B420:E421"/>
    <mergeCell ref="A415:I415"/>
    <mergeCell ref="A417:I417"/>
    <mergeCell ref="F420:F421"/>
    <mergeCell ref="G420:J420"/>
    <mergeCell ref="A416:I416"/>
    <mergeCell ref="B422:E422"/>
    <mergeCell ref="A373:I373"/>
    <mergeCell ref="A397:I397"/>
    <mergeCell ref="G401:H401"/>
    <mergeCell ref="B391:E391"/>
    <mergeCell ref="A392:I392"/>
    <mergeCell ref="A374:I374"/>
    <mergeCell ref="A375:I375"/>
    <mergeCell ref="A383:I383"/>
    <mergeCell ref="A384:I384"/>
    <mergeCell ref="A385:I385"/>
    <mergeCell ref="A355:J355"/>
    <mergeCell ref="A357:I357"/>
    <mergeCell ref="A424:I424"/>
    <mergeCell ref="B380:E380"/>
    <mergeCell ref="B367:E368"/>
    <mergeCell ref="F367:F368"/>
    <mergeCell ref="G367:J367"/>
    <mergeCell ref="A381:I381"/>
    <mergeCell ref="A382:J382"/>
    <mergeCell ref="G400:J400"/>
    <mergeCell ref="A404:J404"/>
    <mergeCell ref="A405:I405"/>
    <mergeCell ref="A406:I406"/>
    <mergeCell ref="A389:A390"/>
    <mergeCell ref="F389:F390"/>
    <mergeCell ref="A372:I372"/>
    <mergeCell ref="A370:I370"/>
    <mergeCell ref="B369:E369"/>
    <mergeCell ref="A378:A379"/>
    <mergeCell ref="B378:E379"/>
    <mergeCell ref="F378:F379"/>
    <mergeCell ref="A388:H388"/>
    <mergeCell ref="A408:H408"/>
    <mergeCell ref="B389:E390"/>
    <mergeCell ref="A395:I395"/>
    <mergeCell ref="G389:J389"/>
    <mergeCell ref="A403:I403"/>
    <mergeCell ref="B333:E333"/>
    <mergeCell ref="G347:J347"/>
    <mergeCell ref="B349:F349"/>
    <mergeCell ref="A339:I339"/>
    <mergeCell ref="B338:E338"/>
    <mergeCell ref="A367:A368"/>
    <mergeCell ref="B351:F351"/>
    <mergeCell ref="B361:F362"/>
    <mergeCell ref="B352:F352"/>
    <mergeCell ref="B353:F353"/>
    <mergeCell ref="A354:I354"/>
    <mergeCell ref="A336:J336"/>
    <mergeCell ref="B337:E337"/>
    <mergeCell ref="B347:F348"/>
    <mergeCell ref="A341:I341"/>
    <mergeCell ref="A334:A335"/>
    <mergeCell ref="G378:J378"/>
    <mergeCell ref="A358:I358"/>
    <mergeCell ref="A386:I386"/>
    <mergeCell ref="A811:F811"/>
    <mergeCell ref="I811:J811"/>
    <mergeCell ref="A804:H804"/>
    <mergeCell ref="I806:J806"/>
    <mergeCell ref="I808:J808"/>
    <mergeCell ref="A778:A779"/>
    <mergeCell ref="B778:E779"/>
    <mergeCell ref="A780:A781"/>
    <mergeCell ref="B780:E781"/>
    <mergeCell ref="A782:A783"/>
    <mergeCell ref="B782:E783"/>
    <mergeCell ref="A793:A795"/>
    <mergeCell ref="B793:E795"/>
    <mergeCell ref="A802:I802"/>
    <mergeCell ref="B791:E792"/>
    <mergeCell ref="F791:F792"/>
    <mergeCell ref="G791:J791"/>
    <mergeCell ref="A796:A798"/>
    <mergeCell ref="B796:E798"/>
    <mergeCell ref="A799:I799"/>
    <mergeCell ref="A784:A785"/>
    <mergeCell ref="B784:E785"/>
    <mergeCell ref="A786:G786"/>
    <mergeCell ref="A791:A792"/>
    <mergeCell ref="A182:J182"/>
    <mergeCell ref="B171:G171"/>
    <mergeCell ref="A172:G172"/>
    <mergeCell ref="B156:F156"/>
    <mergeCell ref="H189:J189"/>
    <mergeCell ref="B165:F165"/>
    <mergeCell ref="A169:A170"/>
    <mergeCell ref="H177:J177"/>
    <mergeCell ref="B177:G178"/>
    <mergeCell ref="A189:A190"/>
    <mergeCell ref="B189:G190"/>
    <mergeCell ref="B169:G170"/>
    <mergeCell ref="G162:J162"/>
    <mergeCell ref="A177:A178"/>
    <mergeCell ref="A157:F157"/>
    <mergeCell ref="H169:J169"/>
    <mergeCell ref="A176:J176"/>
    <mergeCell ref="F58:J58"/>
    <mergeCell ref="B60:E60"/>
    <mergeCell ref="A48:A49"/>
    <mergeCell ref="B51:H51"/>
    <mergeCell ref="A55:I55"/>
    <mergeCell ref="A54:G54"/>
    <mergeCell ref="A68:I68"/>
    <mergeCell ref="A69:I69"/>
    <mergeCell ref="A70:I70"/>
    <mergeCell ref="A61:I61"/>
    <mergeCell ref="A63:I63"/>
    <mergeCell ref="A64:I64"/>
    <mergeCell ref="A65:I65"/>
    <mergeCell ref="A72:J72"/>
    <mergeCell ref="A74:H74"/>
    <mergeCell ref="A73:I73"/>
    <mergeCell ref="B58:E59"/>
    <mergeCell ref="A88:I88"/>
    <mergeCell ref="A89:I89"/>
    <mergeCell ref="A90:I90"/>
    <mergeCell ref="A1:J1"/>
    <mergeCell ref="A3:J3"/>
    <mergeCell ref="A6:I6"/>
    <mergeCell ref="A8:I8"/>
    <mergeCell ref="A12:A13"/>
    <mergeCell ref="D12:J12"/>
    <mergeCell ref="B12:C13"/>
    <mergeCell ref="B14:C14"/>
    <mergeCell ref="B15:C15"/>
    <mergeCell ref="A10:D10"/>
    <mergeCell ref="B16:C16"/>
    <mergeCell ref="B17:C17"/>
    <mergeCell ref="B18:C18"/>
    <mergeCell ref="B19:C19"/>
    <mergeCell ref="A24:J24"/>
    <mergeCell ref="B21:C21"/>
    <mergeCell ref="B20:C20"/>
    <mergeCell ref="A42:I42"/>
    <mergeCell ref="A22:I22"/>
    <mergeCell ref="A28:A29"/>
    <mergeCell ref="B28:F29"/>
    <mergeCell ref="G28:J28"/>
    <mergeCell ref="B30:F30"/>
    <mergeCell ref="A44:H44"/>
    <mergeCell ref="A45:H45"/>
    <mergeCell ref="A58:A59"/>
    <mergeCell ref="A46:H46"/>
    <mergeCell ref="A52:I52"/>
    <mergeCell ref="B48:H49"/>
    <mergeCell ref="I48:J48"/>
    <mergeCell ref="B50:H50"/>
    <mergeCell ref="B40:H40"/>
    <mergeCell ref="B41:H41"/>
    <mergeCell ref="B31:F31"/>
    <mergeCell ref="A32:I32"/>
    <mergeCell ref="A34:H34"/>
    <mergeCell ref="A35:H35"/>
    <mergeCell ref="A36:H36"/>
    <mergeCell ref="A38:A39"/>
    <mergeCell ref="B38:H39"/>
    <mergeCell ref="I38:J38"/>
    <mergeCell ref="B155:F155"/>
    <mergeCell ref="A84:I84"/>
    <mergeCell ref="A85:I85"/>
    <mergeCell ref="B141:I141"/>
    <mergeCell ref="B142:I142"/>
    <mergeCell ref="B143:I143"/>
    <mergeCell ref="B153:F154"/>
    <mergeCell ref="B140:I140"/>
    <mergeCell ref="B114:H114"/>
    <mergeCell ref="H121:J121"/>
    <mergeCell ref="A107:H107"/>
    <mergeCell ref="A110:I110"/>
    <mergeCell ref="B103:H103"/>
    <mergeCell ref="B111:H112"/>
    <mergeCell ref="I111:J111"/>
    <mergeCell ref="A92:H92"/>
    <mergeCell ref="A93:H93"/>
    <mergeCell ref="A94:H94"/>
    <mergeCell ref="B78:H78"/>
    <mergeCell ref="B79:H79"/>
    <mergeCell ref="A80:I80"/>
    <mergeCell ref="A83:I83"/>
    <mergeCell ref="A76:A77"/>
    <mergeCell ref="B76:H77"/>
    <mergeCell ref="I76:J76"/>
    <mergeCell ref="A139:I139"/>
    <mergeCell ref="A108:H108"/>
    <mergeCell ref="B104:H104"/>
    <mergeCell ref="A105:I105"/>
    <mergeCell ref="A97:J97"/>
    <mergeCell ref="A98:H98"/>
    <mergeCell ref="A99:H99"/>
    <mergeCell ref="A109:H109"/>
    <mergeCell ref="B101:H102"/>
    <mergeCell ref="I101:J101"/>
    <mergeCell ref="A115:I115"/>
    <mergeCell ref="A117:I117"/>
    <mergeCell ref="A121:A122"/>
    <mergeCell ref="B121:G122"/>
    <mergeCell ref="A101:A102"/>
    <mergeCell ref="B113:H113"/>
    <mergeCell ref="A111:A112"/>
    <mergeCell ref="B230:I230"/>
    <mergeCell ref="B231:I231"/>
    <mergeCell ref="B287:I287"/>
    <mergeCell ref="A288:I288"/>
    <mergeCell ref="A289:J289"/>
    <mergeCell ref="A290:I290"/>
    <mergeCell ref="A291:I291"/>
    <mergeCell ref="A302:I302"/>
    <mergeCell ref="A203:G203"/>
    <mergeCell ref="A211:I211"/>
    <mergeCell ref="B208:G209"/>
    <mergeCell ref="B244:I244"/>
    <mergeCell ref="A232:I232"/>
    <mergeCell ref="B237:I237"/>
    <mergeCell ref="A265:I265"/>
    <mergeCell ref="B264:I264"/>
    <mergeCell ref="B251:I251"/>
    <mergeCell ref="B252:I252"/>
    <mergeCell ref="B263:I263"/>
    <mergeCell ref="B245:I245"/>
    <mergeCell ref="A246:I246"/>
    <mergeCell ref="A253:I253"/>
    <mergeCell ref="B270:I270"/>
    <mergeCell ref="A303:I303"/>
    <mergeCell ref="A304:I304"/>
    <mergeCell ref="A298:J298"/>
    <mergeCell ref="B285:E285"/>
    <mergeCell ref="A292:I292"/>
    <mergeCell ref="A296:A297"/>
    <mergeCell ref="B296:E297"/>
    <mergeCell ref="F296:F297"/>
    <mergeCell ref="B281:E282"/>
    <mergeCell ref="F281:F282"/>
    <mergeCell ref="G281:J281"/>
    <mergeCell ref="B286:E286"/>
    <mergeCell ref="B299:E299"/>
    <mergeCell ref="A300:I300"/>
    <mergeCell ref="A301:J301"/>
    <mergeCell ref="B284:E284"/>
    <mergeCell ref="A293:I293"/>
    <mergeCell ref="A283:J283"/>
    <mergeCell ref="A200:A201"/>
    <mergeCell ref="B200:G201"/>
    <mergeCell ref="H200:J200"/>
    <mergeCell ref="B202:G202"/>
    <mergeCell ref="A208:A209"/>
    <mergeCell ref="A153:A154"/>
    <mergeCell ref="B123:G123"/>
    <mergeCell ref="B191:G191"/>
    <mergeCell ref="B192:G192"/>
    <mergeCell ref="A146:J146"/>
    <mergeCell ref="A162:A163"/>
    <mergeCell ref="B162:F163"/>
    <mergeCell ref="A180:I180"/>
    <mergeCell ref="A144:I144"/>
    <mergeCell ref="B125:G125"/>
    <mergeCell ref="G153:J153"/>
    <mergeCell ref="B124:G124"/>
    <mergeCell ref="A147:J147"/>
    <mergeCell ref="B164:F164"/>
    <mergeCell ref="A166:F166"/>
    <mergeCell ref="B193:G193"/>
    <mergeCell ref="B194:G194"/>
    <mergeCell ref="A195:I195"/>
    <mergeCell ref="H208:J208"/>
    <mergeCell ref="Y225:Y226"/>
    <mergeCell ref="Z225:AD226"/>
    <mergeCell ref="AE225:AH225"/>
    <mergeCell ref="Z227:AD227"/>
    <mergeCell ref="Z228:AD228"/>
    <mergeCell ref="A213:I213"/>
    <mergeCell ref="B221:I221"/>
    <mergeCell ref="B222:I222"/>
    <mergeCell ref="A223:I223"/>
    <mergeCell ref="Z229:AD229"/>
    <mergeCell ref="Z230:AD230"/>
    <mergeCell ref="Z231:AD231"/>
    <mergeCell ref="Z232:AD232"/>
    <mergeCell ref="Z233:AD233"/>
    <mergeCell ref="Z234:AD234"/>
    <mergeCell ref="Z235:AD235"/>
    <mergeCell ref="Z236:AD236"/>
    <mergeCell ref="Y237:AE237"/>
    <mergeCell ref="Y262:AH262"/>
    <mergeCell ref="Y263:AG263"/>
    <mergeCell ref="Y264:AG264"/>
    <mergeCell ref="Y265:AG265"/>
    <mergeCell ref="Y266:AG266"/>
    <mergeCell ref="Y258:AG258"/>
    <mergeCell ref="Y259:AG259"/>
    <mergeCell ref="Y260:AG260"/>
    <mergeCell ref="Y261:AE261"/>
    <mergeCell ref="Y252:AG252"/>
    <mergeCell ref="Z254:AG254"/>
    <mergeCell ref="Y255:AE255"/>
    <mergeCell ref="Y256:AH256"/>
    <mergeCell ref="Y257:AG257"/>
    <mergeCell ref="Y238:AH238"/>
    <mergeCell ref="Y239:AG239"/>
    <mergeCell ref="Y240:AG240"/>
    <mergeCell ref="Y241:AG241"/>
    <mergeCell ref="Y594:AG594"/>
    <mergeCell ref="Y596:AG596"/>
    <mergeCell ref="Y591:AH591"/>
    <mergeCell ref="B592:F592"/>
    <mergeCell ref="Y592:AG592"/>
    <mergeCell ref="B593:F593"/>
    <mergeCell ref="Y593:AG593"/>
    <mergeCell ref="A595:G595"/>
    <mergeCell ref="Y595:AE595"/>
    <mergeCell ref="Z574:AD574"/>
    <mergeCell ref="Z575:AD575"/>
    <mergeCell ref="Y576:AE576"/>
    <mergeCell ref="Y589:AE589"/>
    <mergeCell ref="Y569:AG569"/>
    <mergeCell ref="Y566:AH566"/>
    <mergeCell ref="Y567:AG567"/>
    <mergeCell ref="Y568:AG568"/>
    <mergeCell ref="Y577:AG577"/>
    <mergeCell ref="Y578:AG578"/>
    <mergeCell ref="Y570:AG570"/>
    <mergeCell ref="Z572:AD572"/>
    <mergeCell ref="Y579:AE579"/>
    <mergeCell ref="Y585:AH585"/>
    <mergeCell ref="Y586:AG586"/>
    <mergeCell ref="Y587:AG587"/>
    <mergeCell ref="Y588:AG588"/>
    <mergeCell ref="B309:I309"/>
    <mergeCell ref="A310:I310"/>
    <mergeCell ref="A305:I305"/>
    <mergeCell ref="B308:I308"/>
    <mergeCell ref="F330:J330"/>
    <mergeCell ref="B238:I238"/>
    <mergeCell ref="A239:I239"/>
    <mergeCell ref="G296:J296"/>
    <mergeCell ref="Z573:AD573"/>
    <mergeCell ref="A332:J332"/>
    <mergeCell ref="B330:E331"/>
    <mergeCell ref="G334:G335"/>
    <mergeCell ref="Y242:AG242"/>
    <mergeCell ref="Z244:AD244"/>
    <mergeCell ref="Z245:AD245"/>
    <mergeCell ref="Z246:AD246"/>
    <mergeCell ref="Y247:AE247"/>
    <mergeCell ref="Y248:AH248"/>
    <mergeCell ref="Y249:AG249"/>
    <mergeCell ref="Y250:AG250"/>
    <mergeCell ref="Y251:AG251"/>
    <mergeCell ref="B269:I269"/>
    <mergeCell ref="A281:A282"/>
    <mergeCell ref="A271:I271"/>
    <mergeCell ref="A317:A318"/>
    <mergeCell ref="B317:E318"/>
    <mergeCell ref="F317:F318"/>
    <mergeCell ref="G317:J317"/>
    <mergeCell ref="A319:A321"/>
    <mergeCell ref="B319:E321"/>
    <mergeCell ref="A322:I322"/>
    <mergeCell ref="H739:J739"/>
    <mergeCell ref="A741:I741"/>
    <mergeCell ref="B720:F720"/>
    <mergeCell ref="A330:A331"/>
    <mergeCell ref="F334:F335"/>
    <mergeCell ref="A361:A362"/>
    <mergeCell ref="A344:I344"/>
    <mergeCell ref="A347:A348"/>
    <mergeCell ref="A356:I356"/>
    <mergeCell ref="G361:J361"/>
    <mergeCell ref="A371:J371"/>
    <mergeCell ref="B363:F363"/>
    <mergeCell ref="A364:I364"/>
    <mergeCell ref="B350:F350"/>
    <mergeCell ref="A340:J340"/>
    <mergeCell ref="A342:I342"/>
    <mergeCell ref="A343:I343"/>
    <mergeCell ref="A763:A764"/>
    <mergeCell ref="B763:E764"/>
    <mergeCell ref="F763:F764"/>
    <mergeCell ref="G763:J763"/>
    <mergeCell ref="A765:A767"/>
    <mergeCell ref="B765:E767"/>
    <mergeCell ref="A770:I770"/>
    <mergeCell ref="A759:I759"/>
    <mergeCell ref="A760:I760"/>
    <mergeCell ref="A761:I761"/>
    <mergeCell ref="A769:I769"/>
    <mergeCell ref="A513:A514"/>
    <mergeCell ref="B513:F514"/>
    <mergeCell ref="G513:J513"/>
    <mergeCell ref="B515:F515"/>
    <mergeCell ref="A516:I516"/>
    <mergeCell ref="A517:J517"/>
    <mergeCell ref="A518:I518"/>
    <mergeCell ref="A755:A757"/>
    <mergeCell ref="B755:E757"/>
    <mergeCell ref="B587:F587"/>
    <mergeCell ref="B567:F567"/>
    <mergeCell ref="A575:A576"/>
    <mergeCell ref="B575:F576"/>
    <mergeCell ref="G575:G576"/>
    <mergeCell ref="B571:F571"/>
    <mergeCell ref="A572:I572"/>
    <mergeCell ref="A578:G578"/>
    <mergeCell ref="H575:J575"/>
    <mergeCell ref="B569:F569"/>
    <mergeCell ref="B570:F570"/>
    <mergeCell ref="B586:F586"/>
    <mergeCell ref="B602:D602"/>
    <mergeCell ref="A668:I668"/>
    <mergeCell ref="A669:I669"/>
  </mergeCells>
  <printOptions horizontalCentered="1"/>
  <pageMargins left="0.78740157480314965" right="0.19685039370078741" top="0.19685039370078741" bottom="0.19685039370078741" header="0" footer="0"/>
  <pageSetup paperSize="9" scale="65" fitToHeight="0" orientation="portrait" r:id="rId1"/>
  <rowBreaks count="4" manualBreakCount="4">
    <brk id="144" max="9" man="1"/>
    <brk id="239" max="9" man="1"/>
    <brk id="520" max="9" man="1"/>
    <brk id="730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31"/>
  <sheetViews>
    <sheetView workbookViewId="0">
      <selection activeCell="L23" sqref="L23"/>
    </sheetView>
  </sheetViews>
  <sheetFormatPr defaultRowHeight="15" x14ac:dyDescent="0.25"/>
  <cols>
    <col min="1" max="3" width="9.140625" style="1012"/>
    <col min="4" max="4" width="14" style="1012" customWidth="1"/>
    <col min="5" max="5" width="23.42578125" style="1012" customWidth="1"/>
    <col min="6" max="6" width="5.5703125" style="1012" customWidth="1"/>
    <col min="7" max="7" width="7.28515625" style="1012" customWidth="1"/>
    <col min="8" max="8" width="11.5703125" style="1012" bestFit="1" customWidth="1"/>
    <col min="9" max="16384" width="9.140625" style="1012"/>
  </cols>
  <sheetData>
    <row r="1" spans="3:9" x14ac:dyDescent="0.25">
      <c r="C1" s="1012" t="s">
        <v>405</v>
      </c>
      <c r="D1" s="1012" t="s">
        <v>1507</v>
      </c>
      <c r="E1" s="1012" t="s">
        <v>1508</v>
      </c>
      <c r="F1" s="1012" t="s">
        <v>305</v>
      </c>
      <c r="G1" s="1012" t="s">
        <v>236</v>
      </c>
      <c r="H1" s="1012" t="s">
        <v>3</v>
      </c>
    </row>
    <row r="2" spans="3:9" x14ac:dyDescent="0.25">
      <c r="C2" s="1013">
        <v>4</v>
      </c>
      <c r="D2" s="1013" t="s">
        <v>624</v>
      </c>
      <c r="E2" s="1013" t="s">
        <v>1477</v>
      </c>
      <c r="F2" s="1013">
        <v>244</v>
      </c>
      <c r="G2" s="1013">
        <v>225</v>
      </c>
      <c r="H2" s="1014" t="e">
        <f>'4 (2025)'!#REF!</f>
        <v>#REF!</v>
      </c>
      <c r="I2" s="1012" t="s">
        <v>1510</v>
      </c>
    </row>
    <row r="3" spans="3:9" x14ac:dyDescent="0.25">
      <c r="C3" s="1013">
        <v>4</v>
      </c>
      <c r="D3" s="1013" t="s">
        <v>624</v>
      </c>
      <c r="E3" s="1013" t="s">
        <v>144</v>
      </c>
      <c r="F3" s="1013">
        <v>244</v>
      </c>
      <c r="G3" s="1013">
        <v>226</v>
      </c>
      <c r="H3" s="1014">
        <f>'4 (2025)'!J560</f>
        <v>753900</v>
      </c>
      <c r="I3" s="1012" t="s">
        <v>1509</v>
      </c>
    </row>
    <row r="4" spans="3:9" x14ac:dyDescent="0.25">
      <c r="C4" s="1013">
        <v>4</v>
      </c>
      <c r="D4" s="1013" t="s">
        <v>731</v>
      </c>
      <c r="E4" s="1013" t="s">
        <v>94</v>
      </c>
      <c r="F4" s="1013">
        <v>244</v>
      </c>
      <c r="G4" s="1013">
        <v>226</v>
      </c>
      <c r="H4" s="1014">
        <f>'4 (2025)'!J570</f>
        <v>1130850</v>
      </c>
      <c r="I4" s="1012" t="s">
        <v>1509</v>
      </c>
    </row>
    <row r="5" spans="3:9" x14ac:dyDescent="0.25">
      <c r="C5" s="1013">
        <v>4</v>
      </c>
      <c r="D5" s="1013" t="s">
        <v>624</v>
      </c>
      <c r="E5" s="1013" t="s">
        <v>1491</v>
      </c>
      <c r="F5" s="1013">
        <v>244</v>
      </c>
      <c r="G5" s="1013">
        <v>226</v>
      </c>
      <c r="H5" s="1014">
        <f>'4 (2025)'!J551+'4 (2025)'!J552</f>
        <v>56304</v>
      </c>
      <c r="I5" s="1012" t="s">
        <v>1510</v>
      </c>
    </row>
    <row r="6" spans="3:9" x14ac:dyDescent="0.25">
      <c r="C6" s="1013">
        <v>4</v>
      </c>
      <c r="D6" s="1013" t="s">
        <v>624</v>
      </c>
      <c r="E6" s="1013" t="s">
        <v>1477</v>
      </c>
      <c r="F6" s="1013">
        <v>244</v>
      </c>
      <c r="G6" s="1013">
        <v>227</v>
      </c>
      <c r="H6" s="1014">
        <f>'4 (2025)'!J603</f>
        <v>0</v>
      </c>
      <c r="I6" s="1012" t="s">
        <v>1510</v>
      </c>
    </row>
    <row r="7" spans="3:9" x14ac:dyDescent="0.25">
      <c r="C7" s="1013">
        <v>4</v>
      </c>
      <c r="D7" s="1013" t="s">
        <v>624</v>
      </c>
      <c r="E7" s="1013" t="s">
        <v>1491</v>
      </c>
      <c r="F7" s="1013">
        <v>244</v>
      </c>
      <c r="G7" s="1013">
        <v>227</v>
      </c>
      <c r="H7" s="1014">
        <f>'4 (2025)'!J614</f>
        <v>14300</v>
      </c>
      <c r="I7" s="1012" t="s">
        <v>1510</v>
      </c>
    </row>
    <row r="8" spans="3:9" x14ac:dyDescent="0.25">
      <c r="C8" s="1013">
        <v>4</v>
      </c>
      <c r="D8" s="1013" t="s">
        <v>624</v>
      </c>
      <c r="E8" s="1013" t="s">
        <v>1477</v>
      </c>
      <c r="F8" s="1013">
        <v>244</v>
      </c>
      <c r="G8" s="1013">
        <v>343</v>
      </c>
      <c r="H8" s="1014">
        <f>'4 (2025)'!J786</f>
        <v>0</v>
      </c>
      <c r="I8" s="1012" t="s">
        <v>1510</v>
      </c>
    </row>
    <row r="9" spans="3:9" x14ac:dyDescent="0.25">
      <c r="C9" s="1013">
        <v>4</v>
      </c>
      <c r="D9" s="1013" t="s">
        <v>624</v>
      </c>
      <c r="E9" s="1013" t="s">
        <v>1491</v>
      </c>
      <c r="F9" s="1013">
        <v>244</v>
      </c>
      <c r="G9" s="1013">
        <v>346</v>
      </c>
      <c r="H9" s="1014">
        <f>'4 (2025)'!J896</f>
        <v>40000</v>
      </c>
      <c r="I9" s="1012" t="s">
        <v>1510</v>
      </c>
    </row>
    <row r="10" spans="3:9" x14ac:dyDescent="0.25">
      <c r="C10" s="1013">
        <v>4</v>
      </c>
      <c r="D10" s="1013" t="s">
        <v>626</v>
      </c>
      <c r="E10" s="1013" t="s">
        <v>67</v>
      </c>
      <c r="F10" s="1013">
        <v>244</v>
      </c>
      <c r="G10" s="1013">
        <v>346</v>
      </c>
      <c r="H10" s="1014">
        <f>'4 (2025)'!J1007</f>
        <v>775400</v>
      </c>
      <c r="I10" s="1012" t="s">
        <v>1510</v>
      </c>
    </row>
    <row r="11" spans="3:9" x14ac:dyDescent="0.25">
      <c r="C11" s="1013">
        <v>5</v>
      </c>
      <c r="D11" s="1013" t="s">
        <v>1497</v>
      </c>
      <c r="E11" s="1013" t="s">
        <v>1477</v>
      </c>
      <c r="F11" s="1013">
        <v>244</v>
      </c>
      <c r="G11" s="1013">
        <v>310</v>
      </c>
      <c r="H11" s="1014">
        <f>'5 (2025)'!G208</f>
        <v>17281</v>
      </c>
      <c r="I11" s="1012" t="s">
        <v>1510</v>
      </c>
    </row>
    <row r="12" spans="3:9" x14ac:dyDescent="0.25">
      <c r="C12" s="1013">
        <v>5</v>
      </c>
      <c r="D12" s="1013" t="s">
        <v>1497</v>
      </c>
      <c r="E12" s="1013" t="s">
        <v>1477</v>
      </c>
      <c r="F12" s="1013">
        <v>244</v>
      </c>
      <c r="G12" s="1013">
        <v>341</v>
      </c>
      <c r="H12" s="1014">
        <f>'5 (2025)'!G226</f>
        <v>16380</v>
      </c>
      <c r="I12" s="1012" t="s">
        <v>1510</v>
      </c>
    </row>
    <row r="13" spans="3:9" x14ac:dyDescent="0.25">
      <c r="C13" s="1013">
        <v>2</v>
      </c>
      <c r="D13" s="1013" t="s">
        <v>1298</v>
      </c>
      <c r="E13" s="1013" t="s">
        <v>34</v>
      </c>
      <c r="F13" s="1013">
        <v>244</v>
      </c>
      <c r="G13" s="1013">
        <v>225</v>
      </c>
      <c r="H13" s="1014" t="e">
        <f>'2 (2025)'!J358+'2 (2025)'!#REF!+'2 (2025)'!J500</f>
        <v>#REF!</v>
      </c>
      <c r="I13" s="1012" t="s">
        <v>1510</v>
      </c>
    </row>
    <row r="14" spans="3:9" x14ac:dyDescent="0.25">
      <c r="C14" s="1013">
        <v>2</v>
      </c>
      <c r="D14" s="1013" t="s">
        <v>1298</v>
      </c>
      <c r="E14" s="1013" t="s">
        <v>34</v>
      </c>
      <c r="F14" s="1013">
        <v>244</v>
      </c>
      <c r="G14" s="1013">
        <v>226</v>
      </c>
      <c r="H14" s="1014" t="e">
        <f>'2 (2025)'!#REF!+'2 (2025)'!#REF!+'2 (2025)'!J572+'2 (2025)'!J589</f>
        <v>#REF!</v>
      </c>
      <c r="I14" s="1012" t="s">
        <v>1510</v>
      </c>
    </row>
    <row r="15" spans="3:9" x14ac:dyDescent="0.25">
      <c r="C15" s="1013">
        <v>2</v>
      </c>
      <c r="D15" s="1013" t="s">
        <v>1298</v>
      </c>
      <c r="E15" s="1013" t="s">
        <v>34</v>
      </c>
      <c r="F15" s="1013">
        <v>244</v>
      </c>
      <c r="G15" s="1013">
        <v>227</v>
      </c>
      <c r="H15" s="1014">
        <f>'2 (2025)'!J614</f>
        <v>0</v>
      </c>
      <c r="I15" s="1012" t="s">
        <v>1510</v>
      </c>
    </row>
    <row r="16" spans="3:9" x14ac:dyDescent="0.25">
      <c r="C16" s="1013">
        <v>2</v>
      </c>
      <c r="D16" s="1013" t="s">
        <v>1298</v>
      </c>
      <c r="E16" s="1013" t="s">
        <v>34</v>
      </c>
      <c r="F16" s="1013">
        <v>244</v>
      </c>
      <c r="G16" s="1013">
        <v>343</v>
      </c>
      <c r="H16" s="1014">
        <f>'2 (2025)'!J670</f>
        <v>0</v>
      </c>
      <c r="I16" s="1012" t="s">
        <v>1510</v>
      </c>
    </row>
    <row r="17" spans="3:9" x14ac:dyDescent="0.25">
      <c r="C17" s="1013">
        <v>2</v>
      </c>
      <c r="D17" s="1013" t="s">
        <v>1298</v>
      </c>
      <c r="E17" s="1013" t="s">
        <v>34</v>
      </c>
      <c r="F17" s="1013">
        <v>244</v>
      </c>
      <c r="G17" s="1013">
        <v>346</v>
      </c>
      <c r="H17" s="1014" t="e">
        <f>'2 (2025)'!#REF!</f>
        <v>#REF!</v>
      </c>
      <c r="I17" s="1012" t="s">
        <v>1510</v>
      </c>
    </row>
    <row r="18" spans="3:9" x14ac:dyDescent="0.25">
      <c r="C18" s="1013">
        <v>2</v>
      </c>
      <c r="D18" s="1013" t="s">
        <v>1298</v>
      </c>
      <c r="E18" s="1013" t="s">
        <v>142</v>
      </c>
      <c r="F18" s="1013">
        <v>244</v>
      </c>
      <c r="G18" s="1013">
        <v>346</v>
      </c>
      <c r="H18" s="1014" t="e">
        <f>'2 (2025)'!#REF!</f>
        <v>#REF!</v>
      </c>
      <c r="I18" s="1012" t="s">
        <v>1510</v>
      </c>
    </row>
    <row r="19" spans="3:9" x14ac:dyDescent="0.25">
      <c r="C19" s="1013"/>
      <c r="D19" s="1013"/>
      <c r="E19" s="1013"/>
      <c r="F19" s="1013"/>
      <c r="G19" s="1013"/>
      <c r="H19" s="1013"/>
    </row>
    <row r="20" spans="3:9" x14ac:dyDescent="0.25">
      <c r="C20" s="1013"/>
      <c r="D20" s="1013"/>
      <c r="E20" s="1013"/>
      <c r="F20" s="1013"/>
      <c r="G20" s="1013"/>
      <c r="H20" s="1013"/>
    </row>
    <row r="21" spans="3:9" x14ac:dyDescent="0.25">
      <c r="C21" s="1013"/>
      <c r="D21" s="1013"/>
      <c r="E21" s="1013"/>
      <c r="F21" s="1013"/>
      <c r="G21" s="1013"/>
      <c r="H21" s="1013"/>
    </row>
    <row r="22" spans="3:9" x14ac:dyDescent="0.25">
      <c r="C22" s="1013"/>
      <c r="D22" s="1013"/>
      <c r="E22" s="1013"/>
      <c r="F22" s="1013"/>
      <c r="G22" s="1013"/>
      <c r="H22" s="1013"/>
    </row>
    <row r="23" spans="3:9" x14ac:dyDescent="0.25">
      <c r="C23" s="1013"/>
      <c r="D23" s="1013"/>
      <c r="E23" s="1013"/>
      <c r="F23" s="1013"/>
      <c r="G23" s="1013"/>
      <c r="H23" s="1013"/>
    </row>
    <row r="24" spans="3:9" x14ac:dyDescent="0.25">
      <c r="C24" s="1013"/>
      <c r="D24" s="1013"/>
      <c r="E24" s="1013"/>
      <c r="F24" s="1013"/>
      <c r="G24" s="1013"/>
      <c r="H24" s="1013"/>
    </row>
    <row r="25" spans="3:9" x14ac:dyDescent="0.25">
      <c r="C25" s="1013"/>
      <c r="D25" s="1013"/>
      <c r="E25" s="1013"/>
      <c r="F25" s="1013"/>
      <c r="G25" s="1013"/>
      <c r="H25" s="1013"/>
    </row>
    <row r="26" spans="3:9" x14ac:dyDescent="0.25">
      <c r="C26" s="1013"/>
      <c r="D26" s="1013"/>
      <c r="E26" s="1013"/>
      <c r="F26" s="1013"/>
      <c r="G26" s="1013"/>
      <c r="H26" s="1013"/>
    </row>
    <row r="27" spans="3:9" x14ac:dyDescent="0.25">
      <c r="C27" s="1013"/>
      <c r="D27" s="1013"/>
      <c r="E27" s="1013"/>
      <c r="F27" s="1013"/>
      <c r="G27" s="1013"/>
      <c r="H27" s="1013"/>
    </row>
    <row r="28" spans="3:9" x14ac:dyDescent="0.25">
      <c r="C28" s="1013"/>
      <c r="D28" s="1013"/>
      <c r="E28" s="1013"/>
      <c r="F28" s="1013"/>
      <c r="G28" s="1013"/>
      <c r="H28" s="1013"/>
    </row>
    <row r="29" spans="3:9" x14ac:dyDescent="0.25">
      <c r="C29" s="1013"/>
      <c r="D29" s="1013"/>
      <c r="E29" s="1013"/>
      <c r="F29" s="1013"/>
      <c r="G29" s="1013"/>
      <c r="H29" s="1013"/>
    </row>
    <row r="30" spans="3:9" x14ac:dyDescent="0.25">
      <c r="C30" s="1013"/>
      <c r="D30" s="1013"/>
      <c r="E30" s="1013"/>
      <c r="F30" s="1013"/>
      <c r="G30" s="1013"/>
      <c r="H30" s="1013"/>
    </row>
    <row r="31" spans="3:9" x14ac:dyDescent="0.25">
      <c r="C31" s="1013"/>
      <c r="D31" s="1013"/>
      <c r="E31" s="1013"/>
      <c r="F31" s="1013"/>
      <c r="G31" s="1013"/>
      <c r="H31" s="101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0"/>
  <sheetViews>
    <sheetView view="pageBreakPreview" topLeftCell="A28" zoomScale="80" zoomScaleNormal="100" zoomScaleSheetLayoutView="80" workbookViewId="0">
      <selection activeCell="F51" sqref="F51"/>
    </sheetView>
  </sheetViews>
  <sheetFormatPr defaultRowHeight="15" x14ac:dyDescent="0.25"/>
  <cols>
    <col min="1" max="1" width="14.5703125" style="526" customWidth="1"/>
    <col min="2" max="2" width="22.5703125" style="526" customWidth="1"/>
    <col min="3" max="3" width="5.140625" style="526" customWidth="1"/>
    <col min="4" max="4" width="8.7109375" style="526" customWidth="1"/>
    <col min="5" max="5" width="56.5703125" style="526" customWidth="1"/>
    <col min="6" max="6" width="14.42578125" style="526" customWidth="1"/>
    <col min="7" max="7" width="15.42578125" style="526" customWidth="1"/>
    <col min="8" max="8" width="16.7109375" style="526" customWidth="1"/>
    <col min="9" max="9" width="81" style="526" customWidth="1"/>
    <col min="10" max="10" width="59.85546875" style="526" customWidth="1"/>
    <col min="11" max="11" width="19.85546875" style="526" customWidth="1"/>
    <col min="12" max="12" width="16.85546875" style="526" customWidth="1"/>
    <col min="13" max="13" width="17.140625" style="526" customWidth="1"/>
    <col min="14" max="256" width="9.140625" style="526"/>
    <col min="257" max="257" width="8.140625" style="526" customWidth="1"/>
    <col min="258" max="258" width="10.140625" style="526" customWidth="1"/>
    <col min="259" max="259" width="21.42578125" style="526" customWidth="1"/>
    <col min="260" max="261" width="8.140625" style="526" customWidth="1"/>
    <col min="262" max="262" width="50.42578125" style="526" customWidth="1"/>
    <col min="263" max="265" width="15.7109375" style="526" customWidth="1"/>
    <col min="266" max="266" width="45" style="526" customWidth="1"/>
    <col min="267" max="512" width="9.140625" style="526"/>
    <col min="513" max="513" width="8.140625" style="526" customWidth="1"/>
    <col min="514" max="514" width="10.140625" style="526" customWidth="1"/>
    <col min="515" max="515" width="21.42578125" style="526" customWidth="1"/>
    <col min="516" max="517" width="8.140625" style="526" customWidth="1"/>
    <col min="518" max="518" width="50.42578125" style="526" customWidth="1"/>
    <col min="519" max="521" width="15.7109375" style="526" customWidth="1"/>
    <col min="522" max="522" width="45" style="526" customWidth="1"/>
    <col min="523" max="768" width="9.140625" style="526"/>
    <col min="769" max="769" width="8.140625" style="526" customWidth="1"/>
    <col min="770" max="770" width="10.140625" style="526" customWidth="1"/>
    <col min="771" max="771" width="21.42578125" style="526" customWidth="1"/>
    <col min="772" max="773" width="8.140625" style="526" customWidth="1"/>
    <col min="774" max="774" width="50.42578125" style="526" customWidth="1"/>
    <col min="775" max="777" width="15.7109375" style="526" customWidth="1"/>
    <col min="778" max="778" width="45" style="526" customWidth="1"/>
    <col min="779" max="1024" width="9.140625" style="526"/>
    <col min="1025" max="1025" width="8.140625" style="526" customWidth="1"/>
    <col min="1026" max="1026" width="10.140625" style="526" customWidth="1"/>
    <col min="1027" max="1027" width="21.42578125" style="526" customWidth="1"/>
    <col min="1028" max="1029" width="8.140625" style="526" customWidth="1"/>
    <col min="1030" max="1030" width="50.42578125" style="526" customWidth="1"/>
    <col min="1031" max="1033" width="15.7109375" style="526" customWidth="1"/>
    <col min="1034" max="1034" width="45" style="526" customWidth="1"/>
    <col min="1035" max="1280" width="9.140625" style="526"/>
    <col min="1281" max="1281" width="8.140625" style="526" customWidth="1"/>
    <col min="1282" max="1282" width="10.140625" style="526" customWidth="1"/>
    <col min="1283" max="1283" width="21.42578125" style="526" customWidth="1"/>
    <col min="1284" max="1285" width="8.140625" style="526" customWidth="1"/>
    <col min="1286" max="1286" width="50.42578125" style="526" customWidth="1"/>
    <col min="1287" max="1289" width="15.7109375" style="526" customWidth="1"/>
    <col min="1290" max="1290" width="45" style="526" customWidth="1"/>
    <col min="1291" max="1536" width="9.140625" style="526"/>
    <col min="1537" max="1537" width="8.140625" style="526" customWidth="1"/>
    <col min="1538" max="1538" width="10.140625" style="526" customWidth="1"/>
    <col min="1539" max="1539" width="21.42578125" style="526" customWidth="1"/>
    <col min="1540" max="1541" width="8.140625" style="526" customWidth="1"/>
    <col min="1542" max="1542" width="50.42578125" style="526" customWidth="1"/>
    <col min="1543" max="1545" width="15.7109375" style="526" customWidth="1"/>
    <col min="1546" max="1546" width="45" style="526" customWidth="1"/>
    <col min="1547" max="1792" width="9.140625" style="526"/>
    <col min="1793" max="1793" width="8.140625" style="526" customWidth="1"/>
    <col min="1794" max="1794" width="10.140625" style="526" customWidth="1"/>
    <col min="1795" max="1795" width="21.42578125" style="526" customWidth="1"/>
    <col min="1796" max="1797" width="8.140625" style="526" customWidth="1"/>
    <col min="1798" max="1798" width="50.42578125" style="526" customWidth="1"/>
    <col min="1799" max="1801" width="15.7109375" style="526" customWidth="1"/>
    <col min="1802" max="1802" width="45" style="526" customWidth="1"/>
    <col min="1803" max="2048" width="9.140625" style="526"/>
    <col min="2049" max="2049" width="8.140625" style="526" customWidth="1"/>
    <col min="2050" max="2050" width="10.140625" style="526" customWidth="1"/>
    <col min="2051" max="2051" width="21.42578125" style="526" customWidth="1"/>
    <col min="2052" max="2053" width="8.140625" style="526" customWidth="1"/>
    <col min="2054" max="2054" width="50.42578125" style="526" customWidth="1"/>
    <col min="2055" max="2057" width="15.7109375" style="526" customWidth="1"/>
    <col min="2058" max="2058" width="45" style="526" customWidth="1"/>
    <col min="2059" max="2304" width="9.140625" style="526"/>
    <col min="2305" max="2305" width="8.140625" style="526" customWidth="1"/>
    <col min="2306" max="2306" width="10.140625" style="526" customWidth="1"/>
    <col min="2307" max="2307" width="21.42578125" style="526" customWidth="1"/>
    <col min="2308" max="2309" width="8.140625" style="526" customWidth="1"/>
    <col min="2310" max="2310" width="50.42578125" style="526" customWidth="1"/>
    <col min="2311" max="2313" width="15.7109375" style="526" customWidth="1"/>
    <col min="2314" max="2314" width="45" style="526" customWidth="1"/>
    <col min="2315" max="2560" width="9.140625" style="526"/>
    <col min="2561" max="2561" width="8.140625" style="526" customWidth="1"/>
    <col min="2562" max="2562" width="10.140625" style="526" customWidth="1"/>
    <col min="2563" max="2563" width="21.42578125" style="526" customWidth="1"/>
    <col min="2564" max="2565" width="8.140625" style="526" customWidth="1"/>
    <col min="2566" max="2566" width="50.42578125" style="526" customWidth="1"/>
    <col min="2567" max="2569" width="15.7109375" style="526" customWidth="1"/>
    <col min="2570" max="2570" width="45" style="526" customWidth="1"/>
    <col min="2571" max="2816" width="9.140625" style="526"/>
    <col min="2817" max="2817" width="8.140625" style="526" customWidth="1"/>
    <col min="2818" max="2818" width="10.140625" style="526" customWidth="1"/>
    <col min="2819" max="2819" width="21.42578125" style="526" customWidth="1"/>
    <col min="2820" max="2821" width="8.140625" style="526" customWidth="1"/>
    <col min="2822" max="2822" width="50.42578125" style="526" customWidth="1"/>
    <col min="2823" max="2825" width="15.7109375" style="526" customWidth="1"/>
    <col min="2826" max="2826" width="45" style="526" customWidth="1"/>
    <col min="2827" max="3072" width="9.140625" style="526"/>
    <col min="3073" max="3073" width="8.140625" style="526" customWidth="1"/>
    <col min="3074" max="3074" width="10.140625" style="526" customWidth="1"/>
    <col min="3075" max="3075" width="21.42578125" style="526" customWidth="1"/>
    <col min="3076" max="3077" width="8.140625" style="526" customWidth="1"/>
    <col min="3078" max="3078" width="50.42578125" style="526" customWidth="1"/>
    <col min="3079" max="3081" width="15.7109375" style="526" customWidth="1"/>
    <col min="3082" max="3082" width="45" style="526" customWidth="1"/>
    <col min="3083" max="3328" width="9.140625" style="526"/>
    <col min="3329" max="3329" width="8.140625" style="526" customWidth="1"/>
    <col min="3330" max="3330" width="10.140625" style="526" customWidth="1"/>
    <col min="3331" max="3331" width="21.42578125" style="526" customWidth="1"/>
    <col min="3332" max="3333" width="8.140625" style="526" customWidth="1"/>
    <col min="3334" max="3334" width="50.42578125" style="526" customWidth="1"/>
    <col min="3335" max="3337" width="15.7109375" style="526" customWidth="1"/>
    <col min="3338" max="3338" width="45" style="526" customWidth="1"/>
    <col min="3339" max="3584" width="9.140625" style="526"/>
    <col min="3585" max="3585" width="8.140625" style="526" customWidth="1"/>
    <col min="3586" max="3586" width="10.140625" style="526" customWidth="1"/>
    <col min="3587" max="3587" width="21.42578125" style="526" customWidth="1"/>
    <col min="3588" max="3589" width="8.140625" style="526" customWidth="1"/>
    <col min="3590" max="3590" width="50.42578125" style="526" customWidth="1"/>
    <col min="3591" max="3593" width="15.7109375" style="526" customWidth="1"/>
    <col min="3594" max="3594" width="45" style="526" customWidth="1"/>
    <col min="3595" max="3840" width="9.140625" style="526"/>
    <col min="3841" max="3841" width="8.140625" style="526" customWidth="1"/>
    <col min="3842" max="3842" width="10.140625" style="526" customWidth="1"/>
    <col min="3843" max="3843" width="21.42578125" style="526" customWidth="1"/>
    <col min="3844" max="3845" width="8.140625" style="526" customWidth="1"/>
    <col min="3846" max="3846" width="50.42578125" style="526" customWidth="1"/>
    <col min="3847" max="3849" width="15.7109375" style="526" customWidth="1"/>
    <col min="3850" max="3850" width="45" style="526" customWidth="1"/>
    <col min="3851" max="4096" width="9.140625" style="526"/>
    <col min="4097" max="4097" width="8.140625" style="526" customWidth="1"/>
    <col min="4098" max="4098" width="10.140625" style="526" customWidth="1"/>
    <col min="4099" max="4099" width="21.42578125" style="526" customWidth="1"/>
    <col min="4100" max="4101" width="8.140625" style="526" customWidth="1"/>
    <col min="4102" max="4102" width="50.42578125" style="526" customWidth="1"/>
    <col min="4103" max="4105" width="15.7109375" style="526" customWidth="1"/>
    <col min="4106" max="4106" width="45" style="526" customWidth="1"/>
    <col min="4107" max="4352" width="9.140625" style="526"/>
    <col min="4353" max="4353" width="8.140625" style="526" customWidth="1"/>
    <col min="4354" max="4354" width="10.140625" style="526" customWidth="1"/>
    <col min="4355" max="4355" width="21.42578125" style="526" customWidth="1"/>
    <col min="4356" max="4357" width="8.140625" style="526" customWidth="1"/>
    <col min="4358" max="4358" width="50.42578125" style="526" customWidth="1"/>
    <col min="4359" max="4361" width="15.7109375" style="526" customWidth="1"/>
    <col min="4362" max="4362" width="45" style="526" customWidth="1"/>
    <col min="4363" max="4608" width="9.140625" style="526"/>
    <col min="4609" max="4609" width="8.140625" style="526" customWidth="1"/>
    <col min="4610" max="4610" width="10.140625" style="526" customWidth="1"/>
    <col min="4611" max="4611" width="21.42578125" style="526" customWidth="1"/>
    <col min="4612" max="4613" width="8.140625" style="526" customWidth="1"/>
    <col min="4614" max="4614" width="50.42578125" style="526" customWidth="1"/>
    <col min="4615" max="4617" width="15.7109375" style="526" customWidth="1"/>
    <col min="4618" max="4618" width="45" style="526" customWidth="1"/>
    <col min="4619" max="4864" width="9.140625" style="526"/>
    <col min="4865" max="4865" width="8.140625" style="526" customWidth="1"/>
    <col min="4866" max="4866" width="10.140625" style="526" customWidth="1"/>
    <col min="4867" max="4867" width="21.42578125" style="526" customWidth="1"/>
    <col min="4868" max="4869" width="8.140625" style="526" customWidth="1"/>
    <col min="4870" max="4870" width="50.42578125" style="526" customWidth="1"/>
    <col min="4871" max="4873" width="15.7109375" style="526" customWidth="1"/>
    <col min="4874" max="4874" width="45" style="526" customWidth="1"/>
    <col min="4875" max="5120" width="9.140625" style="526"/>
    <col min="5121" max="5121" width="8.140625" style="526" customWidth="1"/>
    <col min="5122" max="5122" width="10.140625" style="526" customWidth="1"/>
    <col min="5123" max="5123" width="21.42578125" style="526" customWidth="1"/>
    <col min="5124" max="5125" width="8.140625" style="526" customWidth="1"/>
    <col min="5126" max="5126" width="50.42578125" style="526" customWidth="1"/>
    <col min="5127" max="5129" width="15.7109375" style="526" customWidth="1"/>
    <col min="5130" max="5130" width="45" style="526" customWidth="1"/>
    <col min="5131" max="5376" width="9.140625" style="526"/>
    <col min="5377" max="5377" width="8.140625" style="526" customWidth="1"/>
    <col min="5378" max="5378" width="10.140625" style="526" customWidth="1"/>
    <col min="5379" max="5379" width="21.42578125" style="526" customWidth="1"/>
    <col min="5380" max="5381" width="8.140625" style="526" customWidth="1"/>
    <col min="5382" max="5382" width="50.42578125" style="526" customWidth="1"/>
    <col min="5383" max="5385" width="15.7109375" style="526" customWidth="1"/>
    <col min="5386" max="5386" width="45" style="526" customWidth="1"/>
    <col min="5387" max="5632" width="9.140625" style="526"/>
    <col min="5633" max="5633" width="8.140625" style="526" customWidth="1"/>
    <col min="5634" max="5634" width="10.140625" style="526" customWidth="1"/>
    <col min="5635" max="5635" width="21.42578125" style="526" customWidth="1"/>
    <col min="5636" max="5637" width="8.140625" style="526" customWidth="1"/>
    <col min="5638" max="5638" width="50.42578125" style="526" customWidth="1"/>
    <col min="5639" max="5641" width="15.7109375" style="526" customWidth="1"/>
    <col min="5642" max="5642" width="45" style="526" customWidth="1"/>
    <col min="5643" max="5888" width="9.140625" style="526"/>
    <col min="5889" max="5889" width="8.140625" style="526" customWidth="1"/>
    <col min="5890" max="5890" width="10.140625" style="526" customWidth="1"/>
    <col min="5891" max="5891" width="21.42578125" style="526" customWidth="1"/>
    <col min="5892" max="5893" width="8.140625" style="526" customWidth="1"/>
    <col min="5894" max="5894" width="50.42578125" style="526" customWidth="1"/>
    <col min="5895" max="5897" width="15.7109375" style="526" customWidth="1"/>
    <col min="5898" max="5898" width="45" style="526" customWidth="1"/>
    <col min="5899" max="6144" width="9.140625" style="526"/>
    <col min="6145" max="6145" width="8.140625" style="526" customWidth="1"/>
    <col min="6146" max="6146" width="10.140625" style="526" customWidth="1"/>
    <col min="6147" max="6147" width="21.42578125" style="526" customWidth="1"/>
    <col min="6148" max="6149" width="8.140625" style="526" customWidth="1"/>
    <col min="6150" max="6150" width="50.42578125" style="526" customWidth="1"/>
    <col min="6151" max="6153" width="15.7109375" style="526" customWidth="1"/>
    <col min="6154" max="6154" width="45" style="526" customWidth="1"/>
    <col min="6155" max="6400" width="9.140625" style="526"/>
    <col min="6401" max="6401" width="8.140625" style="526" customWidth="1"/>
    <col min="6402" max="6402" width="10.140625" style="526" customWidth="1"/>
    <col min="6403" max="6403" width="21.42578125" style="526" customWidth="1"/>
    <col min="6404" max="6405" width="8.140625" style="526" customWidth="1"/>
    <col min="6406" max="6406" width="50.42578125" style="526" customWidth="1"/>
    <col min="6407" max="6409" width="15.7109375" style="526" customWidth="1"/>
    <col min="6410" max="6410" width="45" style="526" customWidth="1"/>
    <col min="6411" max="6656" width="9.140625" style="526"/>
    <col min="6657" max="6657" width="8.140625" style="526" customWidth="1"/>
    <col min="6658" max="6658" width="10.140625" style="526" customWidth="1"/>
    <col min="6659" max="6659" width="21.42578125" style="526" customWidth="1"/>
    <col min="6660" max="6661" width="8.140625" style="526" customWidth="1"/>
    <col min="6662" max="6662" width="50.42578125" style="526" customWidth="1"/>
    <col min="6663" max="6665" width="15.7109375" style="526" customWidth="1"/>
    <col min="6666" max="6666" width="45" style="526" customWidth="1"/>
    <col min="6667" max="6912" width="9.140625" style="526"/>
    <col min="6913" max="6913" width="8.140625" style="526" customWidth="1"/>
    <col min="6914" max="6914" width="10.140625" style="526" customWidth="1"/>
    <col min="6915" max="6915" width="21.42578125" style="526" customWidth="1"/>
    <col min="6916" max="6917" width="8.140625" style="526" customWidth="1"/>
    <col min="6918" max="6918" width="50.42578125" style="526" customWidth="1"/>
    <col min="6919" max="6921" width="15.7109375" style="526" customWidth="1"/>
    <col min="6922" max="6922" width="45" style="526" customWidth="1"/>
    <col min="6923" max="7168" width="9.140625" style="526"/>
    <col min="7169" max="7169" width="8.140625" style="526" customWidth="1"/>
    <col min="7170" max="7170" width="10.140625" style="526" customWidth="1"/>
    <col min="7171" max="7171" width="21.42578125" style="526" customWidth="1"/>
    <col min="7172" max="7173" width="8.140625" style="526" customWidth="1"/>
    <col min="7174" max="7174" width="50.42578125" style="526" customWidth="1"/>
    <col min="7175" max="7177" width="15.7109375" style="526" customWidth="1"/>
    <col min="7178" max="7178" width="45" style="526" customWidth="1"/>
    <col min="7179" max="7424" width="9.140625" style="526"/>
    <col min="7425" max="7425" width="8.140625" style="526" customWidth="1"/>
    <col min="7426" max="7426" width="10.140625" style="526" customWidth="1"/>
    <col min="7427" max="7427" width="21.42578125" style="526" customWidth="1"/>
    <col min="7428" max="7429" width="8.140625" style="526" customWidth="1"/>
    <col min="7430" max="7430" width="50.42578125" style="526" customWidth="1"/>
    <col min="7431" max="7433" width="15.7109375" style="526" customWidth="1"/>
    <col min="7434" max="7434" width="45" style="526" customWidth="1"/>
    <col min="7435" max="7680" width="9.140625" style="526"/>
    <col min="7681" max="7681" width="8.140625" style="526" customWidth="1"/>
    <col min="7682" max="7682" width="10.140625" style="526" customWidth="1"/>
    <col min="7683" max="7683" width="21.42578125" style="526" customWidth="1"/>
    <col min="7684" max="7685" width="8.140625" style="526" customWidth="1"/>
    <col min="7686" max="7686" width="50.42578125" style="526" customWidth="1"/>
    <col min="7687" max="7689" width="15.7109375" style="526" customWidth="1"/>
    <col min="7690" max="7690" width="45" style="526" customWidth="1"/>
    <col min="7691" max="7936" width="9.140625" style="526"/>
    <col min="7937" max="7937" width="8.140625" style="526" customWidth="1"/>
    <col min="7938" max="7938" width="10.140625" style="526" customWidth="1"/>
    <col min="7939" max="7939" width="21.42578125" style="526" customWidth="1"/>
    <col min="7940" max="7941" width="8.140625" style="526" customWidth="1"/>
    <col min="7942" max="7942" width="50.42578125" style="526" customWidth="1"/>
    <col min="7943" max="7945" width="15.7109375" style="526" customWidth="1"/>
    <col min="7946" max="7946" width="45" style="526" customWidth="1"/>
    <col min="7947" max="8192" width="9.140625" style="526"/>
    <col min="8193" max="8193" width="8.140625" style="526" customWidth="1"/>
    <col min="8194" max="8194" width="10.140625" style="526" customWidth="1"/>
    <col min="8195" max="8195" width="21.42578125" style="526" customWidth="1"/>
    <col min="8196" max="8197" width="8.140625" style="526" customWidth="1"/>
    <col min="8198" max="8198" width="50.42578125" style="526" customWidth="1"/>
    <col min="8199" max="8201" width="15.7109375" style="526" customWidth="1"/>
    <col min="8202" max="8202" width="45" style="526" customWidth="1"/>
    <col min="8203" max="8448" width="9.140625" style="526"/>
    <col min="8449" max="8449" width="8.140625" style="526" customWidth="1"/>
    <col min="8450" max="8450" width="10.140625" style="526" customWidth="1"/>
    <col min="8451" max="8451" width="21.42578125" style="526" customWidth="1"/>
    <col min="8452" max="8453" width="8.140625" style="526" customWidth="1"/>
    <col min="8454" max="8454" width="50.42578125" style="526" customWidth="1"/>
    <col min="8455" max="8457" width="15.7109375" style="526" customWidth="1"/>
    <col min="8458" max="8458" width="45" style="526" customWidth="1"/>
    <col min="8459" max="8704" width="9.140625" style="526"/>
    <col min="8705" max="8705" width="8.140625" style="526" customWidth="1"/>
    <col min="8706" max="8706" width="10.140625" style="526" customWidth="1"/>
    <col min="8707" max="8707" width="21.42578125" style="526" customWidth="1"/>
    <col min="8708" max="8709" width="8.140625" style="526" customWidth="1"/>
    <col min="8710" max="8710" width="50.42578125" style="526" customWidth="1"/>
    <col min="8711" max="8713" width="15.7109375" style="526" customWidth="1"/>
    <col min="8714" max="8714" width="45" style="526" customWidth="1"/>
    <col min="8715" max="8960" width="9.140625" style="526"/>
    <col min="8961" max="8961" width="8.140625" style="526" customWidth="1"/>
    <col min="8962" max="8962" width="10.140625" style="526" customWidth="1"/>
    <col min="8963" max="8963" width="21.42578125" style="526" customWidth="1"/>
    <col min="8964" max="8965" width="8.140625" style="526" customWidth="1"/>
    <col min="8966" max="8966" width="50.42578125" style="526" customWidth="1"/>
    <col min="8967" max="8969" width="15.7109375" style="526" customWidth="1"/>
    <col min="8970" max="8970" width="45" style="526" customWidth="1"/>
    <col min="8971" max="9216" width="9.140625" style="526"/>
    <col min="9217" max="9217" width="8.140625" style="526" customWidth="1"/>
    <col min="9218" max="9218" width="10.140625" style="526" customWidth="1"/>
    <col min="9219" max="9219" width="21.42578125" style="526" customWidth="1"/>
    <col min="9220" max="9221" width="8.140625" style="526" customWidth="1"/>
    <col min="9222" max="9222" width="50.42578125" style="526" customWidth="1"/>
    <col min="9223" max="9225" width="15.7109375" style="526" customWidth="1"/>
    <col min="9226" max="9226" width="45" style="526" customWidth="1"/>
    <col min="9227" max="9472" width="9.140625" style="526"/>
    <col min="9473" max="9473" width="8.140625" style="526" customWidth="1"/>
    <col min="9474" max="9474" width="10.140625" style="526" customWidth="1"/>
    <col min="9475" max="9475" width="21.42578125" style="526" customWidth="1"/>
    <col min="9476" max="9477" width="8.140625" style="526" customWidth="1"/>
    <col min="9478" max="9478" width="50.42578125" style="526" customWidth="1"/>
    <col min="9479" max="9481" width="15.7109375" style="526" customWidth="1"/>
    <col min="9482" max="9482" width="45" style="526" customWidth="1"/>
    <col min="9483" max="9728" width="9.140625" style="526"/>
    <col min="9729" max="9729" width="8.140625" style="526" customWidth="1"/>
    <col min="9730" max="9730" width="10.140625" style="526" customWidth="1"/>
    <col min="9731" max="9731" width="21.42578125" style="526" customWidth="1"/>
    <col min="9732" max="9733" width="8.140625" style="526" customWidth="1"/>
    <col min="9734" max="9734" width="50.42578125" style="526" customWidth="1"/>
    <col min="9735" max="9737" width="15.7109375" style="526" customWidth="1"/>
    <col min="9738" max="9738" width="45" style="526" customWidth="1"/>
    <col min="9739" max="9984" width="9.140625" style="526"/>
    <col min="9985" max="9985" width="8.140625" style="526" customWidth="1"/>
    <col min="9986" max="9986" width="10.140625" style="526" customWidth="1"/>
    <col min="9987" max="9987" width="21.42578125" style="526" customWidth="1"/>
    <col min="9988" max="9989" width="8.140625" style="526" customWidth="1"/>
    <col min="9990" max="9990" width="50.42578125" style="526" customWidth="1"/>
    <col min="9991" max="9993" width="15.7109375" style="526" customWidth="1"/>
    <col min="9994" max="9994" width="45" style="526" customWidth="1"/>
    <col min="9995" max="10240" width="9.140625" style="526"/>
    <col min="10241" max="10241" width="8.140625" style="526" customWidth="1"/>
    <col min="10242" max="10242" width="10.140625" style="526" customWidth="1"/>
    <col min="10243" max="10243" width="21.42578125" style="526" customWidth="1"/>
    <col min="10244" max="10245" width="8.140625" style="526" customWidth="1"/>
    <col min="10246" max="10246" width="50.42578125" style="526" customWidth="1"/>
    <col min="10247" max="10249" width="15.7109375" style="526" customWidth="1"/>
    <col min="10250" max="10250" width="45" style="526" customWidth="1"/>
    <col min="10251" max="10496" width="9.140625" style="526"/>
    <col min="10497" max="10497" width="8.140625" style="526" customWidth="1"/>
    <col min="10498" max="10498" width="10.140625" style="526" customWidth="1"/>
    <col min="10499" max="10499" width="21.42578125" style="526" customWidth="1"/>
    <col min="10500" max="10501" width="8.140625" style="526" customWidth="1"/>
    <col min="10502" max="10502" width="50.42578125" style="526" customWidth="1"/>
    <col min="10503" max="10505" width="15.7109375" style="526" customWidth="1"/>
    <col min="10506" max="10506" width="45" style="526" customWidth="1"/>
    <col min="10507" max="10752" width="9.140625" style="526"/>
    <col min="10753" max="10753" width="8.140625" style="526" customWidth="1"/>
    <col min="10754" max="10754" width="10.140625" style="526" customWidth="1"/>
    <col min="10755" max="10755" width="21.42578125" style="526" customWidth="1"/>
    <col min="10756" max="10757" width="8.140625" style="526" customWidth="1"/>
    <col min="10758" max="10758" width="50.42578125" style="526" customWidth="1"/>
    <col min="10759" max="10761" width="15.7109375" style="526" customWidth="1"/>
    <col min="10762" max="10762" width="45" style="526" customWidth="1"/>
    <col min="10763" max="11008" width="9.140625" style="526"/>
    <col min="11009" max="11009" width="8.140625" style="526" customWidth="1"/>
    <col min="11010" max="11010" width="10.140625" style="526" customWidth="1"/>
    <col min="11011" max="11011" width="21.42578125" style="526" customWidth="1"/>
    <col min="11012" max="11013" width="8.140625" style="526" customWidth="1"/>
    <col min="11014" max="11014" width="50.42578125" style="526" customWidth="1"/>
    <col min="11015" max="11017" width="15.7109375" style="526" customWidth="1"/>
    <col min="11018" max="11018" width="45" style="526" customWidth="1"/>
    <col min="11019" max="11264" width="9.140625" style="526"/>
    <col min="11265" max="11265" width="8.140625" style="526" customWidth="1"/>
    <col min="11266" max="11266" width="10.140625" style="526" customWidth="1"/>
    <col min="11267" max="11267" width="21.42578125" style="526" customWidth="1"/>
    <col min="11268" max="11269" width="8.140625" style="526" customWidth="1"/>
    <col min="11270" max="11270" width="50.42578125" style="526" customWidth="1"/>
    <col min="11271" max="11273" width="15.7109375" style="526" customWidth="1"/>
    <col min="11274" max="11274" width="45" style="526" customWidth="1"/>
    <col min="11275" max="11520" width="9.140625" style="526"/>
    <col min="11521" max="11521" width="8.140625" style="526" customWidth="1"/>
    <col min="11522" max="11522" width="10.140625" style="526" customWidth="1"/>
    <col min="11523" max="11523" width="21.42578125" style="526" customWidth="1"/>
    <col min="11524" max="11525" width="8.140625" style="526" customWidth="1"/>
    <col min="11526" max="11526" width="50.42578125" style="526" customWidth="1"/>
    <col min="11527" max="11529" width="15.7109375" style="526" customWidth="1"/>
    <col min="11530" max="11530" width="45" style="526" customWidth="1"/>
    <col min="11531" max="11776" width="9.140625" style="526"/>
    <col min="11777" max="11777" width="8.140625" style="526" customWidth="1"/>
    <col min="11778" max="11778" width="10.140625" style="526" customWidth="1"/>
    <col min="11779" max="11779" width="21.42578125" style="526" customWidth="1"/>
    <col min="11780" max="11781" width="8.140625" style="526" customWidth="1"/>
    <col min="11782" max="11782" width="50.42578125" style="526" customWidth="1"/>
    <col min="11783" max="11785" width="15.7109375" style="526" customWidth="1"/>
    <col min="11786" max="11786" width="45" style="526" customWidth="1"/>
    <col min="11787" max="12032" width="9.140625" style="526"/>
    <col min="12033" max="12033" width="8.140625" style="526" customWidth="1"/>
    <col min="12034" max="12034" width="10.140625" style="526" customWidth="1"/>
    <col min="12035" max="12035" width="21.42578125" style="526" customWidth="1"/>
    <col min="12036" max="12037" width="8.140625" style="526" customWidth="1"/>
    <col min="12038" max="12038" width="50.42578125" style="526" customWidth="1"/>
    <col min="12039" max="12041" width="15.7109375" style="526" customWidth="1"/>
    <col min="12042" max="12042" width="45" style="526" customWidth="1"/>
    <col min="12043" max="12288" width="9.140625" style="526"/>
    <col min="12289" max="12289" width="8.140625" style="526" customWidth="1"/>
    <col min="12290" max="12290" width="10.140625" style="526" customWidth="1"/>
    <col min="12291" max="12291" width="21.42578125" style="526" customWidth="1"/>
    <col min="12292" max="12293" width="8.140625" style="526" customWidth="1"/>
    <col min="12294" max="12294" width="50.42578125" style="526" customWidth="1"/>
    <col min="12295" max="12297" width="15.7109375" style="526" customWidth="1"/>
    <col min="12298" max="12298" width="45" style="526" customWidth="1"/>
    <col min="12299" max="12544" width="9.140625" style="526"/>
    <col min="12545" max="12545" width="8.140625" style="526" customWidth="1"/>
    <col min="12546" max="12546" width="10.140625" style="526" customWidth="1"/>
    <col min="12547" max="12547" width="21.42578125" style="526" customWidth="1"/>
    <col min="12548" max="12549" width="8.140625" style="526" customWidth="1"/>
    <col min="12550" max="12550" width="50.42578125" style="526" customWidth="1"/>
    <col min="12551" max="12553" width="15.7109375" style="526" customWidth="1"/>
    <col min="12554" max="12554" width="45" style="526" customWidth="1"/>
    <col min="12555" max="12800" width="9.140625" style="526"/>
    <col min="12801" max="12801" width="8.140625" style="526" customWidth="1"/>
    <col min="12802" max="12802" width="10.140625" style="526" customWidth="1"/>
    <col min="12803" max="12803" width="21.42578125" style="526" customWidth="1"/>
    <col min="12804" max="12805" width="8.140625" style="526" customWidth="1"/>
    <col min="12806" max="12806" width="50.42578125" style="526" customWidth="1"/>
    <col min="12807" max="12809" width="15.7109375" style="526" customWidth="1"/>
    <col min="12810" max="12810" width="45" style="526" customWidth="1"/>
    <col min="12811" max="13056" width="9.140625" style="526"/>
    <col min="13057" max="13057" width="8.140625" style="526" customWidth="1"/>
    <col min="13058" max="13058" width="10.140625" style="526" customWidth="1"/>
    <col min="13059" max="13059" width="21.42578125" style="526" customWidth="1"/>
    <col min="13060" max="13061" width="8.140625" style="526" customWidth="1"/>
    <col min="13062" max="13062" width="50.42578125" style="526" customWidth="1"/>
    <col min="13063" max="13065" width="15.7109375" style="526" customWidth="1"/>
    <col min="13066" max="13066" width="45" style="526" customWidth="1"/>
    <col min="13067" max="13312" width="9.140625" style="526"/>
    <col min="13313" max="13313" width="8.140625" style="526" customWidth="1"/>
    <col min="13314" max="13314" width="10.140625" style="526" customWidth="1"/>
    <col min="13315" max="13315" width="21.42578125" style="526" customWidth="1"/>
    <col min="13316" max="13317" width="8.140625" style="526" customWidth="1"/>
    <col min="13318" max="13318" width="50.42578125" style="526" customWidth="1"/>
    <col min="13319" max="13321" width="15.7109375" style="526" customWidth="1"/>
    <col min="13322" max="13322" width="45" style="526" customWidth="1"/>
    <col min="13323" max="13568" width="9.140625" style="526"/>
    <col min="13569" max="13569" width="8.140625" style="526" customWidth="1"/>
    <col min="13570" max="13570" width="10.140625" style="526" customWidth="1"/>
    <col min="13571" max="13571" width="21.42578125" style="526" customWidth="1"/>
    <col min="13572" max="13573" width="8.140625" style="526" customWidth="1"/>
    <col min="13574" max="13574" width="50.42578125" style="526" customWidth="1"/>
    <col min="13575" max="13577" width="15.7109375" style="526" customWidth="1"/>
    <col min="13578" max="13578" width="45" style="526" customWidth="1"/>
    <col min="13579" max="13824" width="9.140625" style="526"/>
    <col min="13825" max="13825" width="8.140625" style="526" customWidth="1"/>
    <col min="13826" max="13826" width="10.140625" style="526" customWidth="1"/>
    <col min="13827" max="13827" width="21.42578125" style="526" customWidth="1"/>
    <col min="13828" max="13829" width="8.140625" style="526" customWidth="1"/>
    <col min="13830" max="13830" width="50.42578125" style="526" customWidth="1"/>
    <col min="13831" max="13833" width="15.7109375" style="526" customWidth="1"/>
    <col min="13834" max="13834" width="45" style="526" customWidth="1"/>
    <col min="13835" max="14080" width="9.140625" style="526"/>
    <col min="14081" max="14081" width="8.140625" style="526" customWidth="1"/>
    <col min="14082" max="14082" width="10.140625" style="526" customWidth="1"/>
    <col min="14083" max="14083" width="21.42578125" style="526" customWidth="1"/>
    <col min="14084" max="14085" width="8.140625" style="526" customWidth="1"/>
    <col min="14086" max="14086" width="50.42578125" style="526" customWidth="1"/>
    <col min="14087" max="14089" width="15.7109375" style="526" customWidth="1"/>
    <col min="14090" max="14090" width="45" style="526" customWidth="1"/>
    <col min="14091" max="14336" width="9.140625" style="526"/>
    <col min="14337" max="14337" width="8.140625" style="526" customWidth="1"/>
    <col min="14338" max="14338" width="10.140625" style="526" customWidth="1"/>
    <col min="14339" max="14339" width="21.42578125" style="526" customWidth="1"/>
    <col min="14340" max="14341" width="8.140625" style="526" customWidth="1"/>
    <col min="14342" max="14342" width="50.42578125" style="526" customWidth="1"/>
    <col min="14343" max="14345" width="15.7109375" style="526" customWidth="1"/>
    <col min="14346" max="14346" width="45" style="526" customWidth="1"/>
    <col min="14347" max="14592" width="9.140625" style="526"/>
    <col min="14593" max="14593" width="8.140625" style="526" customWidth="1"/>
    <col min="14594" max="14594" width="10.140625" style="526" customWidth="1"/>
    <col min="14595" max="14595" width="21.42578125" style="526" customWidth="1"/>
    <col min="14596" max="14597" width="8.140625" style="526" customWidth="1"/>
    <col min="14598" max="14598" width="50.42578125" style="526" customWidth="1"/>
    <col min="14599" max="14601" width="15.7109375" style="526" customWidth="1"/>
    <col min="14602" max="14602" width="45" style="526" customWidth="1"/>
    <col min="14603" max="14848" width="9.140625" style="526"/>
    <col min="14849" max="14849" width="8.140625" style="526" customWidth="1"/>
    <col min="14850" max="14850" width="10.140625" style="526" customWidth="1"/>
    <col min="14851" max="14851" width="21.42578125" style="526" customWidth="1"/>
    <col min="14852" max="14853" width="8.140625" style="526" customWidth="1"/>
    <col min="14854" max="14854" width="50.42578125" style="526" customWidth="1"/>
    <col min="14855" max="14857" width="15.7109375" style="526" customWidth="1"/>
    <col min="14858" max="14858" width="45" style="526" customWidth="1"/>
    <col min="14859" max="15104" width="9.140625" style="526"/>
    <col min="15105" max="15105" width="8.140625" style="526" customWidth="1"/>
    <col min="15106" max="15106" width="10.140625" style="526" customWidth="1"/>
    <col min="15107" max="15107" width="21.42578125" style="526" customWidth="1"/>
    <col min="15108" max="15109" width="8.140625" style="526" customWidth="1"/>
    <col min="15110" max="15110" width="50.42578125" style="526" customWidth="1"/>
    <col min="15111" max="15113" width="15.7109375" style="526" customWidth="1"/>
    <col min="15114" max="15114" width="45" style="526" customWidth="1"/>
    <col min="15115" max="15360" width="9.140625" style="526"/>
    <col min="15361" max="15361" width="8.140625" style="526" customWidth="1"/>
    <col min="15362" max="15362" width="10.140625" style="526" customWidth="1"/>
    <col min="15363" max="15363" width="21.42578125" style="526" customWidth="1"/>
    <col min="15364" max="15365" width="8.140625" style="526" customWidth="1"/>
    <col min="15366" max="15366" width="50.42578125" style="526" customWidth="1"/>
    <col min="15367" max="15369" width="15.7109375" style="526" customWidth="1"/>
    <col min="15370" max="15370" width="45" style="526" customWidth="1"/>
    <col min="15371" max="15616" width="9.140625" style="526"/>
    <col min="15617" max="15617" width="8.140625" style="526" customWidth="1"/>
    <col min="15618" max="15618" width="10.140625" style="526" customWidth="1"/>
    <col min="15619" max="15619" width="21.42578125" style="526" customWidth="1"/>
    <col min="15620" max="15621" width="8.140625" style="526" customWidth="1"/>
    <col min="15622" max="15622" width="50.42578125" style="526" customWidth="1"/>
    <col min="15623" max="15625" width="15.7109375" style="526" customWidth="1"/>
    <col min="15626" max="15626" width="45" style="526" customWidth="1"/>
    <col min="15627" max="15872" width="9.140625" style="526"/>
    <col min="15873" max="15873" width="8.140625" style="526" customWidth="1"/>
    <col min="15874" max="15874" width="10.140625" style="526" customWidth="1"/>
    <col min="15875" max="15875" width="21.42578125" style="526" customWidth="1"/>
    <col min="15876" max="15877" width="8.140625" style="526" customWidth="1"/>
    <col min="15878" max="15878" width="50.42578125" style="526" customWidth="1"/>
    <col min="15879" max="15881" width="15.7109375" style="526" customWidth="1"/>
    <col min="15882" max="15882" width="45" style="526" customWidth="1"/>
    <col min="15883" max="16128" width="9.140625" style="526"/>
    <col min="16129" max="16129" width="8.140625" style="526" customWidth="1"/>
    <col min="16130" max="16130" width="10.140625" style="526" customWidth="1"/>
    <col min="16131" max="16131" width="21.42578125" style="526" customWidth="1"/>
    <col min="16132" max="16133" width="8.140625" style="526" customWidth="1"/>
    <col min="16134" max="16134" width="50.42578125" style="526" customWidth="1"/>
    <col min="16135" max="16137" width="15.7109375" style="526" customWidth="1"/>
    <col min="16138" max="16138" width="45" style="526" customWidth="1"/>
    <col min="16139" max="16384" width="9.140625" style="526"/>
  </cols>
  <sheetData>
    <row r="1" spans="1:13" s="928" customFormat="1" ht="18.75" x14ac:dyDescent="0.25">
      <c r="A1" s="2541" t="s">
        <v>2144</v>
      </c>
      <c r="B1" s="2541"/>
      <c r="C1" s="2541"/>
      <c r="D1" s="2541"/>
      <c r="E1" s="2541"/>
      <c r="F1" s="2541"/>
      <c r="G1" s="2541"/>
      <c r="H1" s="2541"/>
      <c r="I1" s="2541"/>
    </row>
    <row r="2" spans="1:13" s="928" customFormat="1" ht="18.75" hidden="1" x14ac:dyDescent="0.25">
      <c r="A2" s="2542" t="s">
        <v>1317</v>
      </c>
      <c r="B2" s="2542"/>
      <c r="C2" s="2542"/>
      <c r="D2" s="2542"/>
      <c r="E2" s="2542"/>
      <c r="F2" s="2542"/>
      <c r="G2" s="2542"/>
      <c r="H2" s="2542"/>
      <c r="I2" s="2542"/>
    </row>
    <row r="3" spans="1:13" s="928" customFormat="1" ht="18.75" x14ac:dyDescent="0.3">
      <c r="A3" s="2543" t="s">
        <v>1718</v>
      </c>
      <c r="B3" s="2543"/>
      <c r="C3" s="2543"/>
      <c r="D3" s="2543"/>
      <c r="E3" s="2543"/>
      <c r="F3" s="2543"/>
      <c r="G3" s="2543"/>
      <c r="H3" s="2543"/>
      <c r="I3" s="2543"/>
    </row>
    <row r="4" spans="1:13" s="928" customFormat="1" ht="9.75" customHeight="1" x14ac:dyDescent="0.3">
      <c r="A4" s="1015"/>
      <c r="B4" s="962"/>
      <c r="C4" s="962"/>
      <c r="D4" s="962"/>
      <c r="E4" s="962"/>
      <c r="F4" s="962"/>
      <c r="G4" s="962"/>
      <c r="H4" s="962"/>
      <c r="I4" s="962"/>
    </row>
    <row r="5" spans="1:13" s="928" customFormat="1" ht="63" customHeight="1" x14ac:dyDescent="0.25">
      <c r="A5" s="1016" t="s">
        <v>1449</v>
      </c>
      <c r="B5" s="1016" t="s">
        <v>234</v>
      </c>
      <c r="C5" s="1016" t="s">
        <v>305</v>
      </c>
      <c r="D5" s="682" t="s">
        <v>1450</v>
      </c>
      <c r="E5" s="682" t="s">
        <v>35</v>
      </c>
      <c r="F5" s="682" t="s">
        <v>1451</v>
      </c>
      <c r="G5" s="682" t="s">
        <v>491</v>
      </c>
      <c r="H5" s="682" t="s">
        <v>492</v>
      </c>
      <c r="I5" s="682" t="s">
        <v>1097</v>
      </c>
    </row>
    <row r="6" spans="1:13" s="928" customFormat="1" ht="18.75" x14ac:dyDescent="0.25">
      <c r="A6" s="2544" t="s">
        <v>1459</v>
      </c>
      <c r="B6" s="2544"/>
      <c r="C6" s="2544"/>
      <c r="D6" s="2544"/>
      <c r="E6" s="2544"/>
      <c r="F6" s="2544"/>
      <c r="G6" s="2544"/>
      <c r="H6" s="2544"/>
      <c r="I6" s="2544"/>
    </row>
    <row r="7" spans="1:13" s="928" customFormat="1" x14ac:dyDescent="0.25">
      <c r="A7" s="2545" t="s">
        <v>493</v>
      </c>
      <c r="B7" s="2545"/>
      <c r="C7" s="2545"/>
      <c r="D7" s="2545"/>
      <c r="E7" s="2545"/>
      <c r="F7" s="2545"/>
      <c r="G7" s="2545"/>
      <c r="H7" s="2545"/>
      <c r="I7" s="2545"/>
    </row>
    <row r="8" spans="1:13" s="928" customFormat="1" ht="27.75" customHeight="1" x14ac:dyDescent="0.25">
      <c r="A8" s="2562" t="s">
        <v>2143</v>
      </c>
      <c r="B8" s="2225"/>
      <c r="C8" s="2225"/>
      <c r="D8" s="2225"/>
      <c r="E8" s="2225"/>
      <c r="F8" s="2225"/>
      <c r="G8" s="2225"/>
      <c r="H8" s="2225"/>
      <c r="I8" s="2226"/>
    </row>
    <row r="9" spans="1:13" s="928" customFormat="1" ht="23.25" customHeight="1" x14ac:dyDescent="0.25">
      <c r="A9" s="1016" t="s">
        <v>694</v>
      </c>
      <c r="B9" s="684" t="s">
        <v>1837</v>
      </c>
      <c r="C9" s="1016">
        <v>111</v>
      </c>
      <c r="D9" s="1016">
        <v>211</v>
      </c>
      <c r="E9" s="685" t="s">
        <v>179</v>
      </c>
      <c r="F9" s="686">
        <v>0</v>
      </c>
      <c r="G9" s="686">
        <v>13788055.939999999</v>
      </c>
      <c r="H9" s="686">
        <f>G9-F9</f>
        <v>13788055.939999999</v>
      </c>
      <c r="I9" s="685" t="s">
        <v>1519</v>
      </c>
      <c r="K9" s="943" t="e">
        <f>F9+#REF!-150000</f>
        <v>#REF!</v>
      </c>
      <c r="L9" s="944" t="e">
        <f>K9*100/130.2</f>
        <v>#REF!</v>
      </c>
      <c r="M9" s="944" t="e">
        <f>L9-F9</f>
        <v>#REF!</v>
      </c>
    </row>
    <row r="10" spans="1:13" s="928" customFormat="1" x14ac:dyDescent="0.25">
      <c r="A10" s="2537" t="s">
        <v>1518</v>
      </c>
      <c r="B10" s="2537"/>
      <c r="C10" s="2537"/>
      <c r="D10" s="2537"/>
      <c r="E10" s="2537"/>
      <c r="F10" s="687">
        <f>SUM(F9:F9)</f>
        <v>0</v>
      </c>
      <c r="G10" s="687">
        <f>SUM(G9:G9)</f>
        <v>13788055.939999999</v>
      </c>
      <c r="H10" s="687">
        <f>SUM(H9:H9)</f>
        <v>13788055.939999999</v>
      </c>
      <c r="I10" s="682" t="s">
        <v>82</v>
      </c>
    </row>
    <row r="11" spans="1:13" s="680" customFormat="1" x14ac:dyDescent="0.25">
      <c r="A11" s="2563" t="s">
        <v>2146</v>
      </c>
      <c r="B11" s="2563"/>
      <c r="C11" s="2563"/>
      <c r="D11" s="2563"/>
      <c r="E11" s="2563"/>
      <c r="F11" s="2563"/>
      <c r="G11" s="2563"/>
      <c r="H11" s="2563"/>
      <c r="I11" s="2563"/>
    </row>
    <row r="12" spans="1:13" s="680" customFormat="1" x14ac:dyDescent="0.25">
      <c r="A12" s="1565" t="s">
        <v>693</v>
      </c>
      <c r="B12" s="1161" t="s">
        <v>1830</v>
      </c>
      <c r="C12" s="1565">
        <v>244</v>
      </c>
      <c r="D12" s="1565">
        <v>226</v>
      </c>
      <c r="E12" s="1118" t="s">
        <v>1077</v>
      </c>
      <c r="F12" s="1119">
        <v>0</v>
      </c>
      <c r="G12" s="1119">
        <v>161696.28</v>
      </c>
      <c r="H12" s="1119">
        <f t="shared" ref="H12" si="0">G12-F12</f>
        <v>161696.28</v>
      </c>
      <c r="I12" s="1118" t="s">
        <v>2147</v>
      </c>
    </row>
    <row r="13" spans="1:13" s="680" customFormat="1" x14ac:dyDescent="0.25">
      <c r="A13" s="2551" t="s">
        <v>1517</v>
      </c>
      <c r="B13" s="2551"/>
      <c r="C13" s="2551"/>
      <c r="D13" s="2551"/>
      <c r="E13" s="2551"/>
      <c r="F13" s="1162">
        <f>SUM(F12:F12)</f>
        <v>0</v>
      </c>
      <c r="G13" s="1162">
        <f>SUM(G12:G12)</f>
        <v>161696.28</v>
      </c>
      <c r="H13" s="1162">
        <f>SUM(H12:H12)</f>
        <v>161696.28</v>
      </c>
      <c r="I13" s="1564" t="s">
        <v>82</v>
      </c>
    </row>
    <row r="14" spans="1:13" s="928" customFormat="1" x14ac:dyDescent="0.25">
      <c r="A14" s="2563" t="s">
        <v>496</v>
      </c>
      <c r="B14" s="2563"/>
      <c r="C14" s="2563"/>
      <c r="D14" s="2563"/>
      <c r="E14" s="2563"/>
      <c r="F14" s="2563"/>
      <c r="G14" s="2563"/>
      <c r="H14" s="2563"/>
      <c r="I14" s="2563"/>
    </row>
    <row r="15" spans="1:13" s="928" customFormat="1" ht="30" x14ac:dyDescent="0.25">
      <c r="A15" s="1565" t="s">
        <v>624</v>
      </c>
      <c r="B15" s="1161" t="s">
        <v>1830</v>
      </c>
      <c r="C15" s="1565">
        <v>244</v>
      </c>
      <c r="D15" s="1565">
        <v>226</v>
      </c>
      <c r="E15" s="1118" t="s">
        <v>1077</v>
      </c>
      <c r="F15" s="1119">
        <v>4750978.87</v>
      </c>
      <c r="G15" s="1119">
        <v>4589282.59</v>
      </c>
      <c r="H15" s="1119">
        <f t="shared" ref="H15:H16" si="1">G15-F15</f>
        <v>-161696.28</v>
      </c>
      <c r="I15" s="1118" t="s">
        <v>2145</v>
      </c>
      <c r="J15" s="709"/>
    </row>
    <row r="16" spans="1:13" s="928" customFormat="1" ht="30" x14ac:dyDescent="0.25">
      <c r="A16" s="1565" t="s">
        <v>624</v>
      </c>
      <c r="B16" s="1161" t="s">
        <v>1830</v>
      </c>
      <c r="C16" s="1025">
        <v>247</v>
      </c>
      <c r="D16" s="1025">
        <v>223</v>
      </c>
      <c r="E16" s="1118" t="s">
        <v>456</v>
      </c>
      <c r="F16" s="1119">
        <v>14325175.380000001</v>
      </c>
      <c r="G16" s="1119">
        <f>F16+161696.28</f>
        <v>14486871.66</v>
      </c>
      <c r="H16" s="1119">
        <f t="shared" si="1"/>
        <v>161696.28</v>
      </c>
      <c r="I16" s="1118" t="s">
        <v>2164</v>
      </c>
    </row>
    <row r="17" spans="1:9" s="928" customFormat="1" x14ac:dyDescent="0.25">
      <c r="A17" s="2537" t="s">
        <v>1117</v>
      </c>
      <c r="B17" s="2537"/>
      <c r="C17" s="2537"/>
      <c r="D17" s="2537"/>
      <c r="E17" s="2537"/>
      <c r="F17" s="687">
        <f>SUM(F15:F16)</f>
        <v>19076154.25</v>
      </c>
      <c r="G17" s="687">
        <f t="shared" ref="G17:H17" si="2">SUM(G15:G16)</f>
        <v>19076154.25</v>
      </c>
      <c r="H17" s="687">
        <f t="shared" si="2"/>
        <v>0</v>
      </c>
      <c r="I17" s="682" t="s">
        <v>82</v>
      </c>
    </row>
    <row r="18" spans="1:9" s="928" customFormat="1" x14ac:dyDescent="0.25">
      <c r="A18" s="2545" t="s">
        <v>155</v>
      </c>
      <c r="B18" s="2545"/>
      <c r="C18" s="2545"/>
      <c r="D18" s="2545"/>
      <c r="E18" s="2545"/>
      <c r="F18" s="2545"/>
      <c r="G18" s="2545"/>
      <c r="H18" s="2545"/>
      <c r="I18" s="2545"/>
    </row>
    <row r="19" spans="1:9" s="1027" customFormat="1" ht="29.25" customHeight="1" x14ac:dyDescent="0.25">
      <c r="A19" s="1026"/>
      <c r="B19" s="684" t="s">
        <v>137</v>
      </c>
      <c r="C19" s="684" t="s">
        <v>495</v>
      </c>
      <c r="D19" s="684" t="s">
        <v>537</v>
      </c>
      <c r="E19" s="685" t="s">
        <v>499</v>
      </c>
      <c r="F19" s="686">
        <v>7114860</v>
      </c>
      <c r="G19" s="686">
        <f>F19+1243736.72</f>
        <v>8358596.7199999997</v>
      </c>
      <c r="H19" s="686">
        <f>G19-F19</f>
        <v>1243736.72</v>
      </c>
      <c r="I19" s="1567" t="s">
        <v>2149</v>
      </c>
    </row>
    <row r="20" spans="1:9" s="928" customFormat="1" x14ac:dyDescent="0.25">
      <c r="A20" s="1175" t="s">
        <v>1298</v>
      </c>
      <c r="B20" s="1566" t="s">
        <v>34</v>
      </c>
      <c r="C20" s="1025">
        <v>111</v>
      </c>
      <c r="D20" s="1025">
        <v>211</v>
      </c>
      <c r="E20" s="1118" t="s">
        <v>179</v>
      </c>
      <c r="F20" s="1119">
        <v>2946790.3</v>
      </c>
      <c r="G20" s="1119">
        <v>3748335.9</v>
      </c>
      <c r="H20" s="1119">
        <f t="shared" ref="H20:H22" si="3">G20-F20</f>
        <v>801545.6</v>
      </c>
      <c r="I20" s="1118" t="s">
        <v>2148</v>
      </c>
    </row>
    <row r="21" spans="1:9" s="928" customFormat="1" x14ac:dyDescent="0.25">
      <c r="A21" s="1175" t="s">
        <v>1298</v>
      </c>
      <c r="B21" s="1566" t="s">
        <v>34</v>
      </c>
      <c r="C21" s="1025">
        <v>119</v>
      </c>
      <c r="D21" s="1025">
        <v>213</v>
      </c>
      <c r="E21" s="1118" t="s">
        <v>1428</v>
      </c>
      <c r="F21" s="1119">
        <v>889930.67</v>
      </c>
      <c r="G21" s="1119">
        <v>1131997.44</v>
      </c>
      <c r="H21" s="1119">
        <f t="shared" si="3"/>
        <v>242066.77</v>
      </c>
      <c r="I21" s="1118" t="s">
        <v>2148</v>
      </c>
    </row>
    <row r="22" spans="1:9" s="928" customFormat="1" ht="30" x14ac:dyDescent="0.25">
      <c r="A22" s="1175" t="s">
        <v>1298</v>
      </c>
      <c r="B22" s="1566" t="s">
        <v>34</v>
      </c>
      <c r="C22" s="1565">
        <v>244</v>
      </c>
      <c r="D22" s="1565">
        <v>225</v>
      </c>
      <c r="E22" s="1118" t="s">
        <v>457</v>
      </c>
      <c r="F22" s="1119">
        <v>695664.16</v>
      </c>
      <c r="G22" s="1119">
        <v>895788.51</v>
      </c>
      <c r="H22" s="1119">
        <f t="shared" si="3"/>
        <v>200124.35</v>
      </c>
      <c r="I22" s="1118" t="s">
        <v>2154</v>
      </c>
    </row>
    <row r="23" spans="1:9" s="928" customFormat="1" x14ac:dyDescent="0.25">
      <c r="A23" s="2537" t="s">
        <v>1125</v>
      </c>
      <c r="B23" s="2537"/>
      <c r="C23" s="2537"/>
      <c r="D23" s="2537"/>
      <c r="E23" s="2537"/>
      <c r="F23" s="687">
        <f>SUM(F20:F22)</f>
        <v>4532385.13</v>
      </c>
      <c r="G23" s="687">
        <f t="shared" ref="G23:H23" si="4">SUM(G20:G22)</f>
        <v>5776121.8499999996</v>
      </c>
      <c r="H23" s="687">
        <f t="shared" si="4"/>
        <v>1243736.72</v>
      </c>
      <c r="I23" s="682" t="s">
        <v>82</v>
      </c>
    </row>
    <row r="24" spans="1:9" s="928" customFormat="1" x14ac:dyDescent="0.25">
      <c r="A24" s="2555" t="s">
        <v>2155</v>
      </c>
      <c r="B24" s="2555"/>
      <c r="C24" s="2555"/>
      <c r="D24" s="2555"/>
      <c r="E24" s="2555"/>
      <c r="F24" s="2555"/>
      <c r="G24" s="2555"/>
      <c r="H24" s="2555"/>
      <c r="I24" s="2555"/>
    </row>
    <row r="25" spans="1:9" s="928" customFormat="1" ht="30" x14ac:dyDescent="0.25">
      <c r="A25" s="1565"/>
      <c r="B25" s="1161" t="s">
        <v>136</v>
      </c>
      <c r="C25" s="1161" t="s">
        <v>495</v>
      </c>
      <c r="D25" s="1161" t="s">
        <v>617</v>
      </c>
      <c r="E25" s="1118" t="s">
        <v>2156</v>
      </c>
      <c r="F25" s="1119">
        <v>0</v>
      </c>
      <c r="G25" s="1119">
        <v>45811.5</v>
      </c>
      <c r="H25" s="1119">
        <f t="shared" ref="H25:H26" si="5">G25-F25</f>
        <v>45811.5</v>
      </c>
      <c r="I25" s="1118" t="s">
        <v>2161</v>
      </c>
    </row>
    <row r="26" spans="1:9" s="1027" customFormat="1" ht="30" x14ac:dyDescent="0.25">
      <c r="A26" s="1175" t="s">
        <v>1298</v>
      </c>
      <c r="B26" s="1161" t="s">
        <v>142</v>
      </c>
      <c r="C26" s="1025">
        <v>244</v>
      </c>
      <c r="D26" s="1025">
        <v>225</v>
      </c>
      <c r="E26" s="1118" t="s">
        <v>457</v>
      </c>
      <c r="F26" s="1119">
        <v>0</v>
      </c>
      <c r="G26" s="1119">
        <v>45811.5</v>
      </c>
      <c r="H26" s="1119">
        <f t="shared" si="5"/>
        <v>45811.5</v>
      </c>
      <c r="I26" s="1118" t="s">
        <v>2154</v>
      </c>
    </row>
    <row r="27" spans="1:9" s="928" customFormat="1" x14ac:dyDescent="0.25">
      <c r="A27" s="2551" t="s">
        <v>1104</v>
      </c>
      <c r="B27" s="2551"/>
      <c r="C27" s="2551"/>
      <c r="D27" s="2551"/>
      <c r="E27" s="2551"/>
      <c r="F27" s="1162">
        <f>F26</f>
        <v>0</v>
      </c>
      <c r="G27" s="1162">
        <f t="shared" ref="G27:H27" si="6">G26</f>
        <v>45811.5</v>
      </c>
      <c r="H27" s="1162">
        <f t="shared" si="6"/>
        <v>45811.5</v>
      </c>
      <c r="I27" s="1564" t="s">
        <v>82</v>
      </c>
    </row>
    <row r="28" spans="1:9" s="928" customFormat="1" x14ac:dyDescent="0.25">
      <c r="A28" s="2555" t="s">
        <v>2158</v>
      </c>
      <c r="B28" s="2555"/>
      <c r="C28" s="2555"/>
      <c r="D28" s="2555"/>
      <c r="E28" s="2555"/>
      <c r="F28" s="2555"/>
      <c r="G28" s="2555"/>
      <c r="H28" s="2555"/>
      <c r="I28" s="2555"/>
    </row>
    <row r="29" spans="1:9" s="928" customFormat="1" x14ac:dyDescent="0.25">
      <c r="A29" s="1565"/>
      <c r="B29" s="1161" t="s">
        <v>2160</v>
      </c>
      <c r="C29" s="1161" t="s">
        <v>495</v>
      </c>
      <c r="D29" s="1161" t="s">
        <v>542</v>
      </c>
      <c r="E29" s="1118" t="s">
        <v>2159</v>
      </c>
      <c r="F29" s="1119">
        <v>0</v>
      </c>
      <c r="G29" s="1119">
        <v>200000</v>
      </c>
      <c r="H29" s="1119">
        <f t="shared" ref="H29:H30" si="7">G29-F29</f>
        <v>200000</v>
      </c>
      <c r="I29" s="1118" t="s">
        <v>2162</v>
      </c>
    </row>
    <row r="30" spans="1:9" s="928" customFormat="1" x14ac:dyDescent="0.25">
      <c r="A30" s="1175" t="s">
        <v>1298</v>
      </c>
      <c r="B30" s="1161" t="s">
        <v>828</v>
      </c>
      <c r="C30" s="1025">
        <v>244</v>
      </c>
      <c r="D30" s="1025">
        <v>310</v>
      </c>
      <c r="E30" s="1563" t="s">
        <v>458</v>
      </c>
      <c r="F30" s="1119">
        <v>0</v>
      </c>
      <c r="G30" s="1119">
        <v>200000</v>
      </c>
      <c r="H30" s="1119">
        <f t="shared" si="7"/>
        <v>200000</v>
      </c>
      <c r="I30" s="1118" t="s">
        <v>2163</v>
      </c>
    </row>
    <row r="31" spans="1:9" s="928" customFormat="1" x14ac:dyDescent="0.25">
      <c r="A31" s="2537" t="s">
        <v>2157</v>
      </c>
      <c r="B31" s="2537"/>
      <c r="C31" s="2537"/>
      <c r="D31" s="2537"/>
      <c r="E31" s="2537"/>
      <c r="F31" s="687">
        <f>SUM(F30)</f>
        <v>0</v>
      </c>
      <c r="G31" s="687">
        <f t="shared" ref="G31:H31" si="8">SUM(G30)</f>
        <v>200000</v>
      </c>
      <c r="H31" s="687">
        <f t="shared" si="8"/>
        <v>200000</v>
      </c>
      <c r="I31" s="1017" t="s">
        <v>82</v>
      </c>
    </row>
    <row r="32" spans="1:9" s="928" customFormat="1" x14ac:dyDescent="0.25">
      <c r="A32" s="2537" t="s">
        <v>1385</v>
      </c>
      <c r="B32" s="2537"/>
      <c r="C32" s="2537"/>
      <c r="D32" s="2537"/>
      <c r="E32" s="2537"/>
      <c r="F32" s="687">
        <f>F31+F27+F23+F17+F13+F10</f>
        <v>23608539.379999999</v>
      </c>
      <c r="G32" s="687">
        <f t="shared" ref="G32:H32" si="9">G31+G27+G23+G17+G13+G10</f>
        <v>39047839.82</v>
      </c>
      <c r="H32" s="687">
        <f t="shared" si="9"/>
        <v>15439300.439999999</v>
      </c>
      <c r="I32" s="1016" t="s">
        <v>82</v>
      </c>
    </row>
    <row r="33" spans="1:14" s="928" customFormat="1" x14ac:dyDescent="0.25"/>
    <row r="34" spans="1:14" s="928" customFormat="1" x14ac:dyDescent="0.25">
      <c r="A34" s="395" t="s">
        <v>1515</v>
      </c>
      <c r="B34" s="395"/>
      <c r="C34" s="2"/>
      <c r="D34" s="2"/>
      <c r="E34" s="2"/>
      <c r="F34" s="2"/>
      <c r="G34" s="2"/>
      <c r="H34" s="965"/>
      <c r="I34" s="966" t="s">
        <v>243</v>
      </c>
    </row>
    <row r="35" spans="1:14" s="928" customFormat="1" x14ac:dyDescent="0.25">
      <c r="A35" s="2538"/>
      <c r="B35" s="2538"/>
      <c r="C35" s="2"/>
      <c r="D35" s="2"/>
      <c r="E35" s="2"/>
      <c r="F35" s="2"/>
      <c r="G35" s="2"/>
      <c r="H35" s="2"/>
      <c r="I35" s="966"/>
    </row>
    <row r="36" spans="1:14" s="928" customFormat="1" x14ac:dyDescent="0.25">
      <c r="A36" s="2538" t="s">
        <v>239</v>
      </c>
      <c r="B36" s="2538"/>
      <c r="C36" s="2"/>
      <c r="D36" s="2"/>
      <c r="E36" s="2"/>
      <c r="F36" s="2"/>
      <c r="G36" s="2"/>
      <c r="H36" s="966"/>
      <c r="I36" s="966" t="s">
        <v>729</v>
      </c>
    </row>
    <row r="37" spans="1:14" s="1018" customFormat="1" x14ac:dyDescent="0.25"/>
    <row r="38" spans="1:14" s="928" customFormat="1" ht="18.75" x14ac:dyDescent="0.25">
      <c r="A38" s="2541" t="s">
        <v>2264</v>
      </c>
      <c r="B38" s="2541"/>
      <c r="C38" s="2541"/>
      <c r="D38" s="2541"/>
      <c r="E38" s="2541"/>
      <c r="F38" s="2541"/>
      <c r="G38" s="2541"/>
      <c r="H38" s="2541"/>
      <c r="I38" s="2541"/>
    </row>
    <row r="39" spans="1:14" s="928" customFormat="1" ht="18.75" hidden="1" x14ac:dyDescent="0.25">
      <c r="A39" s="2542" t="s">
        <v>1317</v>
      </c>
      <c r="B39" s="2542"/>
      <c r="C39" s="2542"/>
      <c r="D39" s="2542"/>
      <c r="E39" s="2542"/>
      <c r="F39" s="2542"/>
      <c r="G39" s="2542"/>
      <c r="H39" s="2542"/>
      <c r="I39" s="2542"/>
    </row>
    <row r="40" spans="1:14" s="928" customFormat="1" ht="18.75" x14ac:dyDescent="0.3">
      <c r="A40" s="2543" t="s">
        <v>1718</v>
      </c>
      <c r="B40" s="2543"/>
      <c r="C40" s="2543"/>
      <c r="D40" s="2543"/>
      <c r="E40" s="2543"/>
      <c r="F40" s="2543"/>
      <c r="G40" s="2543"/>
      <c r="H40" s="2543"/>
      <c r="I40" s="2543"/>
    </row>
    <row r="41" spans="1:14" s="928" customFormat="1" ht="9.75" customHeight="1" x14ac:dyDescent="0.3">
      <c r="A41" s="1572"/>
      <c r="B41" s="962"/>
      <c r="C41" s="962"/>
      <c r="D41" s="962"/>
      <c r="E41" s="962"/>
      <c r="F41" s="962"/>
      <c r="G41" s="962"/>
      <c r="H41" s="962"/>
      <c r="I41" s="962"/>
    </row>
    <row r="42" spans="1:14" s="928" customFormat="1" ht="63" customHeight="1" x14ac:dyDescent="0.25">
      <c r="A42" s="1574" t="s">
        <v>1449</v>
      </c>
      <c r="B42" s="1574" t="s">
        <v>234</v>
      </c>
      <c r="C42" s="1574" t="s">
        <v>305</v>
      </c>
      <c r="D42" s="1573" t="s">
        <v>1450</v>
      </c>
      <c r="E42" s="1573" t="s">
        <v>35</v>
      </c>
      <c r="F42" s="1573" t="s">
        <v>1451</v>
      </c>
      <c r="G42" s="1573" t="s">
        <v>491</v>
      </c>
      <c r="H42" s="1573" t="s">
        <v>492</v>
      </c>
      <c r="I42" s="1573" t="s">
        <v>1097</v>
      </c>
    </row>
    <row r="43" spans="1:14" s="928" customFormat="1" ht="18.75" x14ac:dyDescent="0.25">
      <c r="A43" s="2544" t="s">
        <v>1459</v>
      </c>
      <c r="B43" s="2544"/>
      <c r="C43" s="2544"/>
      <c r="D43" s="2544"/>
      <c r="E43" s="2544"/>
      <c r="F43" s="2544"/>
      <c r="G43" s="2544"/>
      <c r="H43" s="2544"/>
      <c r="I43" s="2544"/>
    </row>
    <row r="44" spans="1:14" s="928" customFormat="1" x14ac:dyDescent="0.25">
      <c r="A44" s="2545" t="s">
        <v>493</v>
      </c>
      <c r="B44" s="2545"/>
      <c r="C44" s="2545"/>
      <c r="D44" s="2545"/>
      <c r="E44" s="2545"/>
      <c r="F44" s="2545"/>
      <c r="G44" s="2545"/>
      <c r="H44" s="2545"/>
      <c r="I44" s="2545"/>
    </row>
    <row r="45" spans="1:14" s="928" customFormat="1" ht="30" customHeight="1" x14ac:dyDescent="0.25">
      <c r="A45" s="2549" t="s">
        <v>2249</v>
      </c>
      <c r="B45" s="2550"/>
      <c r="C45" s="2550"/>
      <c r="D45" s="2550"/>
      <c r="E45" s="2550"/>
      <c r="F45" s="2550"/>
      <c r="G45" s="2550"/>
      <c r="H45" s="2550"/>
      <c r="I45" s="2550"/>
    </row>
    <row r="46" spans="1:14" s="1027" customFormat="1" ht="30" x14ac:dyDescent="0.25">
      <c r="A46" s="529" t="s">
        <v>626</v>
      </c>
      <c r="B46" s="530" t="s">
        <v>1837</v>
      </c>
      <c r="C46" s="529">
        <v>244</v>
      </c>
      <c r="D46" s="529">
        <v>310</v>
      </c>
      <c r="E46" s="685" t="s">
        <v>1598</v>
      </c>
      <c r="F46" s="528">
        <v>38193391.299999997</v>
      </c>
      <c r="G46" s="528">
        <f>36633391.3-110000</f>
        <v>36523391.299999997</v>
      </c>
      <c r="H46" s="528">
        <f>G46-F46</f>
        <v>-1670000</v>
      </c>
      <c r="I46" s="1571" t="s">
        <v>2250</v>
      </c>
      <c r="J46" s="709"/>
      <c r="K46" s="1008"/>
      <c r="L46" s="1008"/>
      <c r="M46" s="1008"/>
      <c r="N46" s="1577"/>
    </row>
    <row r="47" spans="1:14" s="1027" customFormat="1" ht="45" x14ac:dyDescent="0.25">
      <c r="A47" s="529" t="s">
        <v>626</v>
      </c>
      <c r="B47" s="530" t="s">
        <v>1837</v>
      </c>
      <c r="C47" s="529">
        <v>244</v>
      </c>
      <c r="D47" s="529">
        <v>226</v>
      </c>
      <c r="E47" s="685" t="s">
        <v>1300</v>
      </c>
      <c r="F47" s="528">
        <v>500000</v>
      </c>
      <c r="G47" s="528">
        <f>2060000+110000</f>
        <v>2170000</v>
      </c>
      <c r="H47" s="528">
        <f>G47-F47</f>
        <v>1670000</v>
      </c>
      <c r="I47" s="1361" t="s">
        <v>2266</v>
      </c>
      <c r="J47" s="1103"/>
    </row>
    <row r="48" spans="1:14" s="928" customFormat="1" x14ac:dyDescent="0.25">
      <c r="A48" s="2537" t="s">
        <v>1352</v>
      </c>
      <c r="B48" s="2537"/>
      <c r="C48" s="2537"/>
      <c r="D48" s="2537"/>
      <c r="E48" s="2537"/>
      <c r="F48" s="687">
        <f>SUM(F46:F47)</f>
        <v>38693391.299999997</v>
      </c>
      <c r="G48" s="687">
        <f>SUM(G46:G47)</f>
        <v>38693391.299999997</v>
      </c>
      <c r="H48" s="687">
        <f>SUM(H46:H47)</f>
        <v>0</v>
      </c>
      <c r="I48" s="1575" t="s">
        <v>82</v>
      </c>
    </row>
    <row r="49" spans="1:10" s="1027" customFormat="1" x14ac:dyDescent="0.25">
      <c r="A49" s="2556" t="s">
        <v>2253</v>
      </c>
      <c r="B49" s="2557"/>
      <c r="C49" s="2557"/>
      <c r="D49" s="2557"/>
      <c r="E49" s="2557"/>
      <c r="F49" s="2557"/>
      <c r="G49" s="2557"/>
      <c r="H49" s="2557"/>
      <c r="I49" s="2558"/>
      <c r="J49" s="1579"/>
    </row>
    <row r="50" spans="1:10" s="1027" customFormat="1" ht="75" x14ac:dyDescent="0.25">
      <c r="A50" s="1578" t="s">
        <v>1968</v>
      </c>
      <c r="B50" s="1118" t="s">
        <v>136</v>
      </c>
      <c r="C50" s="1118" t="s">
        <v>2254</v>
      </c>
      <c r="D50" s="1578" t="s">
        <v>2255</v>
      </c>
      <c r="E50" s="1118" t="s">
        <v>1975</v>
      </c>
      <c r="F50" s="1580">
        <v>0</v>
      </c>
      <c r="G50" s="1580">
        <v>2905.32</v>
      </c>
      <c r="H50" s="1580">
        <f>G50-F50</f>
        <v>2905.32</v>
      </c>
      <c r="I50" s="1118" t="s">
        <v>2256</v>
      </c>
      <c r="J50" s="1579"/>
    </row>
    <row r="51" spans="1:10" s="1027" customFormat="1" ht="75" x14ac:dyDescent="0.25">
      <c r="A51" s="1578" t="s">
        <v>1968</v>
      </c>
      <c r="B51" s="1118" t="s">
        <v>136</v>
      </c>
      <c r="C51" s="1118" t="s">
        <v>2254</v>
      </c>
      <c r="D51" s="1578" t="s">
        <v>2257</v>
      </c>
      <c r="E51" s="1118" t="s">
        <v>1975</v>
      </c>
      <c r="F51" s="1580">
        <v>0</v>
      </c>
      <c r="G51" s="1580">
        <v>-2905.32</v>
      </c>
      <c r="H51" s="1580">
        <f>G51-F51</f>
        <v>-2905.32</v>
      </c>
      <c r="I51" s="1118" t="s">
        <v>2258</v>
      </c>
      <c r="J51" s="1579"/>
    </row>
    <row r="52" spans="1:10" s="1027" customFormat="1" x14ac:dyDescent="0.25">
      <c r="A52" s="2559" t="s">
        <v>2259</v>
      </c>
      <c r="B52" s="2560"/>
      <c r="C52" s="2560"/>
      <c r="D52" s="2560"/>
      <c r="E52" s="2561"/>
      <c r="F52" s="1162">
        <f>SUM(F50:F51)</f>
        <v>0</v>
      </c>
      <c r="G52" s="1162">
        <f>SUM(G50:G51)</f>
        <v>0</v>
      </c>
      <c r="H52" s="1162">
        <f>SUM(H50:H51)</f>
        <v>0</v>
      </c>
      <c r="I52" s="1118"/>
      <c r="J52" s="1579"/>
    </row>
    <row r="53" spans="1:10" s="1265" customFormat="1" x14ac:dyDescent="0.25">
      <c r="A53" s="2537" t="s">
        <v>1389</v>
      </c>
      <c r="B53" s="2537"/>
      <c r="C53" s="2537"/>
      <c r="D53" s="2537"/>
      <c r="E53" s="2537"/>
      <c r="F53" s="687">
        <f>F48+F52</f>
        <v>38693391.299999997</v>
      </c>
      <c r="G53" s="687">
        <f t="shared" ref="G53:H53" si="10">G48+G52</f>
        <v>38693391.299999997</v>
      </c>
      <c r="H53" s="687">
        <f t="shared" si="10"/>
        <v>0</v>
      </c>
      <c r="I53" s="1576" t="s">
        <v>82</v>
      </c>
    </row>
    <row r="54" spans="1:10" s="1265" customFormat="1" x14ac:dyDescent="0.25"/>
    <row r="55" spans="1:10" s="928" customFormat="1" x14ac:dyDescent="0.25">
      <c r="A55" s="395" t="s">
        <v>1515</v>
      </c>
      <c r="B55" s="395"/>
      <c r="C55" s="2"/>
      <c r="D55" s="2"/>
      <c r="E55" s="2"/>
      <c r="F55" s="2"/>
      <c r="G55" s="2"/>
      <c r="H55" s="965"/>
      <c r="I55" s="966" t="s">
        <v>243</v>
      </c>
    </row>
    <row r="56" spans="1:10" s="928" customFormat="1" x14ac:dyDescent="0.25">
      <c r="A56" s="2538"/>
      <c r="B56" s="2538"/>
      <c r="C56" s="2"/>
      <c r="D56" s="2"/>
      <c r="E56" s="2"/>
      <c r="F56" s="2"/>
      <c r="G56" s="2"/>
      <c r="H56" s="2"/>
      <c r="I56" s="966"/>
    </row>
    <row r="57" spans="1:10" s="928" customFormat="1" x14ac:dyDescent="0.25">
      <c r="A57" s="2538" t="s">
        <v>239</v>
      </c>
      <c r="B57" s="2538"/>
      <c r="C57" s="2"/>
      <c r="D57" s="2"/>
      <c r="E57" s="2"/>
      <c r="F57" s="2"/>
      <c r="G57" s="2"/>
      <c r="H57" s="966"/>
      <c r="I57" s="966" t="s">
        <v>729</v>
      </c>
    </row>
    <row r="58" spans="1:10" s="1265" customFormat="1" x14ac:dyDescent="0.25"/>
    <row r="59" spans="1:10" s="1265" customFormat="1" x14ac:dyDescent="0.25"/>
    <row r="60" spans="1:10" s="1265" customFormat="1" x14ac:dyDescent="0.25"/>
    <row r="61" spans="1:10" s="1265" customFormat="1" x14ac:dyDescent="0.25"/>
    <row r="62" spans="1:10" s="1265" customFormat="1" x14ac:dyDescent="0.25"/>
    <row r="63" spans="1:10" s="1265" customFormat="1" x14ac:dyDescent="0.25"/>
    <row r="64" spans="1:10" s="1265" customFormat="1" x14ac:dyDescent="0.25"/>
    <row r="65" spans="1:9" s="928" customFormat="1" ht="18.75" x14ac:dyDescent="0.25">
      <c r="A65" s="2541" t="s">
        <v>1525</v>
      </c>
      <c r="B65" s="2541"/>
      <c r="C65" s="2541"/>
      <c r="D65" s="2541"/>
      <c r="E65" s="2541"/>
      <c r="F65" s="2541"/>
      <c r="G65" s="2541"/>
      <c r="H65" s="2541"/>
      <c r="I65" s="2541"/>
    </row>
    <row r="66" spans="1:9" s="928" customFormat="1" ht="18.75" hidden="1" x14ac:dyDescent="0.25">
      <c r="A66" s="2542" t="s">
        <v>1317</v>
      </c>
      <c r="B66" s="2542"/>
      <c r="C66" s="2542"/>
      <c r="D66" s="2542"/>
      <c r="E66" s="2542"/>
      <c r="F66" s="2542"/>
      <c r="G66" s="2542"/>
      <c r="H66" s="2542"/>
      <c r="I66" s="2542"/>
    </row>
    <row r="67" spans="1:9" s="928" customFormat="1" ht="18.75" x14ac:dyDescent="0.3">
      <c r="A67" s="2543" t="s">
        <v>1516</v>
      </c>
      <c r="B67" s="2543"/>
      <c r="C67" s="2543"/>
      <c r="D67" s="2543"/>
      <c r="E67" s="2543"/>
      <c r="F67" s="2543"/>
      <c r="G67" s="2543"/>
      <c r="H67" s="2543"/>
      <c r="I67" s="2543"/>
    </row>
    <row r="68" spans="1:9" s="928" customFormat="1" ht="9.75" customHeight="1" x14ac:dyDescent="0.3">
      <c r="A68" s="1040"/>
      <c r="B68" s="962"/>
      <c r="C68" s="962"/>
      <c r="D68" s="962"/>
      <c r="E68" s="962"/>
      <c r="F68" s="962"/>
      <c r="G68" s="962"/>
      <c r="H68" s="962"/>
      <c r="I68" s="962"/>
    </row>
    <row r="69" spans="1:9" s="928" customFormat="1" ht="48.75" customHeight="1" x14ac:dyDescent="0.25">
      <c r="A69" s="1041" t="s">
        <v>1449</v>
      </c>
      <c r="B69" s="1041" t="s">
        <v>234</v>
      </c>
      <c r="C69" s="1041" t="s">
        <v>305</v>
      </c>
      <c r="D69" s="682" t="s">
        <v>1450</v>
      </c>
      <c r="E69" s="682" t="s">
        <v>35</v>
      </c>
      <c r="F69" s="682" t="s">
        <v>1451</v>
      </c>
      <c r="G69" s="682" t="s">
        <v>491</v>
      </c>
      <c r="H69" s="682" t="s">
        <v>492</v>
      </c>
      <c r="I69" s="682" t="s">
        <v>1097</v>
      </c>
    </row>
    <row r="70" spans="1:9" s="928" customFormat="1" ht="18.75" x14ac:dyDescent="0.25">
      <c r="A70" s="2544" t="s">
        <v>1459</v>
      </c>
      <c r="B70" s="2544"/>
      <c r="C70" s="2544"/>
      <c r="D70" s="2544"/>
      <c r="E70" s="2544"/>
      <c r="F70" s="2544"/>
      <c r="G70" s="2544"/>
      <c r="H70" s="2544"/>
      <c r="I70" s="2544"/>
    </row>
    <row r="71" spans="1:9" s="928" customFormat="1" x14ac:dyDescent="0.25">
      <c r="A71" s="2545" t="s">
        <v>155</v>
      </c>
      <c r="B71" s="2545"/>
      <c r="C71" s="2545"/>
      <c r="D71" s="2545"/>
      <c r="E71" s="2545"/>
      <c r="F71" s="2545"/>
      <c r="G71" s="2545"/>
      <c r="H71" s="2545"/>
      <c r="I71" s="2545"/>
    </row>
    <row r="72" spans="1:9" s="1027" customFormat="1" ht="30" x14ac:dyDescent="0.25">
      <c r="A72" s="1026"/>
      <c r="B72" s="684" t="s">
        <v>137</v>
      </c>
      <c r="C72" s="684" t="s">
        <v>495</v>
      </c>
      <c r="D72" s="684" t="s">
        <v>537</v>
      </c>
      <c r="E72" s="685" t="s">
        <v>499</v>
      </c>
      <c r="F72" s="686">
        <v>0</v>
      </c>
      <c r="G72" s="686">
        <v>3013160</v>
      </c>
      <c r="H72" s="686">
        <f>G72-F72</f>
        <v>3013160</v>
      </c>
      <c r="I72" s="685" t="s">
        <v>1526</v>
      </c>
    </row>
    <row r="73" spans="1:9" s="1027" customFormat="1" x14ac:dyDescent="0.25">
      <c r="A73" s="1026"/>
      <c r="B73" s="538" t="s">
        <v>34</v>
      </c>
      <c r="C73" s="708">
        <v>244</v>
      </c>
      <c r="D73" s="708">
        <v>223</v>
      </c>
      <c r="E73" s="685" t="s">
        <v>456</v>
      </c>
      <c r="F73" s="686">
        <v>0</v>
      </c>
      <c r="G73" s="686">
        <v>120000</v>
      </c>
      <c r="H73" s="686">
        <f>G73-F73</f>
        <v>120000</v>
      </c>
      <c r="I73" s="685" t="s">
        <v>1527</v>
      </c>
    </row>
    <row r="74" spans="1:9" s="1027" customFormat="1" x14ac:dyDescent="0.25">
      <c r="A74" s="1026"/>
      <c r="B74" s="538" t="s">
        <v>34</v>
      </c>
      <c r="C74" s="708">
        <v>247</v>
      </c>
      <c r="D74" s="708">
        <v>223</v>
      </c>
      <c r="E74" s="685" t="s">
        <v>456</v>
      </c>
      <c r="F74" s="686">
        <v>0</v>
      </c>
      <c r="G74" s="686">
        <v>2693160</v>
      </c>
      <c r="H74" s="686">
        <f>G74-F74</f>
        <v>2693160</v>
      </c>
      <c r="I74" s="685" t="s">
        <v>1528</v>
      </c>
    </row>
    <row r="75" spans="1:9" s="928" customFormat="1" x14ac:dyDescent="0.25">
      <c r="A75" s="1028"/>
      <c r="B75" s="538" t="s">
        <v>34</v>
      </c>
      <c r="C75" s="1041">
        <v>244</v>
      </c>
      <c r="D75" s="533">
        <v>226</v>
      </c>
      <c r="E75" s="1038" t="s">
        <v>1077</v>
      </c>
      <c r="F75" s="536">
        <v>0</v>
      </c>
      <c r="G75" s="536">
        <v>200000</v>
      </c>
      <c r="H75" s="539">
        <f>G75-F75</f>
        <v>200000</v>
      </c>
      <c r="I75" s="1038" t="s">
        <v>1529</v>
      </c>
    </row>
    <row r="76" spans="1:9" s="928" customFormat="1" x14ac:dyDescent="0.25">
      <c r="A76" s="2537" t="s">
        <v>1125</v>
      </c>
      <c r="B76" s="2537"/>
      <c r="C76" s="2537"/>
      <c r="D76" s="2537"/>
      <c r="E76" s="2537"/>
      <c r="F76" s="687">
        <f>SUM(F73:F75)</f>
        <v>0</v>
      </c>
      <c r="G76" s="687">
        <f>SUM(G73:G75)</f>
        <v>3013160</v>
      </c>
      <c r="H76" s="687">
        <f>SUM(H73:H75)</f>
        <v>3013160</v>
      </c>
      <c r="I76" s="682" t="s">
        <v>82</v>
      </c>
    </row>
    <row r="77" spans="1:9" s="928" customFormat="1" x14ac:dyDescent="0.25">
      <c r="A77" s="2545" t="s">
        <v>1099</v>
      </c>
      <c r="B77" s="2545"/>
      <c r="C77" s="2545"/>
      <c r="D77" s="2545"/>
      <c r="E77" s="2545"/>
      <c r="F77" s="2545"/>
      <c r="G77" s="2545"/>
      <c r="H77" s="2545"/>
      <c r="I77" s="2545"/>
    </row>
    <row r="78" spans="1:9" s="928" customFormat="1" x14ac:dyDescent="0.25">
      <c r="A78" s="1039"/>
      <c r="B78" s="1041" t="s">
        <v>1512</v>
      </c>
      <c r="C78" s="684" t="s">
        <v>495</v>
      </c>
      <c r="D78" s="684" t="s">
        <v>537</v>
      </c>
      <c r="E78" s="685" t="s">
        <v>1100</v>
      </c>
      <c r="F78" s="686">
        <v>0</v>
      </c>
      <c r="G78" s="686">
        <v>5632844</v>
      </c>
      <c r="H78" s="686">
        <f>G78-F78</f>
        <v>5632844</v>
      </c>
      <c r="I78" s="685" t="s">
        <v>1101</v>
      </c>
    </row>
    <row r="79" spans="1:9" s="928" customFormat="1" x14ac:dyDescent="0.25">
      <c r="A79" s="1039"/>
      <c r="B79" s="1041" t="s">
        <v>142</v>
      </c>
      <c r="C79" s="708">
        <v>244</v>
      </c>
      <c r="D79" s="708">
        <v>223</v>
      </c>
      <c r="E79" s="685" t="s">
        <v>456</v>
      </c>
      <c r="F79" s="686">
        <v>0</v>
      </c>
      <c r="G79" s="686">
        <v>253576</v>
      </c>
      <c r="H79" s="686">
        <f>G79-F79</f>
        <v>253576</v>
      </c>
      <c r="I79" s="685" t="s">
        <v>1527</v>
      </c>
    </row>
    <row r="80" spans="1:9" s="928" customFormat="1" x14ac:dyDescent="0.25">
      <c r="A80" s="1039"/>
      <c r="B80" s="1041" t="s">
        <v>142</v>
      </c>
      <c r="C80" s="708">
        <v>247</v>
      </c>
      <c r="D80" s="708">
        <v>223</v>
      </c>
      <c r="E80" s="685" t="s">
        <v>456</v>
      </c>
      <c r="F80" s="686">
        <v>0</v>
      </c>
      <c r="G80" s="686">
        <v>4879268</v>
      </c>
      <c r="H80" s="686">
        <f>G80-F80</f>
        <v>4879268</v>
      </c>
      <c r="I80" s="685" t="s">
        <v>1528</v>
      </c>
    </row>
    <row r="81" spans="1:9" s="928" customFormat="1" x14ac:dyDescent="0.25">
      <c r="A81" s="1039"/>
      <c r="B81" s="1041" t="s">
        <v>142</v>
      </c>
      <c r="C81" s="1041">
        <v>244</v>
      </c>
      <c r="D81" s="533">
        <v>226</v>
      </c>
      <c r="E81" s="1038" t="s">
        <v>1077</v>
      </c>
      <c r="F81" s="536">
        <v>0</v>
      </c>
      <c r="G81" s="536">
        <v>500000</v>
      </c>
      <c r="H81" s="539">
        <f>G81-F81</f>
        <v>500000</v>
      </c>
      <c r="I81" s="1038" t="s">
        <v>1529</v>
      </c>
    </row>
    <row r="82" spans="1:9" s="928" customFormat="1" x14ac:dyDescent="0.25">
      <c r="A82" s="2537" t="s">
        <v>1104</v>
      </c>
      <c r="B82" s="2537"/>
      <c r="C82" s="2537"/>
      <c r="D82" s="2537"/>
      <c r="E82" s="2537"/>
      <c r="F82" s="687">
        <f>SUM(F79:F81)</f>
        <v>0</v>
      </c>
      <c r="G82" s="687">
        <f>SUM(G79:G81)</f>
        <v>5632844</v>
      </c>
      <c r="H82" s="687">
        <f>SUM(H79:H81)</f>
        <v>5632844</v>
      </c>
      <c r="I82" s="1039" t="s">
        <v>82</v>
      </c>
    </row>
    <row r="83" spans="1:9" s="928" customFormat="1" x14ac:dyDescent="0.25">
      <c r="A83" s="2537" t="s">
        <v>1389</v>
      </c>
      <c r="B83" s="2537"/>
      <c r="C83" s="2537"/>
      <c r="D83" s="2537"/>
      <c r="E83" s="2537"/>
      <c r="F83" s="687">
        <f>F76+F82</f>
        <v>0</v>
      </c>
      <c r="G83" s="687">
        <f>G76+G82</f>
        <v>8646004</v>
      </c>
      <c r="H83" s="687">
        <f>H76+H82</f>
        <v>8646004</v>
      </c>
      <c r="I83" s="1041" t="s">
        <v>82</v>
      </c>
    </row>
    <row r="84" spans="1:9" s="928" customFormat="1" ht="18.75" x14ac:dyDescent="0.25">
      <c r="A84" s="2544" t="s">
        <v>1530</v>
      </c>
      <c r="B84" s="2544"/>
      <c r="C84" s="2544"/>
      <c r="D84" s="2544"/>
      <c r="E84" s="2544"/>
      <c r="F84" s="2544"/>
      <c r="G84" s="2544"/>
      <c r="H84" s="2544"/>
      <c r="I84" s="2544"/>
    </row>
    <row r="85" spans="1:9" s="928" customFormat="1" x14ac:dyDescent="0.25">
      <c r="A85" s="2545" t="s">
        <v>155</v>
      </c>
      <c r="B85" s="2545"/>
      <c r="C85" s="2545"/>
      <c r="D85" s="2545"/>
      <c r="E85" s="2545"/>
      <c r="F85" s="2545"/>
      <c r="G85" s="2545"/>
      <c r="H85" s="2545"/>
      <c r="I85" s="2545"/>
    </row>
    <row r="86" spans="1:9" s="1027" customFormat="1" ht="30" x14ac:dyDescent="0.25">
      <c r="A86" s="1026"/>
      <c r="B86" s="684" t="s">
        <v>137</v>
      </c>
      <c r="C86" s="684" t="s">
        <v>495</v>
      </c>
      <c r="D86" s="684" t="s">
        <v>537</v>
      </c>
      <c r="E86" s="685" t="s">
        <v>499</v>
      </c>
      <c r="F86" s="686">
        <v>0</v>
      </c>
      <c r="G86" s="686">
        <v>3013160</v>
      </c>
      <c r="H86" s="686">
        <f>G86-F86</f>
        <v>3013160</v>
      </c>
      <c r="I86" s="685" t="s">
        <v>1526</v>
      </c>
    </row>
    <row r="87" spans="1:9" s="1027" customFormat="1" x14ac:dyDescent="0.25">
      <c r="A87" s="1026"/>
      <c r="B87" s="538" t="s">
        <v>34</v>
      </c>
      <c r="C87" s="708">
        <v>244</v>
      </c>
      <c r="D87" s="708">
        <v>223</v>
      </c>
      <c r="E87" s="685" t="s">
        <v>456</v>
      </c>
      <c r="F87" s="686">
        <v>0</v>
      </c>
      <c r="G87" s="686">
        <v>120000</v>
      </c>
      <c r="H87" s="686">
        <f>G87-F87</f>
        <v>120000</v>
      </c>
      <c r="I87" s="685" t="s">
        <v>1527</v>
      </c>
    </row>
    <row r="88" spans="1:9" s="1027" customFormat="1" x14ac:dyDescent="0.25">
      <c r="A88" s="1026"/>
      <c r="B88" s="538" t="s">
        <v>34</v>
      </c>
      <c r="C88" s="708">
        <v>247</v>
      </c>
      <c r="D88" s="708">
        <v>223</v>
      </c>
      <c r="E88" s="685" t="s">
        <v>456</v>
      </c>
      <c r="F88" s="686">
        <v>0</v>
      </c>
      <c r="G88" s="686">
        <v>2693160</v>
      </c>
      <c r="H88" s="686">
        <f>G88-F88</f>
        <v>2693160</v>
      </c>
      <c r="I88" s="685" t="s">
        <v>1528</v>
      </c>
    </row>
    <row r="89" spans="1:9" s="928" customFormat="1" x14ac:dyDescent="0.25">
      <c r="A89" s="1028"/>
      <c r="B89" s="538" t="s">
        <v>34</v>
      </c>
      <c r="C89" s="1041">
        <v>244</v>
      </c>
      <c r="D89" s="533">
        <v>226</v>
      </c>
      <c r="E89" s="1038" t="s">
        <v>1077</v>
      </c>
      <c r="F89" s="536">
        <v>0</v>
      </c>
      <c r="G89" s="536">
        <v>200000</v>
      </c>
      <c r="H89" s="539">
        <f>G89-F89</f>
        <v>200000</v>
      </c>
      <c r="I89" s="1038" t="s">
        <v>1529</v>
      </c>
    </row>
    <row r="90" spans="1:9" s="928" customFormat="1" x14ac:dyDescent="0.25">
      <c r="A90" s="2537" t="s">
        <v>1125</v>
      </c>
      <c r="B90" s="2537"/>
      <c r="C90" s="2537"/>
      <c r="D90" s="2537"/>
      <c r="E90" s="2537"/>
      <c r="F90" s="687">
        <f>SUM(F87:F89)</f>
        <v>0</v>
      </c>
      <c r="G90" s="687">
        <f>SUM(G87:G89)</f>
        <v>3013160</v>
      </c>
      <c r="H90" s="687">
        <f>SUM(H87:H89)</f>
        <v>3013160</v>
      </c>
      <c r="I90" s="682" t="s">
        <v>82</v>
      </c>
    </row>
    <row r="91" spans="1:9" s="928" customFormat="1" x14ac:dyDescent="0.25">
      <c r="A91" s="2545" t="s">
        <v>1099</v>
      </c>
      <c r="B91" s="2545"/>
      <c r="C91" s="2545"/>
      <c r="D91" s="2545"/>
      <c r="E91" s="2545"/>
      <c r="F91" s="2545"/>
      <c r="G91" s="2545"/>
      <c r="H91" s="2545"/>
      <c r="I91" s="2545"/>
    </row>
    <row r="92" spans="1:9" s="928" customFormat="1" x14ac:dyDescent="0.25">
      <c r="A92" s="1039"/>
      <c r="B92" s="1041" t="s">
        <v>1512</v>
      </c>
      <c r="C92" s="684" t="s">
        <v>495</v>
      </c>
      <c r="D92" s="684" t="s">
        <v>537</v>
      </c>
      <c r="E92" s="685" t="s">
        <v>1100</v>
      </c>
      <c r="F92" s="686">
        <v>0</v>
      </c>
      <c r="G92" s="686">
        <v>5632844</v>
      </c>
      <c r="H92" s="686">
        <f>G92-F92</f>
        <v>5632844</v>
      </c>
      <c r="I92" s="685" t="s">
        <v>1101</v>
      </c>
    </row>
    <row r="93" spans="1:9" s="928" customFormat="1" x14ac:dyDescent="0.25">
      <c r="A93" s="1039"/>
      <c r="B93" s="1041" t="s">
        <v>142</v>
      </c>
      <c r="C93" s="708">
        <v>244</v>
      </c>
      <c r="D93" s="708">
        <v>223</v>
      </c>
      <c r="E93" s="685" t="s">
        <v>456</v>
      </c>
      <c r="F93" s="686">
        <v>0</v>
      </c>
      <c r="G93" s="686">
        <v>253576</v>
      </c>
      <c r="H93" s="686">
        <f>G93-F93</f>
        <v>253576</v>
      </c>
      <c r="I93" s="685" t="s">
        <v>1527</v>
      </c>
    </row>
    <row r="94" spans="1:9" s="928" customFormat="1" x14ac:dyDescent="0.25">
      <c r="A94" s="1039"/>
      <c r="B94" s="1041" t="s">
        <v>142</v>
      </c>
      <c r="C94" s="708">
        <v>247</v>
      </c>
      <c r="D94" s="708">
        <v>223</v>
      </c>
      <c r="E94" s="685" t="s">
        <v>456</v>
      </c>
      <c r="F94" s="686">
        <v>0</v>
      </c>
      <c r="G94" s="686">
        <v>4879268</v>
      </c>
      <c r="H94" s="686">
        <f>G94-F94</f>
        <v>4879268</v>
      </c>
      <c r="I94" s="685" t="s">
        <v>1528</v>
      </c>
    </row>
    <row r="95" spans="1:9" s="928" customFormat="1" x14ac:dyDescent="0.25">
      <c r="A95" s="1039"/>
      <c r="B95" s="1041" t="s">
        <v>142</v>
      </c>
      <c r="C95" s="1041">
        <v>244</v>
      </c>
      <c r="D95" s="533">
        <v>226</v>
      </c>
      <c r="E95" s="1038" t="s">
        <v>1077</v>
      </c>
      <c r="F95" s="536">
        <v>0</v>
      </c>
      <c r="G95" s="536">
        <v>500000</v>
      </c>
      <c r="H95" s="539">
        <f>G95-F95</f>
        <v>500000</v>
      </c>
      <c r="I95" s="1038" t="s">
        <v>1529</v>
      </c>
    </row>
    <row r="96" spans="1:9" s="928" customFormat="1" x14ac:dyDescent="0.25">
      <c r="A96" s="2537" t="s">
        <v>1104</v>
      </c>
      <c r="B96" s="2537"/>
      <c r="C96" s="2537"/>
      <c r="D96" s="2537"/>
      <c r="E96" s="2537"/>
      <c r="F96" s="687">
        <f>SUM(F93:F95)</f>
        <v>0</v>
      </c>
      <c r="G96" s="687">
        <f>SUM(G93:G95)</f>
        <v>5632844</v>
      </c>
      <c r="H96" s="687">
        <f>SUM(H93:H95)</f>
        <v>5632844</v>
      </c>
      <c r="I96" s="1039" t="s">
        <v>82</v>
      </c>
    </row>
    <row r="97" spans="1:9" s="928" customFormat="1" x14ac:dyDescent="0.25">
      <c r="A97" s="2537" t="s">
        <v>1531</v>
      </c>
      <c r="B97" s="2537"/>
      <c r="C97" s="2537"/>
      <c r="D97" s="2537"/>
      <c r="E97" s="2537"/>
      <c r="F97" s="687">
        <f>F90+F96</f>
        <v>0</v>
      </c>
      <c r="G97" s="687">
        <f>G90+G96</f>
        <v>8646004</v>
      </c>
      <c r="H97" s="687">
        <f>H90+H96</f>
        <v>8646004</v>
      </c>
      <c r="I97" s="1041" t="s">
        <v>82</v>
      </c>
    </row>
    <row r="98" spans="1:9" s="928" customFormat="1" x14ac:dyDescent="0.25">
      <c r="A98" s="964"/>
      <c r="B98" s="964"/>
      <c r="C98" s="964"/>
      <c r="D98" s="964"/>
      <c r="E98" s="964"/>
      <c r="F98" s="693"/>
      <c r="G98" s="693"/>
      <c r="H98" s="693"/>
      <c r="I98" s="893"/>
    </row>
    <row r="99" spans="1:9" s="928" customFormat="1" x14ac:dyDescent="0.25">
      <c r="A99" s="395" t="s">
        <v>1515</v>
      </c>
      <c r="B99" s="395"/>
      <c r="C99" s="2"/>
      <c r="D99" s="2"/>
      <c r="E99" s="2"/>
      <c r="F99" s="2"/>
      <c r="G99" s="2"/>
      <c r="H99" s="965"/>
      <c r="I99" s="966" t="s">
        <v>733</v>
      </c>
    </row>
    <row r="100" spans="1:9" s="928" customFormat="1" x14ac:dyDescent="0.25">
      <c r="A100" s="2538"/>
      <c r="B100" s="2538"/>
      <c r="C100" s="2"/>
      <c r="D100" s="2"/>
      <c r="E100" s="2"/>
      <c r="F100" s="2"/>
      <c r="G100" s="2"/>
      <c r="H100" s="2"/>
      <c r="I100" s="966"/>
    </row>
    <row r="101" spans="1:9" s="928" customFormat="1" x14ac:dyDescent="0.25">
      <c r="A101" s="2538" t="s">
        <v>239</v>
      </c>
      <c r="B101" s="2538"/>
      <c r="C101" s="2"/>
      <c r="D101" s="2"/>
      <c r="E101" s="2"/>
      <c r="F101" s="2"/>
      <c r="G101" s="2"/>
      <c r="H101" s="966"/>
      <c r="I101" s="966" t="s">
        <v>729</v>
      </c>
    </row>
    <row r="102" spans="1:9" s="1042" customFormat="1" x14ac:dyDescent="0.25"/>
    <row r="103" spans="1:9" s="928" customFormat="1" ht="18.75" x14ac:dyDescent="0.25">
      <c r="A103" s="2541" t="s">
        <v>1539</v>
      </c>
      <c r="B103" s="2541"/>
      <c r="C103" s="2541"/>
      <c r="D103" s="2541"/>
      <c r="E103" s="2541"/>
      <c r="F103" s="2541"/>
      <c r="G103" s="2541"/>
      <c r="H103" s="2541"/>
      <c r="I103" s="2541"/>
    </row>
    <row r="104" spans="1:9" s="928" customFormat="1" ht="18.75" hidden="1" x14ac:dyDescent="0.25">
      <c r="A104" s="2542" t="s">
        <v>1317</v>
      </c>
      <c r="B104" s="2542"/>
      <c r="C104" s="2542"/>
      <c r="D104" s="2542"/>
      <c r="E104" s="2542"/>
      <c r="F104" s="2542"/>
      <c r="G104" s="2542"/>
      <c r="H104" s="2542"/>
      <c r="I104" s="2542"/>
    </row>
    <row r="105" spans="1:9" s="928" customFormat="1" ht="18.75" x14ac:dyDescent="0.3">
      <c r="A105" s="2543" t="s">
        <v>1516</v>
      </c>
      <c r="B105" s="2543"/>
      <c r="C105" s="2543"/>
      <c r="D105" s="2543"/>
      <c r="E105" s="2543"/>
      <c r="F105" s="2543"/>
      <c r="G105" s="2543"/>
      <c r="H105" s="2543"/>
      <c r="I105" s="2543"/>
    </row>
    <row r="106" spans="1:9" s="928" customFormat="1" ht="9.75" customHeight="1" x14ac:dyDescent="0.3">
      <c r="A106" s="1056"/>
      <c r="B106" s="962"/>
      <c r="C106" s="962"/>
      <c r="D106" s="962"/>
      <c r="E106" s="962"/>
      <c r="F106" s="962"/>
      <c r="G106" s="962"/>
      <c r="H106" s="962"/>
      <c r="I106" s="962"/>
    </row>
    <row r="107" spans="1:9" s="928" customFormat="1" ht="48.75" customHeight="1" x14ac:dyDescent="0.25">
      <c r="A107" s="1057" t="s">
        <v>1449</v>
      </c>
      <c r="B107" s="1057" t="s">
        <v>234</v>
      </c>
      <c r="C107" s="1057" t="s">
        <v>305</v>
      </c>
      <c r="D107" s="682" t="s">
        <v>1450</v>
      </c>
      <c r="E107" s="682" t="s">
        <v>35</v>
      </c>
      <c r="F107" s="682" t="s">
        <v>1451</v>
      </c>
      <c r="G107" s="682" t="s">
        <v>491</v>
      </c>
      <c r="H107" s="682" t="s">
        <v>492</v>
      </c>
      <c r="I107" s="682" t="s">
        <v>1097</v>
      </c>
    </row>
    <row r="108" spans="1:9" s="928" customFormat="1" ht="18.75" x14ac:dyDescent="0.25">
      <c r="A108" s="2544" t="s">
        <v>1458</v>
      </c>
      <c r="B108" s="2544"/>
      <c r="C108" s="2544"/>
      <c r="D108" s="2544"/>
      <c r="E108" s="2544"/>
      <c r="F108" s="2544"/>
      <c r="G108" s="2544"/>
      <c r="H108" s="2544"/>
      <c r="I108" s="2544"/>
    </row>
    <row r="109" spans="1:9" s="928" customFormat="1" x14ac:dyDescent="0.25">
      <c r="A109" s="2545" t="s">
        <v>155</v>
      </c>
      <c r="B109" s="2545"/>
      <c r="C109" s="2545"/>
      <c r="D109" s="2545"/>
      <c r="E109" s="2545"/>
      <c r="F109" s="2545"/>
      <c r="G109" s="2545"/>
      <c r="H109" s="2545"/>
      <c r="I109" s="2545"/>
    </row>
    <row r="110" spans="1:9" s="1027" customFormat="1" ht="30" x14ac:dyDescent="0.25">
      <c r="A110" s="529" t="s">
        <v>626</v>
      </c>
      <c r="B110" s="530" t="s">
        <v>67</v>
      </c>
      <c r="C110" s="529">
        <v>244</v>
      </c>
      <c r="D110" s="529">
        <v>310</v>
      </c>
      <c r="E110" s="1054" t="s">
        <v>458</v>
      </c>
      <c r="F110" s="528">
        <v>5168390.12</v>
      </c>
      <c r="G110" s="528">
        <f>F110+229976.88</f>
        <v>5398367</v>
      </c>
      <c r="H110" s="528">
        <f>G110-F110</f>
        <v>229976.88</v>
      </c>
      <c r="I110" s="1058" t="s">
        <v>1540</v>
      </c>
    </row>
    <row r="111" spans="1:9" s="1027" customFormat="1" ht="23.25" customHeight="1" x14ac:dyDescent="0.25">
      <c r="A111" s="529" t="s">
        <v>626</v>
      </c>
      <c r="B111" s="530" t="s">
        <v>67</v>
      </c>
      <c r="C111" s="529">
        <v>244</v>
      </c>
      <c r="D111" s="529">
        <v>346</v>
      </c>
      <c r="E111" s="1055" t="s">
        <v>1089</v>
      </c>
      <c r="F111" s="528">
        <v>540409.47</v>
      </c>
      <c r="G111" s="528">
        <f>F111-229976.88</f>
        <v>310432.59000000003</v>
      </c>
      <c r="H111" s="528">
        <f>G111-F111</f>
        <v>-229976.88</v>
      </c>
      <c r="I111" s="1058" t="s">
        <v>1541</v>
      </c>
    </row>
    <row r="112" spans="1:9" s="928" customFormat="1" x14ac:dyDescent="0.25">
      <c r="A112" s="2537" t="s">
        <v>714</v>
      </c>
      <c r="B112" s="2537"/>
      <c r="C112" s="2537"/>
      <c r="D112" s="2537"/>
      <c r="E112" s="2537"/>
      <c r="F112" s="687">
        <f>SUM(F110:F111)</f>
        <v>5708799.5899999999</v>
      </c>
      <c r="G112" s="687">
        <f>SUM(G110:G111)</f>
        <v>5708799.5899999999</v>
      </c>
      <c r="H112" s="687">
        <f>SUM(H110:H111)</f>
        <v>0</v>
      </c>
      <c r="I112" s="682" t="s">
        <v>82</v>
      </c>
    </row>
    <row r="113" spans="1:9" s="928" customFormat="1" x14ac:dyDescent="0.25">
      <c r="A113" s="2537" t="s">
        <v>1385</v>
      </c>
      <c r="B113" s="2537"/>
      <c r="C113" s="2537"/>
      <c r="D113" s="2537"/>
      <c r="E113" s="2537"/>
      <c r="F113" s="687">
        <f>F112</f>
        <v>5708799.5899999999</v>
      </c>
      <c r="G113" s="687">
        <f>G112</f>
        <v>5708799.5899999999</v>
      </c>
      <c r="H113" s="687">
        <f>H112</f>
        <v>0</v>
      </c>
      <c r="I113" s="1057" t="s">
        <v>82</v>
      </c>
    </row>
    <row r="114" spans="1:9" s="928" customFormat="1" x14ac:dyDescent="0.25">
      <c r="A114" s="964"/>
      <c r="B114" s="964"/>
      <c r="C114" s="964"/>
      <c r="D114" s="964"/>
      <c r="E114" s="964"/>
      <c r="F114" s="693"/>
      <c r="G114" s="693"/>
      <c r="H114" s="693"/>
      <c r="I114" s="893"/>
    </row>
    <row r="115" spans="1:9" s="928" customFormat="1" x14ac:dyDescent="0.25">
      <c r="A115" s="395" t="s">
        <v>1515</v>
      </c>
      <c r="B115" s="395"/>
      <c r="C115" s="2"/>
      <c r="D115" s="2"/>
      <c r="E115" s="2"/>
      <c r="F115" s="2"/>
      <c r="G115" s="2"/>
      <c r="H115" s="965"/>
      <c r="I115" s="966" t="s">
        <v>733</v>
      </c>
    </row>
    <row r="116" spans="1:9" s="928" customFormat="1" x14ac:dyDescent="0.25">
      <c r="A116" s="2538"/>
      <c r="B116" s="2538"/>
      <c r="C116" s="2"/>
      <c r="D116" s="2"/>
      <c r="E116" s="2"/>
      <c r="F116" s="2"/>
      <c r="G116" s="2"/>
      <c r="H116" s="2"/>
      <c r="I116" s="966"/>
    </row>
    <row r="117" spans="1:9" s="928" customFormat="1" x14ac:dyDescent="0.25">
      <c r="A117" s="2538" t="s">
        <v>239</v>
      </c>
      <c r="B117" s="2538"/>
      <c r="C117" s="2"/>
      <c r="D117" s="2"/>
      <c r="E117" s="2"/>
      <c r="F117" s="2"/>
      <c r="G117" s="2"/>
      <c r="H117" s="966"/>
      <c r="I117" s="966" t="s">
        <v>729</v>
      </c>
    </row>
    <row r="118" spans="1:9" s="1018" customFormat="1" x14ac:dyDescent="0.25"/>
    <row r="119" spans="1:9" s="928" customFormat="1" ht="18.75" x14ac:dyDescent="0.25">
      <c r="A119" s="2541" t="s">
        <v>1542</v>
      </c>
      <c r="B119" s="2541"/>
      <c r="C119" s="2541"/>
      <c r="D119" s="2541"/>
      <c r="E119" s="2541"/>
      <c r="F119" s="2541"/>
      <c r="G119" s="2541"/>
      <c r="H119" s="2541"/>
      <c r="I119" s="2541"/>
    </row>
    <row r="120" spans="1:9" s="928" customFormat="1" ht="18.75" hidden="1" x14ac:dyDescent="0.25">
      <c r="A120" s="2542" t="s">
        <v>1317</v>
      </c>
      <c r="B120" s="2542"/>
      <c r="C120" s="2542"/>
      <c r="D120" s="2542"/>
      <c r="E120" s="2542"/>
      <c r="F120" s="2542"/>
      <c r="G120" s="2542"/>
      <c r="H120" s="2542"/>
      <c r="I120" s="2542"/>
    </row>
    <row r="121" spans="1:9" s="928" customFormat="1" ht="18.75" x14ac:dyDescent="0.3">
      <c r="A121" s="2543" t="s">
        <v>1516</v>
      </c>
      <c r="B121" s="2543"/>
      <c r="C121" s="2543"/>
      <c r="D121" s="2543"/>
      <c r="E121" s="2543"/>
      <c r="F121" s="2543"/>
      <c r="G121" s="2543"/>
      <c r="H121" s="2543"/>
      <c r="I121" s="2543"/>
    </row>
    <row r="122" spans="1:9" s="928" customFormat="1" ht="9.75" customHeight="1" x14ac:dyDescent="0.3">
      <c r="A122" s="1064"/>
      <c r="B122" s="962"/>
      <c r="C122" s="962"/>
      <c r="D122" s="962"/>
      <c r="E122" s="962"/>
      <c r="F122" s="962"/>
      <c r="G122" s="962"/>
      <c r="H122" s="962"/>
      <c r="I122" s="962"/>
    </row>
    <row r="123" spans="1:9" s="928" customFormat="1" ht="48.75" customHeight="1" x14ac:dyDescent="0.25">
      <c r="A123" s="1066" t="s">
        <v>1449</v>
      </c>
      <c r="B123" s="1066" t="s">
        <v>234</v>
      </c>
      <c r="C123" s="1066" t="s">
        <v>305</v>
      </c>
      <c r="D123" s="682" t="s">
        <v>1450</v>
      </c>
      <c r="E123" s="682" t="s">
        <v>35</v>
      </c>
      <c r="F123" s="682" t="s">
        <v>1451</v>
      </c>
      <c r="G123" s="682" t="s">
        <v>491</v>
      </c>
      <c r="H123" s="682" t="s">
        <v>492</v>
      </c>
      <c r="I123" s="682" t="s">
        <v>1097</v>
      </c>
    </row>
    <row r="124" spans="1:9" s="928" customFormat="1" ht="18.75" x14ac:dyDescent="0.25">
      <c r="A124" s="2544" t="s">
        <v>1458</v>
      </c>
      <c r="B124" s="2544"/>
      <c r="C124" s="2544"/>
      <c r="D124" s="2544"/>
      <c r="E124" s="2544"/>
      <c r="F124" s="2544"/>
      <c r="G124" s="2544"/>
      <c r="H124" s="2544"/>
      <c r="I124" s="2544"/>
    </row>
    <row r="125" spans="1:9" s="928" customFormat="1" x14ac:dyDescent="0.25">
      <c r="A125" s="2545" t="s">
        <v>493</v>
      </c>
      <c r="B125" s="2545"/>
      <c r="C125" s="2545"/>
      <c r="D125" s="2545"/>
      <c r="E125" s="2545"/>
      <c r="F125" s="2545"/>
      <c r="G125" s="2545"/>
      <c r="H125" s="2545"/>
      <c r="I125" s="2545"/>
    </row>
    <row r="126" spans="1:9" s="928" customFormat="1" ht="30.75" customHeight="1" x14ac:dyDescent="0.25">
      <c r="A126" s="2549" t="s">
        <v>1543</v>
      </c>
      <c r="B126" s="2550"/>
      <c r="C126" s="2550"/>
      <c r="D126" s="2550"/>
      <c r="E126" s="2550"/>
      <c r="F126" s="2550"/>
      <c r="G126" s="2550"/>
      <c r="H126" s="2550"/>
      <c r="I126" s="2550"/>
    </row>
    <row r="127" spans="1:9" s="928" customFormat="1" x14ac:dyDescent="0.25">
      <c r="A127" s="1066" t="s">
        <v>624</v>
      </c>
      <c r="B127" s="684" t="s">
        <v>1477</v>
      </c>
      <c r="C127" s="708">
        <v>244</v>
      </c>
      <c r="D127" s="708">
        <v>343</v>
      </c>
      <c r="E127" s="685" t="s">
        <v>1544</v>
      </c>
      <c r="F127" s="686">
        <v>30000</v>
      </c>
      <c r="G127" s="686">
        <v>0</v>
      </c>
      <c r="H127" s="686">
        <f>G127-F127</f>
        <v>-30000</v>
      </c>
      <c r="I127" s="685" t="s">
        <v>1551</v>
      </c>
    </row>
    <row r="128" spans="1:9" s="928" customFormat="1" x14ac:dyDescent="0.25">
      <c r="A128" s="1066" t="s">
        <v>624</v>
      </c>
      <c r="B128" s="684" t="s">
        <v>1477</v>
      </c>
      <c r="C128" s="708">
        <v>244</v>
      </c>
      <c r="D128" s="708">
        <v>227</v>
      </c>
      <c r="E128" s="685" t="s">
        <v>1545</v>
      </c>
      <c r="F128" s="686">
        <v>2000</v>
      </c>
      <c r="G128" s="686">
        <v>0</v>
      </c>
      <c r="H128" s="686">
        <f>G128-F128</f>
        <v>-2000</v>
      </c>
      <c r="I128" s="685" t="s">
        <v>1552</v>
      </c>
    </row>
    <row r="129" spans="1:11" s="928" customFormat="1" ht="30" x14ac:dyDescent="0.25">
      <c r="A129" s="1066" t="s">
        <v>624</v>
      </c>
      <c r="B129" s="684" t="s">
        <v>1477</v>
      </c>
      <c r="C129" s="708">
        <v>244</v>
      </c>
      <c r="D129" s="708">
        <v>226</v>
      </c>
      <c r="E129" s="1061" t="s">
        <v>1077</v>
      </c>
      <c r="F129" s="686">
        <v>1620681.8</v>
      </c>
      <c r="G129" s="686">
        <f>F129-4191</f>
        <v>1616490.8</v>
      </c>
      <c r="H129" s="686">
        <f>G129-F129</f>
        <v>-4191</v>
      </c>
      <c r="I129" s="685" t="s">
        <v>1553</v>
      </c>
    </row>
    <row r="130" spans="1:11" s="928" customFormat="1" ht="30" x14ac:dyDescent="0.25">
      <c r="A130" s="1066" t="s">
        <v>624</v>
      </c>
      <c r="B130" s="684" t="s">
        <v>1477</v>
      </c>
      <c r="C130" s="708">
        <v>244</v>
      </c>
      <c r="D130" s="708">
        <v>225</v>
      </c>
      <c r="E130" s="685" t="s">
        <v>457</v>
      </c>
      <c r="F130" s="686">
        <v>792796.78</v>
      </c>
      <c r="G130" s="686">
        <f>F130+30000+2000+4191</f>
        <v>828987.78</v>
      </c>
      <c r="H130" s="686">
        <f>G130-F130</f>
        <v>36191</v>
      </c>
      <c r="I130" s="685" t="s">
        <v>1554</v>
      </c>
    </row>
    <row r="131" spans="1:11" s="928" customFormat="1" x14ac:dyDescent="0.25">
      <c r="A131" s="2537" t="s">
        <v>718</v>
      </c>
      <c r="B131" s="2537"/>
      <c r="C131" s="2537"/>
      <c r="D131" s="2537"/>
      <c r="E131" s="2537"/>
      <c r="F131" s="687">
        <f>SUM(F127:F130)</f>
        <v>2445478.58</v>
      </c>
      <c r="G131" s="687">
        <f>SUM(G127:G130)</f>
        <v>2445478.58</v>
      </c>
      <c r="H131" s="687">
        <f>SUM(H127:H130)</f>
        <v>0</v>
      </c>
      <c r="I131" s="682" t="s">
        <v>82</v>
      </c>
    </row>
    <row r="132" spans="1:11" s="928" customFormat="1" x14ac:dyDescent="0.25">
      <c r="A132" s="2545" t="s">
        <v>155</v>
      </c>
      <c r="B132" s="2545"/>
      <c r="C132" s="2545"/>
      <c r="D132" s="2545"/>
      <c r="E132" s="2545"/>
      <c r="F132" s="2545"/>
      <c r="G132" s="2545"/>
      <c r="H132" s="2545"/>
      <c r="I132" s="2545"/>
    </row>
    <row r="133" spans="1:11" s="1027" customFormat="1" ht="30" x14ac:dyDescent="0.25">
      <c r="A133" s="1026"/>
      <c r="B133" s="684" t="s">
        <v>137</v>
      </c>
      <c r="C133" s="684" t="s">
        <v>495</v>
      </c>
      <c r="D133" s="684" t="s">
        <v>537</v>
      </c>
      <c r="E133" s="685" t="s">
        <v>499</v>
      </c>
      <c r="F133" s="686">
        <v>6671700</v>
      </c>
      <c r="G133" s="686">
        <f>F133+150000</f>
        <v>6821700</v>
      </c>
      <c r="H133" s="686">
        <f>G133-F133</f>
        <v>150000</v>
      </c>
      <c r="I133" s="685" t="s">
        <v>1547</v>
      </c>
    </row>
    <row r="134" spans="1:11" s="928" customFormat="1" x14ac:dyDescent="0.25">
      <c r="A134" s="1063"/>
      <c r="B134" s="538" t="s">
        <v>34</v>
      </c>
      <c r="C134" s="708">
        <v>244</v>
      </c>
      <c r="D134" s="708">
        <v>343</v>
      </c>
      <c r="E134" s="685" t="s">
        <v>1544</v>
      </c>
      <c r="F134" s="686">
        <v>44100</v>
      </c>
      <c r="G134" s="686">
        <v>0</v>
      </c>
      <c r="H134" s="686">
        <f>G134-F134</f>
        <v>-44100</v>
      </c>
      <c r="I134" s="685" t="s">
        <v>1551</v>
      </c>
    </row>
    <row r="135" spans="1:11" s="928" customFormat="1" x14ac:dyDescent="0.25">
      <c r="A135" s="1063"/>
      <c r="B135" s="538" t="s">
        <v>34</v>
      </c>
      <c r="C135" s="708">
        <v>244</v>
      </c>
      <c r="D135" s="708">
        <v>227</v>
      </c>
      <c r="E135" s="685" t="s">
        <v>1545</v>
      </c>
      <c r="F135" s="686">
        <v>2000</v>
      </c>
      <c r="G135" s="686">
        <v>0</v>
      </c>
      <c r="H135" s="686">
        <f>G135-F135</f>
        <v>-2000</v>
      </c>
      <c r="I135" s="685" t="s">
        <v>1552</v>
      </c>
    </row>
    <row r="136" spans="1:11" s="928" customFormat="1" ht="30" x14ac:dyDescent="0.25">
      <c r="A136" s="1063"/>
      <c r="B136" s="538" t="s">
        <v>34</v>
      </c>
      <c r="C136" s="1066">
        <v>244</v>
      </c>
      <c r="D136" s="533">
        <v>225</v>
      </c>
      <c r="E136" s="685" t="s">
        <v>457</v>
      </c>
      <c r="F136" s="536">
        <v>1568512.51</v>
      </c>
      <c r="G136" s="536">
        <f>F136+17564.45</f>
        <v>1586076.96</v>
      </c>
      <c r="H136" s="539">
        <f>G136-F136</f>
        <v>17564.45</v>
      </c>
      <c r="I136" s="1061" t="s">
        <v>1550</v>
      </c>
      <c r="J136" s="1068">
        <f>2325.55+110</f>
        <v>2435.5500000000002</v>
      </c>
      <c r="K136" s="1069">
        <f>J136+H136</f>
        <v>20000</v>
      </c>
    </row>
    <row r="137" spans="1:11" s="928" customFormat="1" ht="45" x14ac:dyDescent="0.25">
      <c r="A137" s="1028"/>
      <c r="B137" s="538" t="s">
        <v>34</v>
      </c>
      <c r="C137" s="1066">
        <v>244</v>
      </c>
      <c r="D137" s="533">
        <v>226</v>
      </c>
      <c r="E137" s="1061" t="s">
        <v>1077</v>
      </c>
      <c r="F137" s="536">
        <v>1023040.38</v>
      </c>
      <c r="G137" s="536">
        <f>F137+26535.55+2000+150000</f>
        <v>1201575.93</v>
      </c>
      <c r="H137" s="539">
        <f>G137-F137</f>
        <v>178535.55</v>
      </c>
      <c r="I137" s="1061" t="s">
        <v>1555</v>
      </c>
    </row>
    <row r="138" spans="1:11" s="928" customFormat="1" x14ac:dyDescent="0.25">
      <c r="A138" s="2537" t="s">
        <v>1125</v>
      </c>
      <c r="B138" s="2537"/>
      <c r="C138" s="2537"/>
      <c r="D138" s="2537"/>
      <c r="E138" s="2537"/>
      <c r="F138" s="687">
        <f>SUM(F134:F137)</f>
        <v>2637652.89</v>
      </c>
      <c r="G138" s="687">
        <f>SUM(G134:G137)</f>
        <v>2787652.89</v>
      </c>
      <c r="H138" s="687">
        <f>SUM(H134:H137)</f>
        <v>150000</v>
      </c>
      <c r="I138" s="682" t="s">
        <v>82</v>
      </c>
    </row>
    <row r="139" spans="1:11" s="928" customFormat="1" x14ac:dyDescent="0.25">
      <c r="A139" s="2545" t="s">
        <v>1099</v>
      </c>
      <c r="B139" s="2545"/>
      <c r="C139" s="2545"/>
      <c r="D139" s="2545"/>
      <c r="E139" s="2545"/>
      <c r="F139" s="2545"/>
      <c r="G139" s="2545"/>
      <c r="H139" s="2545"/>
      <c r="I139" s="2545"/>
    </row>
    <row r="140" spans="1:11" s="928" customFormat="1" x14ac:dyDescent="0.25">
      <c r="A140" s="1065"/>
      <c r="B140" s="1066" t="s">
        <v>1512</v>
      </c>
      <c r="C140" s="684" t="s">
        <v>495</v>
      </c>
      <c r="D140" s="684" t="s">
        <v>537</v>
      </c>
      <c r="E140" s="685" t="s">
        <v>1100</v>
      </c>
      <c r="F140" s="686">
        <v>9088717.2300000004</v>
      </c>
      <c r="G140" s="686">
        <f>F140-150000</f>
        <v>8938717.2300000004</v>
      </c>
      <c r="H140" s="686">
        <f>G140-F140</f>
        <v>-150000</v>
      </c>
      <c r="I140" s="685" t="s">
        <v>1405</v>
      </c>
    </row>
    <row r="141" spans="1:11" s="928" customFormat="1" ht="30" x14ac:dyDescent="0.25">
      <c r="A141" s="1065"/>
      <c r="B141" s="1066" t="s">
        <v>142</v>
      </c>
      <c r="C141" s="708">
        <v>244</v>
      </c>
      <c r="D141" s="708">
        <v>346</v>
      </c>
      <c r="E141" s="1062" t="s">
        <v>1089</v>
      </c>
      <c r="F141" s="686">
        <v>150000</v>
      </c>
      <c r="G141" s="686">
        <v>0</v>
      </c>
      <c r="H141" s="686">
        <f>G141-F141</f>
        <v>-150000</v>
      </c>
      <c r="I141" s="685" t="s">
        <v>1548</v>
      </c>
    </row>
    <row r="142" spans="1:11" s="928" customFormat="1" x14ac:dyDescent="0.25">
      <c r="A142" s="2537" t="s">
        <v>1104</v>
      </c>
      <c r="B142" s="2537"/>
      <c r="C142" s="2537"/>
      <c r="D142" s="2537"/>
      <c r="E142" s="2537"/>
      <c r="F142" s="687">
        <f>SUM(F141:F141)</f>
        <v>150000</v>
      </c>
      <c r="G142" s="687">
        <f>SUM(G141:G141)</f>
        <v>0</v>
      </c>
      <c r="H142" s="687">
        <f>SUM(H141:H141)</f>
        <v>-150000</v>
      </c>
      <c r="I142" s="1065" t="s">
        <v>82</v>
      </c>
    </row>
    <row r="143" spans="1:11" s="928" customFormat="1" x14ac:dyDescent="0.25">
      <c r="A143" s="2545" t="s">
        <v>1511</v>
      </c>
      <c r="B143" s="2545"/>
      <c r="C143" s="2545"/>
      <c r="D143" s="2545"/>
      <c r="E143" s="2545"/>
      <c r="F143" s="2545"/>
      <c r="G143" s="2545"/>
      <c r="H143" s="2545"/>
      <c r="I143" s="2545"/>
    </row>
    <row r="144" spans="1:11" s="928" customFormat="1" ht="45" x14ac:dyDescent="0.25">
      <c r="A144" s="1066"/>
      <c r="B144" s="684" t="s">
        <v>827</v>
      </c>
      <c r="C144" s="1066">
        <v>244</v>
      </c>
      <c r="D144" s="1066">
        <v>346</v>
      </c>
      <c r="E144" s="685" t="s">
        <v>1513</v>
      </c>
      <c r="F144" s="686">
        <v>9700</v>
      </c>
      <c r="G144" s="686">
        <v>0</v>
      </c>
      <c r="H144" s="686">
        <f>G144-F144</f>
        <v>-9700</v>
      </c>
      <c r="I144" s="685" t="s">
        <v>1548</v>
      </c>
    </row>
    <row r="145" spans="1:9" s="928" customFormat="1" ht="30" x14ac:dyDescent="0.25">
      <c r="A145" s="1066"/>
      <c r="B145" s="684" t="s">
        <v>827</v>
      </c>
      <c r="C145" s="1066">
        <v>244</v>
      </c>
      <c r="D145" s="1066">
        <v>226</v>
      </c>
      <c r="E145" s="1061" t="s">
        <v>1077</v>
      </c>
      <c r="F145" s="686">
        <v>0</v>
      </c>
      <c r="G145" s="686">
        <v>9700</v>
      </c>
      <c r="H145" s="686">
        <f>G145-F145</f>
        <v>9700</v>
      </c>
      <c r="I145" s="1061" t="s">
        <v>1549</v>
      </c>
    </row>
    <row r="146" spans="1:9" s="928" customFormat="1" x14ac:dyDescent="0.25">
      <c r="A146" s="2537" t="s">
        <v>1514</v>
      </c>
      <c r="B146" s="2537"/>
      <c r="C146" s="2537"/>
      <c r="D146" s="2537"/>
      <c r="E146" s="2537"/>
      <c r="F146" s="687">
        <f>SUM(F144:F145)</f>
        <v>9700</v>
      </c>
      <c r="G146" s="687">
        <f>SUM(G144:G145)</f>
        <v>9700</v>
      </c>
      <c r="H146" s="687">
        <f>SUM(H144:H145)</f>
        <v>0</v>
      </c>
      <c r="I146" s="1065" t="s">
        <v>82</v>
      </c>
    </row>
    <row r="147" spans="1:9" s="928" customFormat="1" x14ac:dyDescent="0.25">
      <c r="A147" s="2537" t="s">
        <v>1385</v>
      </c>
      <c r="B147" s="2537"/>
      <c r="C147" s="2537"/>
      <c r="D147" s="2537"/>
      <c r="E147" s="2537"/>
      <c r="F147" s="687">
        <f>F131+F138+F142+F146</f>
        <v>5242831.47</v>
      </c>
      <c r="G147" s="687">
        <f>G131+G138+G142+G146</f>
        <v>5242831.47</v>
      </c>
      <c r="H147" s="687">
        <f>H131+H138+H142+H146</f>
        <v>0</v>
      </c>
      <c r="I147" s="1066" t="s">
        <v>82</v>
      </c>
    </row>
    <row r="148" spans="1:9" s="928" customFormat="1" x14ac:dyDescent="0.25">
      <c r="A148" s="964"/>
      <c r="B148" s="964"/>
      <c r="C148" s="964"/>
      <c r="D148" s="964"/>
      <c r="E148" s="964"/>
      <c r="F148" s="693"/>
      <c r="G148" s="693"/>
      <c r="H148" s="693"/>
      <c r="I148" s="893"/>
    </row>
    <row r="149" spans="1:9" s="928" customFormat="1" x14ac:dyDescent="0.25">
      <c r="A149" s="395" t="s">
        <v>1515</v>
      </c>
      <c r="B149" s="395"/>
      <c r="C149" s="2"/>
      <c r="D149" s="2"/>
      <c r="E149" s="2"/>
      <c r="F149" s="2"/>
      <c r="G149" s="2"/>
      <c r="H149" s="965"/>
      <c r="I149" s="966" t="s">
        <v>733</v>
      </c>
    </row>
    <row r="150" spans="1:9" s="928" customFormat="1" x14ac:dyDescent="0.25">
      <c r="A150" s="2538"/>
      <c r="B150" s="2538"/>
      <c r="C150" s="2"/>
      <c r="D150" s="2"/>
      <c r="E150" s="2"/>
      <c r="F150" s="2"/>
      <c r="G150" s="2"/>
      <c r="H150" s="2"/>
      <c r="I150" s="966"/>
    </row>
    <row r="151" spans="1:9" s="928" customFormat="1" x14ac:dyDescent="0.25">
      <c r="A151" s="2538" t="s">
        <v>239</v>
      </c>
      <c r="B151" s="2538"/>
      <c r="C151" s="2"/>
      <c r="D151" s="2"/>
      <c r="E151" s="2"/>
      <c r="F151" s="2"/>
      <c r="G151" s="2"/>
      <c r="H151" s="966"/>
      <c r="I151" s="966" t="s">
        <v>729</v>
      </c>
    </row>
    <row r="152" spans="1:9" s="1067" customFormat="1" x14ac:dyDescent="0.25"/>
    <row r="153" spans="1:9" s="928" customFormat="1" ht="18.75" x14ac:dyDescent="0.25">
      <c r="A153" s="2541" t="s">
        <v>1556</v>
      </c>
      <c r="B153" s="2541"/>
      <c r="C153" s="2541"/>
      <c r="D153" s="2541"/>
      <c r="E153" s="2541"/>
      <c r="F153" s="2541"/>
      <c r="G153" s="2541"/>
      <c r="H153" s="2541"/>
      <c r="I153" s="2541"/>
    </row>
    <row r="154" spans="1:9" s="928" customFormat="1" ht="18.75" hidden="1" x14ac:dyDescent="0.25">
      <c r="A154" s="2542" t="s">
        <v>1317</v>
      </c>
      <c r="B154" s="2542"/>
      <c r="C154" s="2542"/>
      <c r="D154" s="2542"/>
      <c r="E154" s="2542"/>
      <c r="F154" s="2542"/>
      <c r="G154" s="2542"/>
      <c r="H154" s="2542"/>
      <c r="I154" s="2542"/>
    </row>
    <row r="155" spans="1:9" s="928" customFormat="1" ht="18.75" x14ac:dyDescent="0.3">
      <c r="A155" s="2543" t="s">
        <v>1516</v>
      </c>
      <c r="B155" s="2543"/>
      <c r="C155" s="2543"/>
      <c r="D155" s="2543"/>
      <c r="E155" s="2543"/>
      <c r="F155" s="2543"/>
      <c r="G155" s="2543"/>
      <c r="H155" s="2543"/>
      <c r="I155" s="2543"/>
    </row>
    <row r="156" spans="1:9" s="928" customFormat="1" ht="9.75" customHeight="1" x14ac:dyDescent="0.3">
      <c r="A156" s="1074"/>
      <c r="B156" s="962"/>
      <c r="C156" s="962"/>
      <c r="D156" s="962"/>
      <c r="E156" s="962"/>
      <c r="F156" s="962"/>
      <c r="G156" s="962"/>
      <c r="H156" s="962"/>
      <c r="I156" s="962"/>
    </row>
    <row r="157" spans="1:9" s="928" customFormat="1" ht="48.75" customHeight="1" x14ac:dyDescent="0.25">
      <c r="A157" s="1075" t="s">
        <v>1449</v>
      </c>
      <c r="B157" s="1075" t="s">
        <v>234</v>
      </c>
      <c r="C157" s="1075" t="s">
        <v>305</v>
      </c>
      <c r="D157" s="1077" t="s">
        <v>1450</v>
      </c>
      <c r="E157" s="1077" t="s">
        <v>35</v>
      </c>
      <c r="F157" s="1077" t="s">
        <v>1451</v>
      </c>
      <c r="G157" s="1077" t="s">
        <v>491</v>
      </c>
      <c r="H157" s="1077" t="s">
        <v>492</v>
      </c>
      <c r="I157" s="1077" t="s">
        <v>1097</v>
      </c>
    </row>
    <row r="158" spans="1:9" s="928" customFormat="1" ht="18.75" x14ac:dyDescent="0.25">
      <c r="A158" s="2544" t="s">
        <v>1458</v>
      </c>
      <c r="B158" s="2544"/>
      <c r="C158" s="2544"/>
      <c r="D158" s="2544"/>
      <c r="E158" s="2544"/>
      <c r="F158" s="2544"/>
      <c r="G158" s="2544"/>
      <c r="H158" s="2544"/>
      <c r="I158" s="2544"/>
    </row>
    <row r="159" spans="1:9" s="928" customFormat="1" x14ac:dyDescent="0.25">
      <c r="A159" s="2545" t="s">
        <v>493</v>
      </c>
      <c r="B159" s="2545"/>
      <c r="C159" s="2545"/>
      <c r="D159" s="2545"/>
      <c r="E159" s="2545"/>
      <c r="F159" s="2545"/>
      <c r="G159" s="2545"/>
      <c r="H159" s="2545"/>
      <c r="I159" s="2545"/>
    </row>
    <row r="160" spans="1:9" s="928" customFormat="1" ht="30.75" customHeight="1" x14ac:dyDescent="0.25">
      <c r="A160" s="2549" t="s">
        <v>1543</v>
      </c>
      <c r="B160" s="2550"/>
      <c r="C160" s="2550"/>
      <c r="D160" s="2550"/>
      <c r="E160" s="2550"/>
      <c r="F160" s="2550"/>
      <c r="G160" s="2550"/>
      <c r="H160" s="2550"/>
      <c r="I160" s="2550"/>
    </row>
    <row r="161" spans="1:12" s="928" customFormat="1" ht="30" x14ac:dyDescent="0.25">
      <c r="A161" s="1075" t="s">
        <v>624</v>
      </c>
      <c r="B161" s="684" t="s">
        <v>1477</v>
      </c>
      <c r="C161" s="708">
        <v>247</v>
      </c>
      <c r="D161" s="708">
        <v>223</v>
      </c>
      <c r="E161" s="685" t="s">
        <v>456</v>
      </c>
      <c r="F161" s="686">
        <v>11142725.15</v>
      </c>
      <c r="G161" s="686">
        <f>F161-68189</f>
        <v>11074536.15</v>
      </c>
      <c r="H161" s="686">
        <f>G161-F161</f>
        <v>-68189</v>
      </c>
      <c r="I161" s="685" t="s">
        <v>1559</v>
      </c>
    </row>
    <row r="162" spans="1:12" s="928" customFormat="1" ht="30" x14ac:dyDescent="0.25">
      <c r="A162" s="1075" t="s">
        <v>624</v>
      </c>
      <c r="B162" s="684" t="s">
        <v>1477</v>
      </c>
      <c r="C162" s="708">
        <v>244</v>
      </c>
      <c r="D162" s="708">
        <v>225</v>
      </c>
      <c r="E162" s="685" t="s">
        <v>457</v>
      </c>
      <c r="F162" s="686">
        <v>828987.78</v>
      </c>
      <c r="G162" s="686">
        <f>F162+68189</f>
        <v>897176.78</v>
      </c>
      <c r="H162" s="686">
        <f>G162-F162</f>
        <v>68189</v>
      </c>
      <c r="I162" s="685" t="s">
        <v>1554</v>
      </c>
    </row>
    <row r="163" spans="1:12" s="928" customFormat="1" x14ac:dyDescent="0.25">
      <c r="A163" s="2537" t="s">
        <v>718</v>
      </c>
      <c r="B163" s="2537"/>
      <c r="C163" s="2537"/>
      <c r="D163" s="2537"/>
      <c r="E163" s="2537"/>
      <c r="F163" s="687">
        <f>SUM(F161:F162)</f>
        <v>11971712.93</v>
      </c>
      <c r="G163" s="687">
        <f>SUM(G161:G162)</f>
        <v>11971712.93</v>
      </c>
      <c r="H163" s="687">
        <f>SUM(H161:H162)</f>
        <v>0</v>
      </c>
      <c r="I163" s="1077" t="s">
        <v>82</v>
      </c>
      <c r="J163" s="685"/>
    </row>
    <row r="164" spans="1:12" s="928" customFormat="1" x14ac:dyDescent="0.25">
      <c r="A164" s="2545" t="s">
        <v>155</v>
      </c>
      <c r="B164" s="2545"/>
      <c r="C164" s="2545"/>
      <c r="D164" s="2545"/>
      <c r="E164" s="2545"/>
      <c r="F164" s="2545"/>
      <c r="G164" s="2545"/>
      <c r="H164" s="2545"/>
      <c r="I164" s="2545"/>
    </row>
    <row r="165" spans="1:12" s="1027" customFormat="1" ht="30" x14ac:dyDescent="0.25">
      <c r="A165" s="1026"/>
      <c r="B165" s="538" t="s">
        <v>34</v>
      </c>
      <c r="C165" s="708">
        <v>247</v>
      </c>
      <c r="D165" s="708">
        <v>223</v>
      </c>
      <c r="E165" s="685" t="s">
        <v>456</v>
      </c>
      <c r="F165" s="686">
        <v>880000</v>
      </c>
      <c r="G165" s="686">
        <f>F165-100526.29</f>
        <v>779473.71</v>
      </c>
      <c r="H165" s="686">
        <f>G165-F165</f>
        <v>-100526.29</v>
      </c>
      <c r="I165" s="685" t="s">
        <v>1557</v>
      </c>
      <c r="J165" s="686"/>
      <c r="K165" s="686"/>
      <c r="L165" s="686"/>
    </row>
    <row r="166" spans="1:12" s="928" customFormat="1" ht="30" x14ac:dyDescent="0.25">
      <c r="A166" s="1028"/>
      <c r="B166" s="538" t="s">
        <v>34</v>
      </c>
      <c r="C166" s="1075">
        <v>244</v>
      </c>
      <c r="D166" s="533">
        <v>226</v>
      </c>
      <c r="E166" s="1073" t="s">
        <v>1077</v>
      </c>
      <c r="F166" s="536">
        <v>1201575.93</v>
      </c>
      <c r="G166" s="536">
        <f>F166+100526.29</f>
        <v>1302102.22</v>
      </c>
      <c r="H166" s="539">
        <f>G166-F166</f>
        <v>100526.29</v>
      </c>
      <c r="I166" s="1073" t="s">
        <v>1558</v>
      </c>
    </row>
    <row r="167" spans="1:12" s="928" customFormat="1" x14ac:dyDescent="0.25">
      <c r="A167" s="2537" t="s">
        <v>1125</v>
      </c>
      <c r="B167" s="2537"/>
      <c r="C167" s="2537"/>
      <c r="D167" s="2537"/>
      <c r="E167" s="2537"/>
      <c r="F167" s="687">
        <f>SUM(F165:F166)</f>
        <v>2081575.93</v>
      </c>
      <c r="G167" s="687">
        <f>SUM(G165:G166)</f>
        <v>2081575.93</v>
      </c>
      <c r="H167" s="687">
        <f>SUM(H165:H166)</f>
        <v>0</v>
      </c>
      <c r="I167" s="1077" t="s">
        <v>82</v>
      </c>
    </row>
    <row r="168" spans="1:12" s="928" customFormat="1" x14ac:dyDescent="0.25">
      <c r="A168" s="2537" t="s">
        <v>1385</v>
      </c>
      <c r="B168" s="2537"/>
      <c r="C168" s="2537"/>
      <c r="D168" s="2537"/>
      <c r="E168" s="2537"/>
      <c r="F168" s="687">
        <f>F163+F167</f>
        <v>14053288.859999999</v>
      </c>
      <c r="G168" s="687">
        <f>G163+G167</f>
        <v>14053288.859999999</v>
      </c>
      <c r="H168" s="687">
        <f>H163+H167</f>
        <v>0</v>
      </c>
      <c r="I168" s="1075" t="s">
        <v>82</v>
      </c>
    </row>
    <row r="169" spans="1:12" s="1076" customFormat="1" x14ac:dyDescent="0.25"/>
    <row r="170" spans="1:12" s="928" customFormat="1" x14ac:dyDescent="0.25">
      <c r="A170" s="395" t="s">
        <v>1515</v>
      </c>
      <c r="B170" s="395"/>
      <c r="C170" s="2"/>
      <c r="D170" s="2"/>
      <c r="E170" s="2"/>
      <c r="F170" s="2"/>
      <c r="G170" s="2"/>
      <c r="H170" s="965"/>
      <c r="I170" s="966" t="s">
        <v>733</v>
      </c>
    </row>
    <row r="171" spans="1:12" s="928" customFormat="1" x14ac:dyDescent="0.25">
      <c r="A171" s="2538"/>
      <c r="B171" s="2538"/>
      <c r="C171" s="2"/>
      <c r="D171" s="2"/>
      <c r="E171" s="2"/>
      <c r="F171" s="2"/>
      <c r="G171" s="2"/>
      <c r="H171" s="2"/>
      <c r="I171" s="966"/>
    </row>
    <row r="172" spans="1:12" s="928" customFormat="1" x14ac:dyDescent="0.25">
      <c r="A172" s="2538" t="s">
        <v>239</v>
      </c>
      <c r="B172" s="2538"/>
      <c r="C172" s="2"/>
      <c r="D172" s="2"/>
      <c r="E172" s="2"/>
      <c r="F172" s="2"/>
      <c r="G172" s="2"/>
      <c r="H172" s="966"/>
      <c r="I172" s="966" t="s">
        <v>729</v>
      </c>
    </row>
    <row r="173" spans="1:12" s="1076" customFormat="1" x14ac:dyDescent="0.25"/>
    <row r="174" spans="1:12" s="928" customFormat="1" ht="18.75" x14ac:dyDescent="0.25">
      <c r="A174" s="2541" t="s">
        <v>1592</v>
      </c>
      <c r="B174" s="2541"/>
      <c r="C174" s="2541"/>
      <c r="D174" s="2541"/>
      <c r="E174" s="2541"/>
      <c r="F174" s="2541"/>
      <c r="G174" s="2541"/>
      <c r="H174" s="2541"/>
      <c r="I174" s="2541"/>
    </row>
    <row r="175" spans="1:12" s="928" customFormat="1" ht="18.75" hidden="1" x14ac:dyDescent="0.25">
      <c r="A175" s="2542" t="s">
        <v>1317</v>
      </c>
      <c r="B175" s="2542"/>
      <c r="C175" s="2542"/>
      <c r="D175" s="2542"/>
      <c r="E175" s="2542"/>
      <c r="F175" s="2542"/>
      <c r="G175" s="2542"/>
      <c r="H175" s="2542"/>
      <c r="I175" s="2542"/>
    </row>
    <row r="176" spans="1:12" s="928" customFormat="1" ht="18.75" x14ac:dyDescent="0.3">
      <c r="A176" s="2543" t="s">
        <v>1516</v>
      </c>
      <c r="B176" s="2543"/>
      <c r="C176" s="2543"/>
      <c r="D176" s="2543"/>
      <c r="E176" s="2543"/>
      <c r="F176" s="2543"/>
      <c r="G176" s="2543"/>
      <c r="H176" s="2543"/>
      <c r="I176" s="2543"/>
    </row>
    <row r="177" spans="1:12" s="928" customFormat="1" ht="9.75" customHeight="1" x14ac:dyDescent="0.3">
      <c r="A177" s="1082"/>
      <c r="B177" s="962"/>
      <c r="C177" s="962"/>
      <c r="D177" s="962"/>
      <c r="E177" s="962"/>
      <c r="F177" s="962"/>
      <c r="G177" s="962"/>
      <c r="H177" s="962"/>
      <c r="I177" s="962"/>
    </row>
    <row r="178" spans="1:12" s="928" customFormat="1" ht="48.75" customHeight="1" x14ac:dyDescent="0.25">
      <c r="A178" s="1085" t="s">
        <v>1449</v>
      </c>
      <c r="B178" s="1085" t="s">
        <v>234</v>
      </c>
      <c r="C178" s="1085" t="s">
        <v>305</v>
      </c>
      <c r="D178" s="1084" t="s">
        <v>1450</v>
      </c>
      <c r="E178" s="1084" t="s">
        <v>35</v>
      </c>
      <c r="F178" s="1084" t="s">
        <v>1451</v>
      </c>
      <c r="G178" s="1084" t="s">
        <v>491</v>
      </c>
      <c r="H178" s="1084" t="s">
        <v>492</v>
      </c>
      <c r="I178" s="1084" t="s">
        <v>1097</v>
      </c>
    </row>
    <row r="179" spans="1:12" s="928" customFormat="1" ht="18.75" x14ac:dyDescent="0.25">
      <c r="A179" s="2544" t="s">
        <v>1458</v>
      </c>
      <c r="B179" s="2544"/>
      <c r="C179" s="2544"/>
      <c r="D179" s="2544"/>
      <c r="E179" s="2544"/>
      <c r="F179" s="2544"/>
      <c r="G179" s="2544"/>
      <c r="H179" s="2544"/>
      <c r="I179" s="2544"/>
    </row>
    <row r="180" spans="1:12" s="928" customFormat="1" x14ac:dyDescent="0.25">
      <c r="A180" s="2545" t="s">
        <v>1422</v>
      </c>
      <c r="B180" s="2545"/>
      <c r="C180" s="2545"/>
      <c r="D180" s="2545"/>
      <c r="E180" s="2545"/>
      <c r="F180" s="2545"/>
      <c r="G180" s="2545"/>
      <c r="H180" s="2545"/>
      <c r="I180" s="2545"/>
    </row>
    <row r="181" spans="1:12" s="928" customFormat="1" x14ac:dyDescent="0.25">
      <c r="A181" s="1085" t="s">
        <v>1497</v>
      </c>
      <c r="B181" s="684" t="s">
        <v>1584</v>
      </c>
      <c r="C181" s="1085">
        <v>244</v>
      </c>
      <c r="D181" s="1085">
        <v>310</v>
      </c>
      <c r="E181" s="2554" t="s">
        <v>1506</v>
      </c>
      <c r="F181" s="686">
        <v>2340</v>
      </c>
      <c r="G181" s="686">
        <v>1062</v>
      </c>
      <c r="H181" s="686">
        <f>G181-F181</f>
        <v>-1278</v>
      </c>
      <c r="I181" s="2547" t="s">
        <v>1586</v>
      </c>
    </row>
    <row r="182" spans="1:12" s="928" customFormat="1" x14ac:dyDescent="0.25">
      <c r="A182" s="1085" t="s">
        <v>1497</v>
      </c>
      <c r="B182" s="684" t="s">
        <v>1584</v>
      </c>
      <c r="C182" s="1085">
        <v>244</v>
      </c>
      <c r="D182" s="1085">
        <v>341</v>
      </c>
      <c r="E182" s="2358"/>
      <c r="F182" s="686">
        <v>26433</v>
      </c>
      <c r="G182" s="686">
        <v>25433</v>
      </c>
      <c r="H182" s="686">
        <f>G182-F182</f>
        <v>-1000</v>
      </c>
      <c r="I182" s="2552"/>
    </row>
    <row r="183" spans="1:12" s="928" customFormat="1" x14ac:dyDescent="0.25">
      <c r="A183" s="2537" t="s">
        <v>1585</v>
      </c>
      <c r="B183" s="2537"/>
      <c r="C183" s="2537"/>
      <c r="D183" s="2537"/>
      <c r="E183" s="2537"/>
      <c r="F183" s="687">
        <f>SUM(F181:F182)</f>
        <v>28773</v>
      </c>
      <c r="G183" s="687">
        <f>SUM(G181:G182)</f>
        <v>26495</v>
      </c>
      <c r="H183" s="687">
        <f>SUM(H181:H182)</f>
        <v>-2278</v>
      </c>
      <c r="I183" s="1083" t="s">
        <v>82</v>
      </c>
    </row>
    <row r="184" spans="1:12" s="928" customFormat="1" x14ac:dyDescent="0.25">
      <c r="A184" s="2545" t="s">
        <v>155</v>
      </c>
      <c r="B184" s="2545"/>
      <c r="C184" s="2545"/>
      <c r="D184" s="2545"/>
      <c r="E184" s="2545"/>
      <c r="F184" s="2545"/>
      <c r="G184" s="2545"/>
      <c r="H184" s="2545"/>
      <c r="I184" s="2546"/>
      <c r="J184" s="1088"/>
      <c r="K184" s="1088"/>
    </row>
    <row r="185" spans="1:12" s="928" customFormat="1" ht="30" x14ac:dyDescent="0.25">
      <c r="A185" s="1083"/>
      <c r="B185" s="538" t="s">
        <v>34</v>
      </c>
      <c r="C185" s="532">
        <v>119</v>
      </c>
      <c r="D185" s="532">
        <v>213</v>
      </c>
      <c r="E185" s="685" t="s">
        <v>89</v>
      </c>
      <c r="F185" s="546">
        <v>767472.6</v>
      </c>
      <c r="G185" s="546">
        <f>F185-118425.4</f>
        <v>649047.19999999995</v>
      </c>
      <c r="H185" s="686">
        <f>G185-F185</f>
        <v>-118425.4</v>
      </c>
      <c r="I185" s="707" t="s">
        <v>1429</v>
      </c>
      <c r="J185" s="1088"/>
      <c r="K185" s="1088"/>
    </row>
    <row r="186" spans="1:12" s="928" customFormat="1" ht="30" x14ac:dyDescent="0.25">
      <c r="A186" s="1083"/>
      <c r="B186" s="538" t="s">
        <v>34</v>
      </c>
      <c r="C186" s="532">
        <v>112</v>
      </c>
      <c r="D186" s="532">
        <v>112</v>
      </c>
      <c r="E186" s="547" t="s">
        <v>1407</v>
      </c>
      <c r="F186" s="546">
        <v>5600</v>
      </c>
      <c r="G186" s="546">
        <f>11600+4000</f>
        <v>15600</v>
      </c>
      <c r="H186" s="535">
        <f t="shared" ref="H186:H191" si="11">G186-F186</f>
        <v>10000</v>
      </c>
      <c r="I186" s="1080" t="s">
        <v>1588</v>
      </c>
      <c r="J186" s="1088"/>
      <c r="K186" s="1088"/>
    </row>
    <row r="187" spans="1:12" s="928" customFormat="1" ht="30" x14ac:dyDescent="0.25">
      <c r="A187" s="1083"/>
      <c r="B187" s="538" t="s">
        <v>34</v>
      </c>
      <c r="C187" s="532">
        <v>112</v>
      </c>
      <c r="D187" s="532">
        <v>226</v>
      </c>
      <c r="E187" s="547" t="s">
        <v>1587</v>
      </c>
      <c r="F187" s="546">
        <v>45000</v>
      </c>
      <c r="G187" s="546">
        <f>133425.4+20000</f>
        <v>153425.4</v>
      </c>
      <c r="H187" s="535">
        <f t="shared" si="11"/>
        <v>108425.4</v>
      </c>
      <c r="I187" s="1080" t="s">
        <v>1589</v>
      </c>
      <c r="J187" s="1088"/>
      <c r="K187" s="1088"/>
    </row>
    <row r="188" spans="1:12" s="1027" customFormat="1" ht="30" x14ac:dyDescent="0.25">
      <c r="A188" s="1026"/>
      <c r="B188" s="538" t="s">
        <v>34</v>
      </c>
      <c r="C188" s="1085">
        <v>244</v>
      </c>
      <c r="D188" s="533">
        <v>225</v>
      </c>
      <c r="E188" s="685" t="s">
        <v>457</v>
      </c>
      <c r="F188" s="686">
        <v>1586076.96</v>
      </c>
      <c r="G188" s="686">
        <f>F188+24709</f>
        <v>1610785.96</v>
      </c>
      <c r="H188" s="686">
        <f t="shared" si="11"/>
        <v>24709</v>
      </c>
      <c r="I188" s="1080" t="s">
        <v>1582</v>
      </c>
      <c r="J188" s="1008"/>
      <c r="K188" s="1008"/>
      <c r="L188" s="1087"/>
    </row>
    <row r="189" spans="1:12" s="928" customFormat="1" ht="45" x14ac:dyDescent="0.25">
      <c r="A189" s="1028"/>
      <c r="B189" s="538" t="s">
        <v>34</v>
      </c>
      <c r="C189" s="1085">
        <v>244</v>
      </c>
      <c r="D189" s="533">
        <v>226</v>
      </c>
      <c r="E189" s="1080" t="s">
        <v>1077</v>
      </c>
      <c r="F189" s="536">
        <v>1302102.22</v>
      </c>
      <c r="G189" s="536">
        <f>1195426.42-1025.85</f>
        <v>1194400.57</v>
      </c>
      <c r="H189" s="686">
        <f t="shared" si="11"/>
        <v>-107701.65</v>
      </c>
      <c r="I189" s="1080" t="s">
        <v>1590</v>
      </c>
      <c r="J189" s="1088"/>
      <c r="K189" s="1088"/>
    </row>
    <row r="190" spans="1:12" s="928" customFormat="1" ht="30" x14ac:dyDescent="0.25">
      <c r="A190" s="1083"/>
      <c r="B190" s="538" t="s">
        <v>34</v>
      </c>
      <c r="C190" s="708">
        <v>244</v>
      </c>
      <c r="D190" s="708">
        <v>346</v>
      </c>
      <c r="E190" s="1081" t="s">
        <v>1089</v>
      </c>
      <c r="F190" s="686">
        <v>100000</v>
      </c>
      <c r="G190" s="686">
        <f>100000+81966.8+1025.85+0.2</f>
        <v>182992.85</v>
      </c>
      <c r="H190" s="686">
        <f t="shared" si="11"/>
        <v>82992.850000000006</v>
      </c>
      <c r="I190" s="685" t="s">
        <v>1591</v>
      </c>
      <c r="J190" s="1088"/>
      <c r="K190" s="1088"/>
    </row>
    <row r="191" spans="1:12" s="1027" customFormat="1" ht="30" x14ac:dyDescent="0.25">
      <c r="A191" s="1026"/>
      <c r="B191" s="538" t="s">
        <v>34</v>
      </c>
      <c r="C191" s="708">
        <v>247</v>
      </c>
      <c r="D191" s="708">
        <v>223</v>
      </c>
      <c r="E191" s="685" t="s">
        <v>456</v>
      </c>
      <c r="F191" s="686">
        <v>779473.71</v>
      </c>
      <c r="G191" s="686">
        <f>F191-0.2</f>
        <v>779473.51</v>
      </c>
      <c r="H191" s="686">
        <f t="shared" si="11"/>
        <v>-0.2</v>
      </c>
      <c r="I191" s="685" t="s">
        <v>1557</v>
      </c>
      <c r="J191" s="1008"/>
      <c r="K191" s="1008"/>
      <c r="L191" s="1087"/>
    </row>
    <row r="192" spans="1:12" s="928" customFormat="1" x14ac:dyDescent="0.25">
      <c r="A192" s="2537" t="s">
        <v>1125</v>
      </c>
      <c r="B192" s="2537"/>
      <c r="C192" s="2537"/>
      <c r="D192" s="2537"/>
      <c r="E192" s="2537"/>
      <c r="F192" s="687">
        <f>SUM(F185:F191)</f>
        <v>4585725.49</v>
      </c>
      <c r="G192" s="687">
        <f>SUM(G185:G191)</f>
        <v>4585725.49</v>
      </c>
      <c r="H192" s="687">
        <f>SUM(H185:H191)</f>
        <v>0</v>
      </c>
      <c r="I192" s="1084" t="s">
        <v>82</v>
      </c>
      <c r="J192" s="1088"/>
      <c r="K192" s="1088"/>
    </row>
    <row r="193" spans="1:12" s="928" customFormat="1" x14ac:dyDescent="0.25">
      <c r="A193" s="2537" t="s">
        <v>1385</v>
      </c>
      <c r="B193" s="2537"/>
      <c r="C193" s="2537"/>
      <c r="D193" s="2537"/>
      <c r="E193" s="2537"/>
      <c r="F193" s="687">
        <f>F192+F183</f>
        <v>4614498.49</v>
      </c>
      <c r="G193" s="687">
        <f>G192+G183</f>
        <v>4612220.49</v>
      </c>
      <c r="H193" s="687">
        <f>H192+H183</f>
        <v>-2278</v>
      </c>
      <c r="I193" s="1085" t="s">
        <v>82</v>
      </c>
      <c r="J193" s="1088"/>
      <c r="K193" s="1088"/>
    </row>
    <row r="194" spans="1:12" s="1086" customFormat="1" x14ac:dyDescent="0.25">
      <c r="J194" s="894"/>
      <c r="K194" s="894"/>
    </row>
    <row r="195" spans="1:12" s="928" customFormat="1" x14ac:dyDescent="0.25">
      <c r="A195" s="395" t="s">
        <v>1515</v>
      </c>
      <c r="B195" s="395"/>
      <c r="C195" s="2"/>
      <c r="D195" s="2"/>
      <c r="E195" s="2"/>
      <c r="F195" s="2"/>
      <c r="G195" s="2"/>
      <c r="H195" s="965"/>
      <c r="I195" s="966" t="s">
        <v>733</v>
      </c>
      <c r="J195" s="1088"/>
      <c r="K195" s="1088"/>
    </row>
    <row r="196" spans="1:12" s="928" customFormat="1" x14ac:dyDescent="0.25">
      <c r="A196" s="2538"/>
      <c r="B196" s="2538"/>
      <c r="C196" s="2"/>
      <c r="D196" s="2"/>
      <c r="E196" s="2"/>
      <c r="F196" s="2"/>
      <c r="G196" s="2"/>
      <c r="H196" s="2"/>
      <c r="I196" s="966"/>
    </row>
    <row r="197" spans="1:12" s="928" customFormat="1" x14ac:dyDescent="0.25">
      <c r="A197" s="2538" t="s">
        <v>239</v>
      </c>
      <c r="B197" s="2538"/>
      <c r="C197" s="2"/>
      <c r="D197" s="2"/>
      <c r="E197" s="2"/>
      <c r="F197" s="2"/>
      <c r="G197" s="2"/>
      <c r="H197" s="966"/>
      <c r="I197" s="966" t="s">
        <v>729</v>
      </c>
    </row>
    <row r="198" spans="1:12" s="1086" customFormat="1" x14ac:dyDescent="0.25"/>
    <row r="199" spans="1:12" s="928" customFormat="1" ht="18.75" x14ac:dyDescent="0.25">
      <c r="A199" s="2541" t="s">
        <v>1597</v>
      </c>
      <c r="B199" s="2541"/>
      <c r="C199" s="2541"/>
      <c r="D199" s="2541"/>
      <c r="E199" s="2541"/>
      <c r="F199" s="2541"/>
      <c r="G199" s="2541"/>
      <c r="H199" s="2541"/>
      <c r="I199" s="2541"/>
    </row>
    <row r="200" spans="1:12" s="928" customFormat="1" ht="18.75" hidden="1" x14ac:dyDescent="0.25">
      <c r="A200" s="2542" t="s">
        <v>1317</v>
      </c>
      <c r="B200" s="2542"/>
      <c r="C200" s="2542"/>
      <c r="D200" s="2542"/>
      <c r="E200" s="2542"/>
      <c r="F200" s="2542"/>
      <c r="G200" s="2542"/>
      <c r="H200" s="2542"/>
      <c r="I200" s="2542"/>
    </row>
    <row r="201" spans="1:12" s="928" customFormat="1" ht="18.75" x14ac:dyDescent="0.3">
      <c r="A201" s="2543" t="s">
        <v>1516</v>
      </c>
      <c r="B201" s="2543"/>
      <c r="C201" s="2543"/>
      <c r="D201" s="2543"/>
      <c r="E201" s="2543"/>
      <c r="F201" s="2543"/>
      <c r="G201" s="2543"/>
      <c r="H201" s="2543"/>
      <c r="I201" s="2543"/>
    </row>
    <row r="202" spans="1:12" s="928" customFormat="1" ht="9.75" customHeight="1" x14ac:dyDescent="0.3">
      <c r="A202" s="1090"/>
      <c r="B202" s="962"/>
      <c r="C202" s="962"/>
      <c r="D202" s="962"/>
      <c r="E202" s="962"/>
      <c r="F202" s="962"/>
      <c r="G202" s="962"/>
      <c r="H202" s="962"/>
      <c r="I202" s="962"/>
    </row>
    <row r="203" spans="1:12" s="928" customFormat="1" ht="48.75" customHeight="1" x14ac:dyDescent="0.25">
      <c r="A203" s="1094" t="s">
        <v>1449</v>
      </c>
      <c r="B203" s="1094" t="s">
        <v>234</v>
      </c>
      <c r="C203" s="1094" t="s">
        <v>305</v>
      </c>
      <c r="D203" s="1093" t="s">
        <v>1450</v>
      </c>
      <c r="E203" s="1093" t="s">
        <v>35</v>
      </c>
      <c r="F203" s="1093" t="s">
        <v>1451</v>
      </c>
      <c r="G203" s="1093" t="s">
        <v>491</v>
      </c>
      <c r="H203" s="1093" t="s">
        <v>492</v>
      </c>
      <c r="I203" s="1093" t="s">
        <v>1097</v>
      </c>
    </row>
    <row r="204" spans="1:12" s="928" customFormat="1" ht="18.75" x14ac:dyDescent="0.25">
      <c r="A204" s="2544" t="s">
        <v>1458</v>
      </c>
      <c r="B204" s="2544"/>
      <c r="C204" s="2544"/>
      <c r="D204" s="2544"/>
      <c r="E204" s="2544"/>
      <c r="F204" s="2544"/>
      <c r="G204" s="2544"/>
      <c r="H204" s="2544"/>
      <c r="I204" s="2544"/>
    </row>
    <row r="205" spans="1:12" s="928" customFormat="1" x14ac:dyDescent="0.25">
      <c r="A205" s="2545" t="s">
        <v>493</v>
      </c>
      <c r="B205" s="2545"/>
      <c r="C205" s="2545"/>
      <c r="D205" s="2545"/>
      <c r="E205" s="2545"/>
      <c r="F205" s="2545"/>
      <c r="G205" s="2545"/>
      <c r="H205" s="2545"/>
      <c r="I205" s="2545"/>
    </row>
    <row r="206" spans="1:12" s="928" customFormat="1" ht="30" customHeight="1" x14ac:dyDescent="0.25">
      <c r="A206" s="2549" t="s">
        <v>1543</v>
      </c>
      <c r="B206" s="2550"/>
      <c r="C206" s="2550"/>
      <c r="D206" s="2550"/>
      <c r="E206" s="2550"/>
      <c r="F206" s="2550"/>
      <c r="G206" s="2550"/>
      <c r="H206" s="2550"/>
      <c r="I206" s="2550"/>
    </row>
    <row r="207" spans="1:12" s="1027" customFormat="1" x14ac:dyDescent="0.25">
      <c r="A207" s="529" t="s">
        <v>626</v>
      </c>
      <c r="B207" s="530" t="s">
        <v>67</v>
      </c>
      <c r="C207" s="529">
        <v>111</v>
      </c>
      <c r="D207" s="529">
        <v>211</v>
      </c>
      <c r="E207" s="1089" t="s">
        <v>179</v>
      </c>
      <c r="F207" s="528">
        <v>218465038.49000001</v>
      </c>
      <c r="G207" s="528">
        <f>F207-17093529.12</f>
        <v>201371509.37</v>
      </c>
      <c r="H207" s="528">
        <f>G207-F207</f>
        <v>-17093529.120000001</v>
      </c>
      <c r="I207" s="707" t="s">
        <v>1429</v>
      </c>
      <c r="J207" s="943">
        <f>F207+F208-22121956.97</f>
        <v>262185705.19999999</v>
      </c>
      <c r="K207" s="944">
        <f>J207*100/130.2</f>
        <v>201371509.37</v>
      </c>
      <c r="L207" s="565">
        <f>F207-K207</f>
        <v>17093529.120000001</v>
      </c>
    </row>
    <row r="208" spans="1:12" s="1027" customFormat="1" x14ac:dyDescent="0.25">
      <c r="A208" s="529" t="s">
        <v>626</v>
      </c>
      <c r="B208" s="530" t="s">
        <v>67</v>
      </c>
      <c r="C208" s="1099">
        <v>119</v>
      </c>
      <c r="D208" s="1099">
        <v>213</v>
      </c>
      <c r="E208" s="685" t="s">
        <v>494</v>
      </c>
      <c r="F208" s="1027">
        <v>65842623.68</v>
      </c>
      <c r="G208" s="528">
        <f>F208-5028427.85</f>
        <v>60814195.829999998</v>
      </c>
      <c r="H208" s="528">
        <f>G208-F208</f>
        <v>-5028427.8499999996</v>
      </c>
      <c r="I208" s="707" t="s">
        <v>1429</v>
      </c>
      <c r="J208" s="928"/>
      <c r="K208" s="944">
        <f>K207*30.2%</f>
        <v>60814195.829999998</v>
      </c>
      <c r="L208" s="565">
        <f>F208-K208</f>
        <v>5028427.8499999996</v>
      </c>
    </row>
    <row r="209" spans="1:11" s="1027" customFormat="1" ht="30" x14ac:dyDescent="0.25">
      <c r="A209" s="529" t="s">
        <v>626</v>
      </c>
      <c r="B209" s="530" t="s">
        <v>67</v>
      </c>
      <c r="C209" s="529">
        <v>244</v>
      </c>
      <c r="D209" s="529">
        <v>310</v>
      </c>
      <c r="E209" s="685" t="s">
        <v>1598</v>
      </c>
      <c r="F209" s="528">
        <v>5398367</v>
      </c>
      <c r="G209" s="528">
        <v>23377209.98</v>
      </c>
      <c r="H209" s="528">
        <f>G209-F209</f>
        <v>17978842.98</v>
      </c>
      <c r="I209" s="1096" t="s">
        <v>1599</v>
      </c>
      <c r="J209" s="1103">
        <f>G209-'4 (2025)'!J619</f>
        <v>-13146181.32</v>
      </c>
      <c r="K209" s="1027">
        <v>-2100.02</v>
      </c>
    </row>
    <row r="210" spans="1:11" s="1027" customFormat="1" ht="45" x14ac:dyDescent="0.25">
      <c r="A210" s="529" t="s">
        <v>626</v>
      </c>
      <c r="B210" s="530" t="s">
        <v>67</v>
      </c>
      <c r="C210" s="529">
        <v>244</v>
      </c>
      <c r="D210" s="529">
        <v>346</v>
      </c>
      <c r="E210" s="685" t="s">
        <v>1260</v>
      </c>
      <c r="F210" s="528">
        <v>310432.59000000003</v>
      </c>
      <c r="G210" s="528">
        <v>4453546.58</v>
      </c>
      <c r="H210" s="528">
        <f>G210-F210</f>
        <v>4143113.99</v>
      </c>
      <c r="I210" s="1100" t="s">
        <v>1600</v>
      </c>
      <c r="J210" s="1103">
        <f>G210-'4 (2025)'!J900</f>
        <v>-3627308.42</v>
      </c>
      <c r="K210" s="1027">
        <v>-1.59</v>
      </c>
    </row>
    <row r="211" spans="1:11" s="928" customFormat="1" x14ac:dyDescent="0.25">
      <c r="A211" s="2537" t="s">
        <v>1352</v>
      </c>
      <c r="B211" s="2537"/>
      <c r="C211" s="2537"/>
      <c r="D211" s="2537"/>
      <c r="E211" s="2537"/>
      <c r="F211" s="687">
        <f>SUM(F207:F210)</f>
        <v>290016461.75999999</v>
      </c>
      <c r="G211" s="687">
        <f>SUM(G207:G210)</f>
        <v>290016461.75999999</v>
      </c>
      <c r="H211" s="687">
        <f>SUM(H207:H210)</f>
        <v>0</v>
      </c>
      <c r="I211" s="1091" t="s">
        <v>82</v>
      </c>
    </row>
    <row r="212" spans="1:11" s="928" customFormat="1" hidden="1" x14ac:dyDescent="0.25">
      <c r="A212" s="1092"/>
      <c r="B212" s="1092"/>
      <c r="C212" s="1092"/>
      <c r="D212" s="1092"/>
      <c r="E212" s="1092"/>
      <c r="F212" s="687"/>
      <c r="G212" s="687"/>
      <c r="H212" s="687"/>
      <c r="I212" s="1095"/>
    </row>
    <row r="213" spans="1:11" s="928" customFormat="1" hidden="1" x14ac:dyDescent="0.25">
      <c r="A213" s="1092"/>
      <c r="B213" s="1092"/>
      <c r="C213" s="1092"/>
      <c r="D213" s="1092"/>
      <c r="E213" s="1092"/>
      <c r="F213" s="687"/>
      <c r="G213" s="687"/>
      <c r="H213" s="687"/>
      <c r="I213" s="1095"/>
    </row>
    <row r="214" spans="1:11" s="928" customFormat="1" hidden="1" x14ac:dyDescent="0.25">
      <c r="A214" s="1092"/>
      <c r="B214" s="1092"/>
      <c r="C214" s="1092"/>
      <c r="D214" s="1092"/>
      <c r="E214" s="1092"/>
      <c r="F214" s="687"/>
      <c r="G214" s="687"/>
      <c r="H214" s="687"/>
      <c r="I214" s="1095"/>
    </row>
    <row r="215" spans="1:11" s="928" customFormat="1" x14ac:dyDescent="0.25">
      <c r="A215" s="2537" t="s">
        <v>1385</v>
      </c>
      <c r="B215" s="2537"/>
      <c r="C215" s="2537"/>
      <c r="D215" s="2537"/>
      <c r="E215" s="2537"/>
      <c r="F215" s="687">
        <f>F211</f>
        <v>290016461.75999999</v>
      </c>
      <c r="G215" s="687">
        <f>G211</f>
        <v>290016461.75999999</v>
      </c>
      <c r="H215" s="687">
        <f>H211</f>
        <v>0</v>
      </c>
      <c r="I215" s="1094" t="s">
        <v>82</v>
      </c>
      <c r="J215" s="1088"/>
      <c r="K215" s="1088"/>
    </row>
    <row r="216" spans="1:11" s="1097" customFormat="1" x14ac:dyDescent="0.25">
      <c r="J216" s="894"/>
      <c r="K216" s="894"/>
    </row>
    <row r="217" spans="1:11" s="928" customFormat="1" x14ac:dyDescent="0.25">
      <c r="A217" s="395" t="s">
        <v>1515</v>
      </c>
      <c r="B217" s="395"/>
      <c r="C217" s="2"/>
      <c r="D217" s="2"/>
      <c r="E217" s="2"/>
      <c r="F217" s="2"/>
      <c r="G217" s="2"/>
      <c r="H217" s="965"/>
      <c r="I217" s="966" t="s">
        <v>733</v>
      </c>
      <c r="J217" s="1088"/>
      <c r="K217" s="1088"/>
    </row>
    <row r="218" spans="1:11" s="928" customFormat="1" x14ac:dyDescent="0.25">
      <c r="A218" s="2538"/>
      <c r="B218" s="2538"/>
      <c r="C218" s="2"/>
      <c r="D218" s="2"/>
      <c r="E218" s="2"/>
      <c r="F218" s="2"/>
      <c r="G218" s="2"/>
      <c r="H218" s="2"/>
      <c r="I218" s="966"/>
    </row>
    <row r="219" spans="1:11" s="928" customFormat="1" x14ac:dyDescent="0.25">
      <c r="A219" s="2538" t="s">
        <v>239</v>
      </c>
      <c r="B219" s="2538"/>
      <c r="C219" s="2"/>
      <c r="D219" s="2"/>
      <c r="E219" s="2"/>
      <c r="F219" s="2"/>
      <c r="G219" s="2"/>
      <c r="H219" s="966"/>
      <c r="I219" s="966" t="s">
        <v>729</v>
      </c>
    </row>
    <row r="220" spans="1:11" s="928" customFormat="1" x14ac:dyDescent="0.25">
      <c r="A220" s="1154"/>
      <c r="B220" s="1154"/>
      <c r="C220" s="2"/>
      <c r="D220" s="2"/>
      <c r="E220" s="2"/>
      <c r="F220" s="2"/>
      <c r="G220" s="2"/>
      <c r="H220" s="966"/>
      <c r="I220" s="966"/>
    </row>
    <row r="221" spans="1:11" s="1153" customFormat="1" ht="18.75" x14ac:dyDescent="0.25">
      <c r="A221" s="2541" t="s">
        <v>1630</v>
      </c>
      <c r="B221" s="2541"/>
      <c r="C221" s="2541"/>
      <c r="D221" s="2541"/>
      <c r="E221" s="2541"/>
      <c r="F221" s="2541"/>
      <c r="G221" s="2541"/>
      <c r="H221" s="2541"/>
      <c r="I221" s="2541"/>
    </row>
    <row r="222" spans="1:11" s="1153" customFormat="1" ht="18.75" x14ac:dyDescent="0.25">
      <c r="A222" s="2542" t="s">
        <v>1458</v>
      </c>
      <c r="B222" s="2542"/>
      <c r="C222" s="2542"/>
      <c r="D222" s="2542"/>
      <c r="E222" s="2542"/>
      <c r="F222" s="2542"/>
      <c r="G222" s="2542"/>
      <c r="H222" s="2542"/>
      <c r="I222" s="2542"/>
    </row>
    <row r="223" spans="1:11" s="1153" customFormat="1" ht="18.75" x14ac:dyDescent="0.3">
      <c r="A223" s="2543" t="s">
        <v>1516</v>
      </c>
      <c r="B223" s="2543"/>
      <c r="C223" s="2543"/>
      <c r="D223" s="2543"/>
      <c r="E223" s="2543"/>
      <c r="F223" s="2543"/>
      <c r="G223" s="2543"/>
      <c r="H223" s="2543"/>
      <c r="I223" s="2543"/>
    </row>
    <row r="224" spans="1:11" s="1153" customFormat="1" ht="18.75" x14ac:dyDescent="0.3">
      <c r="A224" s="1152"/>
      <c r="B224" s="962"/>
      <c r="C224" s="962"/>
      <c r="D224" s="962"/>
      <c r="E224" s="962"/>
      <c r="F224" s="962"/>
      <c r="G224" s="962"/>
      <c r="H224" s="962"/>
      <c r="I224" s="962"/>
    </row>
    <row r="225" spans="1:11" s="1153" customFormat="1" ht="60" x14ac:dyDescent="0.25">
      <c r="A225" s="1151" t="s">
        <v>1449</v>
      </c>
      <c r="B225" s="1151" t="s">
        <v>234</v>
      </c>
      <c r="C225" s="1151" t="s">
        <v>305</v>
      </c>
      <c r="D225" s="1150" t="s">
        <v>1450</v>
      </c>
      <c r="E225" s="1150" t="s">
        <v>35</v>
      </c>
      <c r="F225" s="1150" t="s">
        <v>1451</v>
      </c>
      <c r="G225" s="1150" t="s">
        <v>491</v>
      </c>
      <c r="H225" s="1150" t="s">
        <v>492</v>
      </c>
      <c r="I225" s="1150" t="s">
        <v>1097</v>
      </c>
    </row>
    <row r="226" spans="1:11" s="1153" customFormat="1" ht="18.75" x14ac:dyDescent="0.25">
      <c r="A226" s="2544" t="s">
        <v>1458</v>
      </c>
      <c r="B226" s="2544"/>
      <c r="C226" s="2544"/>
      <c r="D226" s="2544"/>
      <c r="E226" s="2544"/>
      <c r="F226" s="2544"/>
      <c r="G226" s="2544"/>
      <c r="H226" s="2544"/>
      <c r="I226" s="2544"/>
    </row>
    <row r="227" spans="1:11" s="1153" customFormat="1" x14ac:dyDescent="0.25">
      <c r="A227" s="2545" t="s">
        <v>493</v>
      </c>
      <c r="B227" s="2545"/>
      <c r="C227" s="2545"/>
      <c r="D227" s="2545"/>
      <c r="E227" s="2545"/>
      <c r="F227" s="2545"/>
      <c r="G227" s="2545"/>
      <c r="H227" s="2545"/>
      <c r="I227" s="2545"/>
    </row>
    <row r="228" spans="1:11" s="1153" customFormat="1" x14ac:dyDescent="0.25">
      <c r="A228" s="2549" t="s">
        <v>1543</v>
      </c>
      <c r="B228" s="2550"/>
      <c r="C228" s="2550"/>
      <c r="D228" s="2550"/>
      <c r="E228" s="2550"/>
      <c r="F228" s="2550"/>
      <c r="G228" s="2550"/>
      <c r="H228" s="2550"/>
      <c r="I228" s="2550"/>
    </row>
    <row r="229" spans="1:11" s="1153" customFormat="1" x14ac:dyDescent="0.25">
      <c r="A229" s="1151" t="s">
        <v>624</v>
      </c>
      <c r="B229" s="684" t="s">
        <v>1477</v>
      </c>
      <c r="C229" s="708">
        <v>247</v>
      </c>
      <c r="D229" s="708">
        <v>223</v>
      </c>
      <c r="E229" s="685" t="s">
        <v>456</v>
      </c>
      <c r="F229" s="686">
        <v>11074536.15</v>
      </c>
      <c r="G229" s="686">
        <f>F229+464593.11+1201092.5+73363.12+340256.16</f>
        <v>13153841.039999999</v>
      </c>
      <c r="H229" s="686">
        <f>G229-F229</f>
        <v>2079304.89</v>
      </c>
      <c r="I229" s="2554" t="s">
        <v>1631</v>
      </c>
    </row>
    <row r="230" spans="1:11" s="1153" customFormat="1" x14ac:dyDescent="0.25">
      <c r="A230" s="1151" t="s">
        <v>624</v>
      </c>
      <c r="B230" s="684" t="s">
        <v>1477</v>
      </c>
      <c r="C230" s="708">
        <v>244</v>
      </c>
      <c r="D230" s="708">
        <v>223</v>
      </c>
      <c r="E230" s="685" t="s">
        <v>456</v>
      </c>
      <c r="F230" s="686">
        <v>1054447.3400000001</v>
      </c>
      <c r="G230" s="686">
        <f>F230+111385.98+36303.85</f>
        <v>1202137.17</v>
      </c>
      <c r="H230" s="686">
        <f>G230-F230</f>
        <v>147689.82999999999</v>
      </c>
      <c r="I230" s="2364"/>
    </row>
    <row r="231" spans="1:11" s="1153" customFormat="1" x14ac:dyDescent="0.25">
      <c r="A231" s="1151" t="s">
        <v>624</v>
      </c>
      <c r="B231" s="684" t="s">
        <v>1477</v>
      </c>
      <c r="C231" s="708">
        <v>244</v>
      </c>
      <c r="D231" s="708">
        <v>221</v>
      </c>
      <c r="E231" s="685" t="s">
        <v>497</v>
      </c>
      <c r="F231" s="686">
        <v>50100.06</v>
      </c>
      <c r="G231" s="686">
        <f>F231+8350.01</f>
        <v>58450.07</v>
      </c>
      <c r="H231" s="686">
        <f>G231-F231</f>
        <v>8350.01</v>
      </c>
      <c r="I231" s="2364"/>
    </row>
    <row r="232" spans="1:11" s="1153" customFormat="1" x14ac:dyDescent="0.25">
      <c r="A232" s="1151" t="s">
        <v>624</v>
      </c>
      <c r="B232" s="684" t="s">
        <v>1477</v>
      </c>
      <c r="C232" s="708">
        <v>244</v>
      </c>
      <c r="D232" s="708">
        <v>225</v>
      </c>
      <c r="E232" s="685" t="s">
        <v>457</v>
      </c>
      <c r="F232" s="686">
        <v>897176.78</v>
      </c>
      <c r="G232" s="686">
        <f>F232+43458+66182.07</f>
        <v>1006816.85</v>
      </c>
      <c r="H232" s="686">
        <f>G232-F232</f>
        <v>109640.07</v>
      </c>
      <c r="I232" s="2364"/>
    </row>
    <row r="233" spans="1:11" s="1153" customFormat="1" x14ac:dyDescent="0.25">
      <c r="A233" s="1151" t="s">
        <v>624</v>
      </c>
      <c r="B233" s="684" t="s">
        <v>1477</v>
      </c>
      <c r="C233" s="708">
        <v>244</v>
      </c>
      <c r="D233" s="708">
        <v>226</v>
      </c>
      <c r="E233" s="1149" t="s">
        <v>1077</v>
      </c>
      <c r="F233" s="686">
        <v>1616490.8</v>
      </c>
      <c r="G233" s="686">
        <f>F233+11000+204086.5</f>
        <v>1831577.3</v>
      </c>
      <c r="H233" s="686">
        <f>G233-F233</f>
        <v>215086.5</v>
      </c>
      <c r="I233" s="2358"/>
    </row>
    <row r="234" spans="1:11" s="1153" customFormat="1" x14ac:dyDescent="0.25">
      <c r="A234" s="2537" t="s">
        <v>718</v>
      </c>
      <c r="B234" s="2537"/>
      <c r="C234" s="2537"/>
      <c r="D234" s="2537"/>
      <c r="E234" s="2537"/>
      <c r="F234" s="687">
        <f>SUM(F229:F233)</f>
        <v>14692751.130000001</v>
      </c>
      <c r="G234" s="687">
        <f>SUM(G229:G233)</f>
        <v>17252822.43</v>
      </c>
      <c r="H234" s="687">
        <f>SUM(H229:H233)</f>
        <v>2560071.2999999998</v>
      </c>
      <c r="I234" s="1150" t="s">
        <v>82</v>
      </c>
    </row>
    <row r="235" spans="1:11" s="928" customFormat="1" x14ac:dyDescent="0.25">
      <c r="A235" s="2537" t="s">
        <v>1385</v>
      </c>
      <c r="B235" s="2537"/>
      <c r="C235" s="2537"/>
      <c r="D235" s="2537"/>
      <c r="E235" s="2537"/>
      <c r="F235" s="687">
        <f>F234</f>
        <v>14692751.130000001</v>
      </c>
      <c r="G235" s="687">
        <f>G234</f>
        <v>17252822.43</v>
      </c>
      <c r="H235" s="687">
        <f>H234</f>
        <v>2560071.2999999998</v>
      </c>
      <c r="I235" s="1151" t="s">
        <v>82</v>
      </c>
      <c r="J235" s="1088"/>
      <c r="K235" s="1088"/>
    </row>
    <row r="236" spans="1:11" s="1153" customFormat="1" x14ac:dyDescent="0.25"/>
    <row r="237" spans="1:11" s="928" customFormat="1" x14ac:dyDescent="0.25">
      <c r="A237" s="395" t="s">
        <v>1632</v>
      </c>
      <c r="B237" s="395"/>
      <c r="C237" s="2"/>
      <c r="D237" s="2"/>
      <c r="E237" s="2"/>
      <c r="F237" s="2"/>
      <c r="G237" s="2"/>
      <c r="H237" s="965"/>
      <c r="I237" s="966" t="s">
        <v>1633</v>
      </c>
      <c r="J237" s="1088"/>
      <c r="K237" s="1088"/>
    </row>
    <row r="238" spans="1:11" s="928" customFormat="1" x14ac:dyDescent="0.25">
      <c r="A238" s="2538"/>
      <c r="B238" s="2538"/>
      <c r="C238" s="2"/>
      <c r="D238" s="2"/>
      <c r="E238" s="2"/>
      <c r="F238" s="2"/>
      <c r="G238" s="2"/>
      <c r="H238" s="2"/>
      <c r="I238" s="966"/>
    </row>
    <row r="239" spans="1:11" s="928" customFormat="1" x14ac:dyDescent="0.25">
      <c r="A239" s="2539" t="s">
        <v>704</v>
      </c>
      <c r="B239" s="2539"/>
      <c r="C239" s="2540"/>
      <c r="D239" s="2"/>
      <c r="E239" s="2"/>
      <c r="F239" s="2"/>
      <c r="G239" s="2"/>
      <c r="H239" s="966"/>
      <c r="I239" s="966" t="s">
        <v>729</v>
      </c>
    </row>
    <row r="240" spans="1:11" s="928" customFormat="1" x14ac:dyDescent="0.25">
      <c r="A240" s="1158"/>
      <c r="B240" s="1158"/>
      <c r="C240" s="1159"/>
      <c r="D240" s="2"/>
      <c r="E240" s="2"/>
      <c r="F240" s="2"/>
      <c r="G240" s="2"/>
      <c r="H240" s="966"/>
      <c r="I240" s="966"/>
    </row>
    <row r="241" spans="1:9" s="928" customFormat="1" ht="18.75" x14ac:dyDescent="0.25">
      <c r="A241" s="2541" t="s">
        <v>1639</v>
      </c>
      <c r="B241" s="2541"/>
      <c r="C241" s="2541"/>
      <c r="D241" s="2541"/>
      <c r="E241" s="2541"/>
      <c r="F241" s="2541"/>
      <c r="G241" s="2541"/>
      <c r="H241" s="2541"/>
      <c r="I241" s="2541"/>
    </row>
    <row r="242" spans="1:9" s="928" customFormat="1" ht="18.75" x14ac:dyDescent="0.3">
      <c r="A242" s="2543" t="s">
        <v>1516</v>
      </c>
      <c r="B242" s="2543"/>
      <c r="C242" s="2543"/>
      <c r="D242" s="2543"/>
      <c r="E242" s="2543"/>
      <c r="F242" s="2543"/>
      <c r="G242" s="2543"/>
      <c r="H242" s="2543"/>
      <c r="I242" s="2543"/>
    </row>
    <row r="243" spans="1:9" s="928" customFormat="1" ht="18.75" x14ac:dyDescent="0.3">
      <c r="A243" s="1155"/>
      <c r="B243" s="962"/>
      <c r="C243" s="962"/>
      <c r="D243" s="962"/>
      <c r="E243" s="962"/>
      <c r="F243" s="962"/>
      <c r="G243" s="962"/>
      <c r="H243" s="962"/>
      <c r="I243" s="962"/>
    </row>
    <row r="244" spans="1:9" s="928" customFormat="1" ht="60" x14ac:dyDescent="0.25">
      <c r="A244" s="1157" t="s">
        <v>1449</v>
      </c>
      <c r="B244" s="1157" t="s">
        <v>234</v>
      </c>
      <c r="C244" s="1157" t="s">
        <v>305</v>
      </c>
      <c r="D244" s="1156" t="s">
        <v>1450</v>
      </c>
      <c r="E244" s="1156" t="s">
        <v>35</v>
      </c>
      <c r="F244" s="1156" t="s">
        <v>1451</v>
      </c>
      <c r="G244" s="1156" t="s">
        <v>491</v>
      </c>
      <c r="H244" s="1156" t="s">
        <v>492</v>
      </c>
      <c r="I244" s="1156" t="s">
        <v>1097</v>
      </c>
    </row>
    <row r="245" spans="1:9" s="928" customFormat="1" ht="18.75" x14ac:dyDescent="0.25">
      <c r="A245" s="2544" t="s">
        <v>1458</v>
      </c>
      <c r="B245" s="2544"/>
      <c r="C245" s="2544"/>
      <c r="D245" s="2544"/>
      <c r="E245" s="2544"/>
      <c r="F245" s="2544"/>
      <c r="G245" s="2544"/>
      <c r="H245" s="2544"/>
      <c r="I245" s="2544"/>
    </row>
    <row r="246" spans="1:9" s="928" customFormat="1" x14ac:dyDescent="0.25">
      <c r="A246" s="2553" t="s">
        <v>1634</v>
      </c>
      <c r="B246" s="2553"/>
      <c r="C246" s="2553"/>
      <c r="D246" s="2553"/>
      <c r="E246" s="2553"/>
      <c r="F246" s="2553"/>
      <c r="G246" s="2553"/>
      <c r="H246" s="2553"/>
      <c r="I246" s="2553"/>
    </row>
    <row r="247" spans="1:9" s="928" customFormat="1" ht="30" x14ac:dyDescent="0.25">
      <c r="A247" s="1117"/>
      <c r="B247" s="1161" t="s">
        <v>1635</v>
      </c>
      <c r="C247" s="1161" t="s">
        <v>495</v>
      </c>
      <c r="D247" s="1161" t="s">
        <v>537</v>
      </c>
      <c r="E247" s="1118" t="s">
        <v>501</v>
      </c>
      <c r="F247" s="1119">
        <v>0</v>
      </c>
      <c r="G247" s="1119">
        <v>30000</v>
      </c>
      <c r="H247" s="1119">
        <f>G247-F247</f>
        <v>30000</v>
      </c>
      <c r="I247" s="1118" t="s">
        <v>1636</v>
      </c>
    </row>
    <row r="248" spans="1:9" s="928" customFormat="1" x14ac:dyDescent="0.25">
      <c r="A248" s="1117"/>
      <c r="B248" s="1161" t="s">
        <v>1637</v>
      </c>
      <c r="C248" s="1117">
        <v>247</v>
      </c>
      <c r="D248" s="1117">
        <v>223</v>
      </c>
      <c r="E248" s="1118" t="s">
        <v>456</v>
      </c>
      <c r="F248" s="1119">
        <v>0</v>
      </c>
      <c r="G248" s="1119">
        <v>30000</v>
      </c>
      <c r="H248" s="1119">
        <f>G248-F248</f>
        <v>30000</v>
      </c>
      <c r="I248" s="1118" t="s">
        <v>1640</v>
      </c>
    </row>
    <row r="249" spans="1:9" s="928" customFormat="1" x14ac:dyDescent="0.25">
      <c r="A249" s="2551" t="s">
        <v>1638</v>
      </c>
      <c r="B249" s="2551"/>
      <c r="C249" s="2551"/>
      <c r="D249" s="2551"/>
      <c r="E249" s="2551"/>
      <c r="F249" s="1162">
        <f>F248</f>
        <v>0</v>
      </c>
      <c r="G249" s="1162">
        <f>G248</f>
        <v>30000</v>
      </c>
      <c r="H249" s="1162">
        <f>H248</f>
        <v>30000</v>
      </c>
      <c r="I249" s="1163" t="s">
        <v>82</v>
      </c>
    </row>
    <row r="250" spans="1:9" s="928" customFormat="1" x14ac:dyDescent="0.25">
      <c r="A250" s="1158"/>
      <c r="B250" s="1158"/>
      <c r="C250" s="1159"/>
      <c r="D250" s="2"/>
      <c r="E250" s="2"/>
      <c r="F250" s="2"/>
      <c r="G250" s="2"/>
      <c r="H250" s="966"/>
      <c r="I250" s="966"/>
    </row>
    <row r="251" spans="1:9" s="928" customFormat="1" x14ac:dyDescent="0.25">
      <c r="A251" s="395" t="s">
        <v>1641</v>
      </c>
      <c r="B251" s="395"/>
      <c r="C251" s="2"/>
      <c r="D251" s="2"/>
      <c r="E251" s="2"/>
      <c r="F251" s="2"/>
      <c r="G251" s="2"/>
      <c r="H251" s="965"/>
      <c r="I251" s="966" t="s">
        <v>243</v>
      </c>
    </row>
    <row r="252" spans="1:9" s="928" customFormat="1" x14ac:dyDescent="0.25">
      <c r="A252" s="2538"/>
      <c r="B252" s="2538"/>
      <c r="C252" s="2"/>
      <c r="D252" s="2"/>
      <c r="E252" s="2"/>
      <c r="F252" s="2"/>
      <c r="G252" s="2"/>
      <c r="H252" s="2"/>
      <c r="I252" s="966"/>
    </row>
    <row r="253" spans="1:9" s="928" customFormat="1" x14ac:dyDescent="0.25">
      <c r="A253" s="2538" t="s">
        <v>239</v>
      </c>
      <c r="B253" s="2538"/>
      <c r="C253" s="2"/>
      <c r="D253" s="2"/>
      <c r="E253" s="2"/>
      <c r="F253" s="2"/>
      <c r="G253" s="2"/>
      <c r="H253" s="966"/>
      <c r="I253" s="966" t="s">
        <v>729</v>
      </c>
    </row>
    <row r="254" spans="1:9" s="928" customFormat="1" x14ac:dyDescent="0.25">
      <c r="A254" s="1158"/>
      <c r="B254" s="1158"/>
      <c r="C254" s="1159"/>
      <c r="D254" s="2"/>
      <c r="E254" s="2"/>
      <c r="F254" s="2"/>
      <c r="G254" s="2"/>
      <c r="H254" s="966"/>
      <c r="I254" s="966"/>
    </row>
    <row r="255" spans="1:9" s="928" customFormat="1" ht="18.75" x14ac:dyDescent="0.25">
      <c r="A255" s="2541" t="s">
        <v>1642</v>
      </c>
      <c r="B255" s="2541"/>
      <c r="C255" s="2541"/>
      <c r="D255" s="2541"/>
      <c r="E255" s="2541"/>
      <c r="F255" s="2541"/>
      <c r="G255" s="2541"/>
      <c r="H255" s="2541"/>
      <c r="I255" s="2541"/>
    </row>
    <row r="256" spans="1:9" s="928" customFormat="1" ht="18.75" x14ac:dyDescent="0.3">
      <c r="A256" s="2543" t="s">
        <v>1516</v>
      </c>
      <c r="B256" s="2543"/>
      <c r="C256" s="2543"/>
      <c r="D256" s="2543"/>
      <c r="E256" s="2543"/>
      <c r="F256" s="2543"/>
      <c r="G256" s="2543"/>
      <c r="H256" s="2543"/>
      <c r="I256" s="2543"/>
    </row>
    <row r="257" spans="1:11" s="928" customFormat="1" ht="18.75" x14ac:dyDescent="0.3">
      <c r="A257" s="1165"/>
      <c r="B257" s="962"/>
      <c r="C257" s="962"/>
      <c r="D257" s="962"/>
      <c r="E257" s="962"/>
      <c r="F257" s="962"/>
      <c r="G257" s="962"/>
      <c r="H257" s="962"/>
      <c r="I257" s="962"/>
    </row>
    <row r="258" spans="1:11" s="928" customFormat="1" ht="60" x14ac:dyDescent="0.25">
      <c r="A258" s="1168" t="s">
        <v>1449</v>
      </c>
      <c r="B258" s="1168" t="s">
        <v>234</v>
      </c>
      <c r="C258" s="1168" t="s">
        <v>305</v>
      </c>
      <c r="D258" s="1167" t="s">
        <v>1450</v>
      </c>
      <c r="E258" s="1167" t="s">
        <v>35</v>
      </c>
      <c r="F258" s="1167" t="s">
        <v>1451</v>
      </c>
      <c r="G258" s="1167" t="s">
        <v>491</v>
      </c>
      <c r="H258" s="1167" t="s">
        <v>492</v>
      </c>
      <c r="I258" s="1167" t="s">
        <v>1097</v>
      </c>
    </row>
    <row r="259" spans="1:11" s="928" customFormat="1" ht="18.75" x14ac:dyDescent="0.25">
      <c r="A259" s="2544" t="s">
        <v>1458</v>
      </c>
      <c r="B259" s="2544"/>
      <c r="C259" s="2544"/>
      <c r="D259" s="2544"/>
      <c r="E259" s="2544"/>
      <c r="F259" s="2544"/>
      <c r="G259" s="2544"/>
      <c r="H259" s="2544"/>
      <c r="I259" s="2544"/>
    </row>
    <row r="260" spans="1:11" s="928" customFormat="1" x14ac:dyDescent="0.25">
      <c r="A260" s="2553" t="s">
        <v>1634</v>
      </c>
      <c r="B260" s="2553"/>
      <c r="C260" s="2553"/>
      <c r="D260" s="2553"/>
      <c r="E260" s="2553"/>
      <c r="F260" s="2553"/>
      <c r="G260" s="2553"/>
      <c r="H260" s="2553"/>
      <c r="I260" s="2553"/>
    </row>
    <row r="261" spans="1:11" s="928" customFormat="1" x14ac:dyDescent="0.25">
      <c r="A261" s="2545" t="s">
        <v>155</v>
      </c>
      <c r="B261" s="2545"/>
      <c r="C261" s="2545"/>
      <c r="D261" s="2545"/>
      <c r="E261" s="2545"/>
      <c r="F261" s="2545"/>
      <c r="G261" s="2545"/>
      <c r="H261" s="2545"/>
      <c r="I261" s="2546"/>
      <c r="J261" s="1088"/>
      <c r="K261" s="1088"/>
    </row>
    <row r="262" spans="1:11" s="928" customFormat="1" ht="30" x14ac:dyDescent="0.25">
      <c r="A262" s="1166"/>
      <c r="B262" s="538" t="s">
        <v>34</v>
      </c>
      <c r="C262" s="532">
        <v>853</v>
      </c>
      <c r="D262" s="532">
        <v>296</v>
      </c>
      <c r="E262" s="685" t="s">
        <v>125</v>
      </c>
      <c r="F262" s="546">
        <v>2000</v>
      </c>
      <c r="G262" s="546">
        <v>16000</v>
      </c>
      <c r="H262" s="686">
        <f>G262-F262</f>
        <v>14000</v>
      </c>
      <c r="I262" s="707" t="s">
        <v>1611</v>
      </c>
      <c r="J262" s="1088"/>
      <c r="K262" s="1088"/>
    </row>
    <row r="263" spans="1:11" s="928" customFormat="1" ht="30" x14ac:dyDescent="0.25">
      <c r="A263" s="1166"/>
      <c r="B263" s="538" t="s">
        <v>34</v>
      </c>
      <c r="C263" s="532">
        <v>244</v>
      </c>
      <c r="D263" s="532">
        <v>221</v>
      </c>
      <c r="E263" s="685" t="s">
        <v>497</v>
      </c>
      <c r="F263" s="546">
        <v>50100.06</v>
      </c>
      <c r="G263" s="546">
        <v>41750.050000000003</v>
      </c>
      <c r="H263" s="535">
        <f>G263-F263</f>
        <v>-8350.01</v>
      </c>
      <c r="I263" s="1164" t="s">
        <v>1644</v>
      </c>
      <c r="J263" s="1088"/>
      <c r="K263" s="1088"/>
    </row>
    <row r="264" spans="1:11" s="928" customFormat="1" ht="45" x14ac:dyDescent="0.25">
      <c r="A264" s="1166"/>
      <c r="B264" s="538" t="s">
        <v>34</v>
      </c>
      <c r="C264" s="532">
        <v>244</v>
      </c>
      <c r="D264" s="532">
        <v>225</v>
      </c>
      <c r="E264" s="685" t="s">
        <v>457</v>
      </c>
      <c r="F264" s="546">
        <v>1610785.96</v>
      </c>
      <c r="G264" s="546">
        <f>F264-5649.99</f>
        <v>1605135.97</v>
      </c>
      <c r="H264" s="535">
        <f>G264-F264</f>
        <v>-5649.99</v>
      </c>
      <c r="I264" s="1164" t="s">
        <v>1643</v>
      </c>
      <c r="J264" s="1088"/>
      <c r="K264" s="1088"/>
    </row>
    <row r="265" spans="1:11" s="928" customFormat="1" x14ac:dyDescent="0.25">
      <c r="A265" s="2551" t="s">
        <v>1125</v>
      </c>
      <c r="B265" s="2551"/>
      <c r="C265" s="2551"/>
      <c r="D265" s="2551"/>
      <c r="E265" s="2551"/>
      <c r="F265" s="1162">
        <f>SUM(F262:F264)</f>
        <v>1662886.02</v>
      </c>
      <c r="G265" s="1162">
        <f>SUM(G262:G264)</f>
        <v>1662886.02</v>
      </c>
      <c r="H265" s="1162">
        <f>SUM(H262:H264)</f>
        <v>0</v>
      </c>
      <c r="I265" s="1163" t="s">
        <v>82</v>
      </c>
    </row>
    <row r="266" spans="1:11" s="928" customFormat="1" x14ac:dyDescent="0.25">
      <c r="A266" s="1169"/>
      <c r="B266" s="1169"/>
      <c r="C266" s="1170"/>
      <c r="D266" s="2"/>
      <c r="E266" s="2"/>
      <c r="F266" s="2"/>
      <c r="G266" s="2"/>
      <c r="H266" s="966"/>
      <c r="I266" s="966"/>
    </row>
    <row r="267" spans="1:11" s="928" customFormat="1" x14ac:dyDescent="0.25">
      <c r="A267" s="395" t="s">
        <v>1641</v>
      </c>
      <c r="B267" s="395"/>
      <c r="C267" s="2"/>
      <c r="D267" s="2"/>
      <c r="E267" s="2"/>
      <c r="F267" s="2"/>
      <c r="G267" s="2"/>
      <c r="H267" s="965"/>
      <c r="I267" s="966" t="s">
        <v>243</v>
      </c>
    </row>
    <row r="268" spans="1:11" s="928" customFormat="1" x14ac:dyDescent="0.25">
      <c r="A268" s="2538"/>
      <c r="B268" s="2538"/>
      <c r="C268" s="2"/>
      <c r="D268" s="2"/>
      <c r="E268" s="2"/>
      <c r="F268" s="2"/>
      <c r="G268" s="2"/>
      <c r="H268" s="2"/>
      <c r="I268" s="966"/>
    </row>
    <row r="269" spans="1:11" s="928" customFormat="1" x14ac:dyDescent="0.25">
      <c r="A269" s="2538" t="s">
        <v>239</v>
      </c>
      <c r="B269" s="2538"/>
      <c r="C269" s="2"/>
      <c r="D269" s="2"/>
      <c r="E269" s="2"/>
      <c r="F269" s="2"/>
      <c r="G269" s="2"/>
      <c r="H269" s="966"/>
      <c r="I269" s="966" t="s">
        <v>729</v>
      </c>
    </row>
    <row r="270" spans="1:11" s="928" customFormat="1" x14ac:dyDescent="0.25">
      <c r="A270" s="1169"/>
      <c r="B270" s="1169"/>
      <c r="C270" s="1170"/>
      <c r="D270" s="2"/>
      <c r="E270" s="2"/>
      <c r="F270" s="2"/>
      <c r="G270" s="2"/>
      <c r="H270" s="966"/>
      <c r="I270" s="966"/>
    </row>
    <row r="271" spans="1:11" s="928" customFormat="1" x14ac:dyDescent="0.25">
      <c r="A271" s="1169"/>
      <c r="B271" s="1169"/>
      <c r="C271" s="1170"/>
      <c r="D271" s="2"/>
      <c r="E271" s="2"/>
      <c r="F271" s="2"/>
      <c r="G271" s="2"/>
      <c r="H271" s="966"/>
      <c r="I271" s="966"/>
    </row>
    <row r="272" spans="1:11" s="928" customFormat="1" x14ac:dyDescent="0.25">
      <c r="A272" s="1169"/>
      <c r="B272" s="1169"/>
      <c r="C272" s="1170"/>
      <c r="D272" s="2"/>
      <c r="E272" s="2"/>
      <c r="F272" s="2"/>
      <c r="G272" s="2"/>
      <c r="H272" s="966"/>
      <c r="I272" s="966"/>
    </row>
    <row r="273" spans="1:12" s="928" customFormat="1" ht="18.75" x14ac:dyDescent="0.25">
      <c r="A273" s="2541" t="s">
        <v>1703</v>
      </c>
      <c r="B273" s="2541"/>
      <c r="C273" s="2541"/>
      <c r="D273" s="2541"/>
      <c r="E273" s="2541"/>
      <c r="F273" s="2541"/>
      <c r="G273" s="2541"/>
      <c r="H273" s="2541"/>
      <c r="I273" s="2541"/>
    </row>
    <row r="274" spans="1:12" s="928" customFormat="1" ht="18.75" hidden="1" x14ac:dyDescent="0.25">
      <c r="A274" s="2542" t="s">
        <v>1317</v>
      </c>
      <c r="B274" s="2542"/>
      <c r="C274" s="2542"/>
      <c r="D274" s="2542"/>
      <c r="E274" s="2542"/>
      <c r="F274" s="2542"/>
      <c r="G274" s="2542"/>
      <c r="H274" s="2542"/>
      <c r="I274" s="2542"/>
    </row>
    <row r="275" spans="1:12" s="928" customFormat="1" ht="18.75" x14ac:dyDescent="0.3">
      <c r="A275" s="2543" t="s">
        <v>1516</v>
      </c>
      <c r="B275" s="2543"/>
      <c r="C275" s="2543"/>
      <c r="D275" s="2543"/>
      <c r="E275" s="2543"/>
      <c r="F275" s="2543"/>
      <c r="G275" s="2543"/>
      <c r="H275" s="2543"/>
      <c r="I275" s="2543"/>
    </row>
    <row r="276" spans="1:12" s="928" customFormat="1" ht="9.75" customHeight="1" x14ac:dyDescent="0.3">
      <c r="A276" s="1106"/>
      <c r="B276" s="962"/>
      <c r="C276" s="962"/>
      <c r="D276" s="962"/>
      <c r="E276" s="962"/>
      <c r="F276" s="962"/>
      <c r="G276" s="962"/>
      <c r="H276" s="962"/>
      <c r="I276" s="962"/>
    </row>
    <row r="277" spans="1:12" s="928" customFormat="1" ht="48.75" customHeight="1" x14ac:dyDescent="0.25">
      <c r="A277" s="1109" t="s">
        <v>1449</v>
      </c>
      <c r="B277" s="1109" t="s">
        <v>234</v>
      </c>
      <c r="C277" s="1109" t="s">
        <v>305</v>
      </c>
      <c r="D277" s="1108" t="s">
        <v>1450</v>
      </c>
      <c r="E277" s="1108" t="s">
        <v>35</v>
      </c>
      <c r="F277" s="1108" t="s">
        <v>1451</v>
      </c>
      <c r="G277" s="1108" t="s">
        <v>491</v>
      </c>
      <c r="H277" s="1108" t="s">
        <v>492</v>
      </c>
      <c r="I277" s="1108" t="s">
        <v>1097</v>
      </c>
    </row>
    <row r="278" spans="1:12" s="928" customFormat="1" ht="18.75" x14ac:dyDescent="0.25">
      <c r="A278" s="2544" t="s">
        <v>1458</v>
      </c>
      <c r="B278" s="2544"/>
      <c r="C278" s="2544"/>
      <c r="D278" s="2544"/>
      <c r="E278" s="2544"/>
      <c r="F278" s="2544"/>
      <c r="G278" s="2544"/>
      <c r="H278" s="2544"/>
      <c r="I278" s="2544"/>
    </row>
    <row r="279" spans="1:12" s="928" customFormat="1" x14ac:dyDescent="0.25">
      <c r="A279" s="2545" t="s">
        <v>493</v>
      </c>
      <c r="B279" s="2545"/>
      <c r="C279" s="2545"/>
      <c r="D279" s="2545"/>
      <c r="E279" s="2545"/>
      <c r="F279" s="2545"/>
      <c r="G279" s="2545"/>
      <c r="H279" s="2545"/>
      <c r="I279" s="2545"/>
    </row>
    <row r="280" spans="1:12" s="928" customFormat="1" ht="30" customHeight="1" x14ac:dyDescent="0.25">
      <c r="A280" s="2549" t="s">
        <v>1543</v>
      </c>
      <c r="B280" s="2550"/>
      <c r="C280" s="2550"/>
      <c r="D280" s="2550"/>
      <c r="E280" s="2550"/>
      <c r="F280" s="2550"/>
      <c r="G280" s="2550"/>
      <c r="H280" s="2550"/>
      <c r="I280" s="2550"/>
    </row>
    <row r="281" spans="1:12" s="1027" customFormat="1" x14ac:dyDescent="0.25">
      <c r="A281" s="529" t="s">
        <v>626</v>
      </c>
      <c r="B281" s="530" t="s">
        <v>67</v>
      </c>
      <c r="C281" s="529">
        <v>111</v>
      </c>
      <c r="D281" s="529">
        <v>211</v>
      </c>
      <c r="E281" s="1104" t="s">
        <v>179</v>
      </c>
      <c r="F281" s="528">
        <v>201371509.37</v>
      </c>
      <c r="G281" s="528">
        <v>201108059.31999999</v>
      </c>
      <c r="H281" s="528">
        <f t="shared" ref="H281:H286" si="12">G281-F281</f>
        <v>-263450.05</v>
      </c>
      <c r="I281" s="707" t="s">
        <v>1429</v>
      </c>
      <c r="J281" s="943">
        <f>F281+F282-343011.96</f>
        <v>261842693.24000001</v>
      </c>
      <c r="K281" s="944">
        <f>J281*100/130.2</f>
        <v>201108059.31999999</v>
      </c>
      <c r="L281" s="565">
        <f>F281-K281</f>
        <v>263450.05</v>
      </c>
    </row>
    <row r="282" spans="1:12" s="1027" customFormat="1" x14ac:dyDescent="0.25">
      <c r="A282" s="529" t="s">
        <v>626</v>
      </c>
      <c r="B282" s="530" t="s">
        <v>67</v>
      </c>
      <c r="C282" s="1109">
        <v>119</v>
      </c>
      <c r="D282" s="1109">
        <v>213</v>
      </c>
      <c r="E282" s="685" t="s">
        <v>494</v>
      </c>
      <c r="F282" s="528">
        <v>60814195.829999998</v>
      </c>
      <c r="G282" s="528">
        <v>60734633.920000002</v>
      </c>
      <c r="H282" s="528">
        <f t="shared" si="12"/>
        <v>-79561.91</v>
      </c>
      <c r="I282" s="707" t="s">
        <v>1429</v>
      </c>
      <c r="J282" s="928"/>
      <c r="K282" s="944">
        <f>K281*30.2%</f>
        <v>60734633.909999996</v>
      </c>
      <c r="L282" s="565">
        <f>F282-K282</f>
        <v>79561.919999999998</v>
      </c>
    </row>
    <row r="283" spans="1:12" s="1027" customFormat="1" x14ac:dyDescent="0.25">
      <c r="A283" s="529" t="s">
        <v>626</v>
      </c>
      <c r="B283" s="530" t="s">
        <v>67</v>
      </c>
      <c r="C283" s="1117">
        <v>111</v>
      </c>
      <c r="D283" s="1117">
        <v>266</v>
      </c>
      <c r="E283" s="1118" t="s">
        <v>37</v>
      </c>
      <c r="F283" s="1119">
        <v>650000</v>
      </c>
      <c r="G283" s="1119">
        <v>1005892.77</v>
      </c>
      <c r="H283" s="1119">
        <f t="shared" si="12"/>
        <v>355892.77</v>
      </c>
      <c r="I283" s="707" t="s">
        <v>1611</v>
      </c>
      <c r="J283" s="928"/>
      <c r="K283" s="944">
        <f>K282*30.2%</f>
        <v>18341859.440000001</v>
      </c>
      <c r="L283" s="565">
        <f>F283-K283</f>
        <v>-17691859.440000001</v>
      </c>
    </row>
    <row r="284" spans="1:12" s="1027" customFormat="1" ht="30" x14ac:dyDescent="0.25">
      <c r="A284" s="529" t="s">
        <v>626</v>
      </c>
      <c r="B284" s="530" t="s">
        <v>67</v>
      </c>
      <c r="C284" s="1117">
        <v>321</v>
      </c>
      <c r="D284" s="1117">
        <v>264</v>
      </c>
      <c r="E284" s="1110" t="s">
        <v>1107</v>
      </c>
      <c r="F284" s="1119">
        <v>25000</v>
      </c>
      <c r="G284" s="1119">
        <f>'4 (2025)'!J180</f>
        <v>48476.76</v>
      </c>
      <c r="H284" s="1119">
        <f>G284-F284</f>
        <v>23476.76</v>
      </c>
      <c r="I284" s="1118" t="s">
        <v>1429</v>
      </c>
      <c r="J284" s="928"/>
      <c r="K284" s="944">
        <f>K283*30.2%</f>
        <v>5539241.5499999998</v>
      </c>
      <c r="L284" s="565">
        <f>F284-K284</f>
        <v>-5514241.5499999998</v>
      </c>
    </row>
    <row r="285" spans="1:12" s="1027" customFormat="1" ht="30" x14ac:dyDescent="0.25">
      <c r="A285" s="529" t="s">
        <v>626</v>
      </c>
      <c r="B285" s="530" t="s">
        <v>67</v>
      </c>
      <c r="C285" s="529">
        <v>244</v>
      </c>
      <c r="D285" s="529">
        <v>310</v>
      </c>
      <c r="E285" s="685" t="s">
        <v>1598</v>
      </c>
      <c r="F285" s="528">
        <v>23377209.98</v>
      </c>
      <c r="G285" s="528">
        <f>F285-126800</f>
        <v>23250409.98</v>
      </c>
      <c r="H285" s="528">
        <f t="shared" si="12"/>
        <v>-126800</v>
      </c>
      <c r="I285" s="1204" t="s">
        <v>1687</v>
      </c>
      <c r="J285" s="1103">
        <f>G285-'4 (2025)'!J743</f>
        <v>20250409.98</v>
      </c>
      <c r="K285" s="1027">
        <v>-2100.02</v>
      </c>
    </row>
    <row r="286" spans="1:12" s="1027" customFormat="1" ht="30" x14ac:dyDescent="0.25">
      <c r="A286" s="529" t="s">
        <v>626</v>
      </c>
      <c r="B286" s="530" t="s">
        <v>67</v>
      </c>
      <c r="C286" s="529">
        <v>244</v>
      </c>
      <c r="D286" s="529">
        <v>346</v>
      </c>
      <c r="E286" s="685" t="s">
        <v>1260</v>
      </c>
      <c r="F286" s="528">
        <v>4453546.58</v>
      </c>
      <c r="G286" s="528">
        <f>F286+126800</f>
        <v>4580346.58</v>
      </c>
      <c r="H286" s="528">
        <f t="shared" si="12"/>
        <v>126800</v>
      </c>
      <c r="I286" s="1204" t="s">
        <v>1688</v>
      </c>
      <c r="J286" s="1103">
        <f>G286-'4 (2025)'!J925</f>
        <v>4580346.58</v>
      </c>
      <c r="K286" s="1027">
        <v>-1.59</v>
      </c>
    </row>
    <row r="287" spans="1:12" s="928" customFormat="1" x14ac:dyDescent="0.25">
      <c r="A287" s="2537" t="s">
        <v>1352</v>
      </c>
      <c r="B287" s="2537"/>
      <c r="C287" s="2537"/>
      <c r="D287" s="2537"/>
      <c r="E287" s="2537"/>
      <c r="F287" s="687">
        <f>SUM(F281:F286)</f>
        <v>290691461.75999999</v>
      </c>
      <c r="G287" s="687">
        <f>SUM(G281:G286)</f>
        <v>290727819.32999998</v>
      </c>
      <c r="H287" s="687">
        <f>SUM(H281:H286)</f>
        <v>36357.57</v>
      </c>
      <c r="I287" s="1107" t="s">
        <v>82</v>
      </c>
    </row>
    <row r="288" spans="1:12" s="928" customFormat="1" x14ac:dyDescent="0.25">
      <c r="A288" s="2545" t="s">
        <v>155</v>
      </c>
      <c r="B288" s="2545"/>
      <c r="C288" s="2545"/>
      <c r="D288" s="2545"/>
      <c r="E288" s="2545"/>
      <c r="F288" s="2545"/>
      <c r="G288" s="2545"/>
      <c r="H288" s="2545"/>
      <c r="I288" s="2546"/>
      <c r="J288" s="1088"/>
      <c r="K288" s="1088"/>
    </row>
    <row r="289" spans="1:13" s="928" customFormat="1" x14ac:dyDescent="0.25">
      <c r="A289" s="1132"/>
      <c r="B289" s="538" t="s">
        <v>34</v>
      </c>
      <c r="C289" s="529">
        <v>111</v>
      </c>
      <c r="D289" s="529">
        <v>211</v>
      </c>
      <c r="E289" s="1131" t="s">
        <v>179</v>
      </c>
      <c r="F289" s="528">
        <v>2541300</v>
      </c>
      <c r="G289" s="528">
        <v>2552431.09</v>
      </c>
      <c r="H289" s="528">
        <f>G289-F289</f>
        <v>11131.09</v>
      </c>
      <c r="I289" s="707" t="s">
        <v>1611</v>
      </c>
      <c r="J289" s="943">
        <f>F289+F290+132918.08</f>
        <v>3323265.28</v>
      </c>
      <c r="K289" s="944">
        <f>J289*100/130.2</f>
        <v>2552431.09</v>
      </c>
      <c r="L289" s="565">
        <f>K289-F289</f>
        <v>11131.09</v>
      </c>
      <c r="M289" s="928" t="b">
        <f>L289=H289</f>
        <v>1</v>
      </c>
    </row>
    <row r="290" spans="1:13" s="928" customFormat="1" ht="30" x14ac:dyDescent="0.25">
      <c r="A290" s="1132"/>
      <c r="B290" s="538" t="s">
        <v>34</v>
      </c>
      <c r="C290" s="532">
        <v>119</v>
      </c>
      <c r="D290" s="532">
        <v>213</v>
      </c>
      <c r="E290" s="685" t="s">
        <v>89</v>
      </c>
      <c r="F290" s="546">
        <v>649047.19999999995</v>
      </c>
      <c r="G290" s="546">
        <v>770834.19</v>
      </c>
      <c r="H290" s="686">
        <f>G290-F290</f>
        <v>121786.99</v>
      </c>
      <c r="I290" s="707" t="s">
        <v>1611</v>
      </c>
      <c r="K290" s="944">
        <f>K289*30.2%</f>
        <v>770834.19</v>
      </c>
      <c r="L290" s="565">
        <f>K290-F290</f>
        <v>121786.99</v>
      </c>
      <c r="M290" s="928" t="b">
        <f>L290=H290</f>
        <v>1</v>
      </c>
    </row>
    <row r="291" spans="1:13" s="1027" customFormat="1" ht="45" x14ac:dyDescent="0.25">
      <c r="A291" s="1026"/>
      <c r="B291" s="538" t="s">
        <v>34</v>
      </c>
      <c r="C291" s="1134">
        <v>244</v>
      </c>
      <c r="D291" s="533">
        <v>225</v>
      </c>
      <c r="E291" s="685" t="s">
        <v>457</v>
      </c>
      <c r="F291" s="686">
        <v>1605135.97</v>
      </c>
      <c r="G291" s="686">
        <f>F291-103990.08</f>
        <v>1501145.89</v>
      </c>
      <c r="H291" s="686">
        <f>G291-F291</f>
        <v>-103990.08</v>
      </c>
      <c r="I291" s="1171" t="s">
        <v>1643</v>
      </c>
      <c r="J291" s="1008"/>
      <c r="K291" s="1008"/>
      <c r="L291" s="1008"/>
    </row>
    <row r="292" spans="1:13" s="928" customFormat="1" ht="60" x14ac:dyDescent="0.25">
      <c r="A292" s="1028"/>
      <c r="B292" s="538" t="s">
        <v>34</v>
      </c>
      <c r="C292" s="1134">
        <v>244</v>
      </c>
      <c r="D292" s="533">
        <v>226</v>
      </c>
      <c r="E292" s="1131" t="s">
        <v>1077</v>
      </c>
      <c r="F292" s="536">
        <v>1194400.57</v>
      </c>
      <c r="G292" s="536">
        <f>F292-28928</f>
        <v>1165472.57</v>
      </c>
      <c r="H292" s="686">
        <f>G292-F292</f>
        <v>-28928</v>
      </c>
      <c r="I292" s="1172" t="s">
        <v>1671</v>
      </c>
      <c r="J292" s="1088"/>
      <c r="K292" s="1088"/>
      <c r="L292" s="1088"/>
    </row>
    <row r="293" spans="1:13" s="928" customFormat="1" x14ac:dyDescent="0.25">
      <c r="A293" s="2537" t="s">
        <v>1125</v>
      </c>
      <c r="B293" s="2537"/>
      <c r="C293" s="2537"/>
      <c r="D293" s="2537"/>
      <c r="E293" s="2537"/>
      <c r="F293" s="687">
        <f>SUM(F289:F292)</f>
        <v>5989883.7400000002</v>
      </c>
      <c r="G293" s="687">
        <f>SUM(G289:G292)</f>
        <v>5989883.7400000002</v>
      </c>
      <c r="H293" s="687">
        <f>SUM(H289:H292)</f>
        <v>0</v>
      </c>
      <c r="I293" s="1133" t="s">
        <v>82</v>
      </c>
      <c r="J293" s="1088"/>
      <c r="K293" s="1088"/>
    </row>
    <row r="294" spans="1:13" s="928" customFormat="1" x14ac:dyDescent="0.25">
      <c r="A294" s="2545" t="s">
        <v>1099</v>
      </c>
      <c r="B294" s="2545"/>
      <c r="C294" s="2545"/>
      <c r="D294" s="2545"/>
      <c r="E294" s="2545"/>
      <c r="F294" s="2545"/>
      <c r="G294" s="2545"/>
      <c r="H294" s="2545"/>
      <c r="I294" s="2545"/>
    </row>
    <row r="295" spans="1:13" s="928" customFormat="1" ht="48.75" customHeight="1" x14ac:dyDescent="0.25">
      <c r="A295" s="1173"/>
      <c r="B295" s="1174" t="s">
        <v>142</v>
      </c>
      <c r="C295" s="708">
        <v>244</v>
      </c>
      <c r="D295" s="708">
        <v>223</v>
      </c>
      <c r="E295" s="685" t="s">
        <v>456</v>
      </c>
      <c r="F295" s="686">
        <v>636028.56000000006</v>
      </c>
      <c r="G295" s="686">
        <f>F295+186158.5+127307.9</f>
        <v>949494.96</v>
      </c>
      <c r="H295" s="686">
        <f>G295-F295</f>
        <v>313466.40000000002</v>
      </c>
      <c r="I295" s="1171" t="s">
        <v>1677</v>
      </c>
    </row>
    <row r="296" spans="1:13" s="928" customFormat="1" ht="45" x14ac:dyDescent="0.25">
      <c r="A296" s="1028"/>
      <c r="B296" s="1174" t="s">
        <v>142</v>
      </c>
      <c r="C296" s="1174">
        <v>244</v>
      </c>
      <c r="D296" s="533">
        <v>226</v>
      </c>
      <c r="E296" s="1171" t="s">
        <v>1077</v>
      </c>
      <c r="F296" s="536">
        <v>900000</v>
      </c>
      <c r="G296" s="536">
        <v>586533.6</v>
      </c>
      <c r="H296" s="686">
        <f>G296-F296</f>
        <v>-313466.40000000002</v>
      </c>
      <c r="I296" s="1171" t="s">
        <v>1672</v>
      </c>
      <c r="J296" s="1088"/>
      <c r="K296" s="1088"/>
      <c r="L296" s="1088"/>
    </row>
    <row r="297" spans="1:13" s="928" customFormat="1" x14ac:dyDescent="0.25">
      <c r="A297" s="2537" t="s">
        <v>1104</v>
      </c>
      <c r="B297" s="2537"/>
      <c r="C297" s="2537"/>
      <c r="D297" s="2537"/>
      <c r="E297" s="2537"/>
      <c r="F297" s="687">
        <f>SUM(F295:F296)</f>
        <v>1536028.56</v>
      </c>
      <c r="G297" s="687">
        <f>SUM(G295:G296)</f>
        <v>1536028.56</v>
      </c>
      <c r="H297" s="687">
        <f>SUM(H295:H296)</f>
        <v>0</v>
      </c>
      <c r="I297" s="1173" t="s">
        <v>82</v>
      </c>
    </row>
    <row r="298" spans="1:13" s="928" customFormat="1" x14ac:dyDescent="0.25">
      <c r="A298" s="2537" t="s">
        <v>1385</v>
      </c>
      <c r="B298" s="2537"/>
      <c r="C298" s="2537"/>
      <c r="D298" s="2537"/>
      <c r="E298" s="2537"/>
      <c r="F298" s="687">
        <f>F287+F293+F297</f>
        <v>298217374.06</v>
      </c>
      <c r="G298" s="687">
        <f>G287+G293+G297</f>
        <v>298253731.63</v>
      </c>
      <c r="H298" s="687">
        <f>H287+H293+H297</f>
        <v>36357.57</v>
      </c>
      <c r="I298" s="1109" t="s">
        <v>82</v>
      </c>
      <c r="J298" s="1088"/>
      <c r="K298" s="1088"/>
    </row>
    <row r="299" spans="1:13" s="1111" customFormat="1" x14ac:dyDescent="0.25">
      <c r="J299" s="894"/>
      <c r="K299" s="894"/>
    </row>
    <row r="300" spans="1:13" s="928" customFormat="1" x14ac:dyDescent="0.25">
      <c r="A300" s="395" t="s">
        <v>1515</v>
      </c>
      <c r="B300" s="395"/>
      <c r="C300" s="2"/>
      <c r="D300" s="2"/>
      <c r="E300" s="2"/>
      <c r="F300" s="2"/>
      <c r="G300" s="2"/>
      <c r="H300" s="965"/>
      <c r="I300" s="966" t="s">
        <v>243</v>
      </c>
      <c r="J300" s="1088"/>
      <c r="K300" s="1088"/>
    </row>
    <row r="301" spans="1:13" s="928" customFormat="1" x14ac:dyDescent="0.25">
      <c r="A301" s="2538"/>
      <c r="B301" s="2538"/>
      <c r="C301" s="2"/>
      <c r="D301" s="2"/>
      <c r="E301" s="2"/>
      <c r="F301" s="2"/>
      <c r="G301" s="2"/>
      <c r="H301" s="2"/>
      <c r="I301" s="966"/>
    </row>
    <row r="302" spans="1:13" s="928" customFormat="1" x14ac:dyDescent="0.25">
      <c r="A302" s="2538" t="s">
        <v>239</v>
      </c>
      <c r="B302" s="2538"/>
      <c r="C302" s="2"/>
      <c r="D302" s="2"/>
      <c r="E302" s="2"/>
      <c r="F302" s="2"/>
      <c r="G302" s="2"/>
      <c r="H302" s="966"/>
      <c r="I302" s="966" t="s">
        <v>729</v>
      </c>
    </row>
    <row r="303" spans="1:13" ht="33" hidden="1" customHeight="1" x14ac:dyDescent="0.25">
      <c r="A303" s="2585" t="s">
        <v>712</v>
      </c>
      <c r="B303" s="2586"/>
      <c r="C303" s="2586"/>
      <c r="D303" s="2586"/>
      <c r="E303" s="2586"/>
      <c r="F303" s="2587"/>
      <c r="G303" s="549" t="e">
        <f>SUM(#REF!)</f>
        <v>#REF!</v>
      </c>
      <c r="H303" s="549" t="e">
        <f>SUM(#REF!)</f>
        <v>#REF!</v>
      </c>
      <c r="I303" s="549" t="e">
        <f>SUM(#REF!)</f>
        <v>#REF!</v>
      </c>
      <c r="J303" s="548" t="s">
        <v>82</v>
      </c>
    </row>
    <row r="304" spans="1:13" s="534" customFormat="1" ht="36" hidden="1" customHeight="1" x14ac:dyDescent="0.25">
      <c r="A304" s="537" t="s">
        <v>422</v>
      </c>
      <c r="B304" s="529" t="s">
        <v>33</v>
      </c>
      <c r="C304" s="530" t="s">
        <v>500</v>
      </c>
      <c r="D304" s="532">
        <v>111</v>
      </c>
      <c r="E304" s="532">
        <v>211</v>
      </c>
      <c r="F304" s="547" t="s">
        <v>179</v>
      </c>
      <c r="G304" s="546"/>
      <c r="H304" s="546"/>
      <c r="I304" s="535">
        <f>H304-G304</f>
        <v>0</v>
      </c>
      <c r="J304" s="527" t="s">
        <v>711</v>
      </c>
    </row>
    <row r="305" spans="1:10" ht="36" hidden="1" customHeight="1" x14ac:dyDescent="0.25">
      <c r="A305" s="537" t="s">
        <v>422</v>
      </c>
      <c r="B305" s="529" t="s">
        <v>33</v>
      </c>
      <c r="C305" s="530" t="s">
        <v>500</v>
      </c>
      <c r="D305" s="532">
        <v>111</v>
      </c>
      <c r="E305" s="532">
        <v>266</v>
      </c>
      <c r="F305" s="547" t="s">
        <v>710</v>
      </c>
      <c r="G305" s="546"/>
      <c r="H305" s="546"/>
      <c r="I305" s="535">
        <f>H305-G305</f>
        <v>0</v>
      </c>
      <c r="J305" s="527" t="s">
        <v>709</v>
      </c>
    </row>
    <row r="306" spans="1:10" ht="36" hidden="1" customHeight="1" x14ac:dyDescent="0.25">
      <c r="A306" s="537" t="s">
        <v>422</v>
      </c>
      <c r="B306" s="529" t="s">
        <v>33</v>
      </c>
      <c r="C306" s="530" t="s">
        <v>500</v>
      </c>
      <c r="D306" s="532">
        <v>112</v>
      </c>
      <c r="E306" s="532">
        <v>212</v>
      </c>
      <c r="F306" s="547" t="s">
        <v>708</v>
      </c>
      <c r="G306" s="546"/>
      <c r="H306" s="546"/>
      <c r="I306" s="535">
        <f>H306-G306</f>
        <v>0</v>
      </c>
      <c r="J306" s="527" t="s">
        <v>707</v>
      </c>
    </row>
    <row r="309" spans="1:10" s="1209" customFormat="1" ht="18.75" x14ac:dyDescent="0.25">
      <c r="A309" s="2541" t="s">
        <v>1708</v>
      </c>
      <c r="B309" s="2541"/>
      <c r="C309" s="2541"/>
      <c r="D309" s="2541"/>
      <c r="E309" s="2541"/>
      <c r="F309" s="2541"/>
      <c r="G309" s="2541"/>
      <c r="H309" s="2541"/>
      <c r="I309" s="2541"/>
    </row>
    <row r="310" spans="1:10" s="1209" customFormat="1" ht="18.75" x14ac:dyDescent="0.25">
      <c r="A310" s="2542" t="s">
        <v>1458</v>
      </c>
      <c r="B310" s="2542"/>
      <c r="C310" s="2542"/>
      <c r="D310" s="2542"/>
      <c r="E310" s="2542"/>
      <c r="F310" s="2542"/>
      <c r="G310" s="2542"/>
      <c r="H310" s="2542"/>
      <c r="I310" s="2542"/>
    </row>
    <row r="311" spans="1:10" s="1209" customFormat="1" ht="18.75" x14ac:dyDescent="0.3">
      <c r="A311" s="2543" t="s">
        <v>1516</v>
      </c>
      <c r="B311" s="2543"/>
      <c r="C311" s="2543"/>
      <c r="D311" s="2543"/>
      <c r="E311" s="2543"/>
      <c r="F311" s="2543"/>
      <c r="G311" s="2543"/>
      <c r="H311" s="2543"/>
      <c r="I311" s="2543"/>
    </row>
    <row r="312" spans="1:10" s="1209" customFormat="1" ht="18.75" x14ac:dyDescent="0.3">
      <c r="A312" s="1206"/>
      <c r="B312" s="962"/>
      <c r="C312" s="962"/>
      <c r="D312" s="962"/>
      <c r="E312" s="962"/>
      <c r="F312" s="962"/>
      <c r="G312" s="962"/>
      <c r="H312" s="962"/>
      <c r="I312" s="962"/>
    </row>
    <row r="313" spans="1:10" s="1209" customFormat="1" ht="60" x14ac:dyDescent="0.25">
      <c r="A313" s="1208" t="s">
        <v>1449</v>
      </c>
      <c r="B313" s="1208" t="s">
        <v>234</v>
      </c>
      <c r="C313" s="1208" t="s">
        <v>305</v>
      </c>
      <c r="D313" s="1207" t="s">
        <v>1450</v>
      </c>
      <c r="E313" s="1207" t="s">
        <v>35</v>
      </c>
      <c r="F313" s="1207" t="s">
        <v>1451</v>
      </c>
      <c r="G313" s="1207" t="s">
        <v>491</v>
      </c>
      <c r="H313" s="1207" t="s">
        <v>492</v>
      </c>
      <c r="I313" s="1207" t="s">
        <v>1097</v>
      </c>
    </row>
    <row r="314" spans="1:10" s="1209" customFormat="1" ht="18.75" x14ac:dyDescent="0.25">
      <c r="A314" s="2544" t="s">
        <v>1458</v>
      </c>
      <c r="B314" s="2544"/>
      <c r="C314" s="2544"/>
      <c r="D314" s="2544"/>
      <c r="E314" s="2544"/>
      <c r="F314" s="2544"/>
      <c r="G314" s="2544"/>
      <c r="H314" s="2544"/>
      <c r="I314" s="2544"/>
    </row>
    <row r="315" spans="1:10" s="1209" customFormat="1" x14ac:dyDescent="0.25">
      <c r="A315" s="2545" t="s">
        <v>493</v>
      </c>
      <c r="B315" s="2545"/>
      <c r="C315" s="2545"/>
      <c r="D315" s="2545"/>
      <c r="E315" s="2545"/>
      <c r="F315" s="2545"/>
      <c r="G315" s="2545"/>
      <c r="H315" s="2545"/>
      <c r="I315" s="2545"/>
    </row>
    <row r="316" spans="1:10" s="1209" customFormat="1" x14ac:dyDescent="0.25">
      <c r="A316" s="2549" t="s">
        <v>1543</v>
      </c>
      <c r="B316" s="2550"/>
      <c r="C316" s="2550"/>
      <c r="D316" s="2550"/>
      <c r="E316" s="2550"/>
      <c r="F316" s="2550"/>
      <c r="G316" s="2550"/>
      <c r="H316" s="2550"/>
      <c r="I316" s="2550"/>
    </row>
    <row r="317" spans="1:10" s="1209" customFormat="1" ht="18.75" customHeight="1" x14ac:dyDescent="0.25">
      <c r="A317" s="1208" t="s">
        <v>624</v>
      </c>
      <c r="B317" s="684" t="s">
        <v>1477</v>
      </c>
      <c r="C317" s="708">
        <v>851</v>
      </c>
      <c r="D317" s="708">
        <v>291</v>
      </c>
      <c r="E317" s="685" t="s">
        <v>1702</v>
      </c>
      <c r="F317" s="686">
        <v>20982669</v>
      </c>
      <c r="G317" s="686">
        <f>15851029+4131640</f>
        <v>19982669</v>
      </c>
      <c r="H317" s="686">
        <f>G317-F317</f>
        <v>-1000000</v>
      </c>
      <c r="I317" s="707" t="s">
        <v>1429</v>
      </c>
    </row>
    <row r="318" spans="1:10" s="1209" customFormat="1" ht="18.75" customHeight="1" x14ac:dyDescent="0.25">
      <c r="A318" s="1208" t="s">
        <v>624</v>
      </c>
      <c r="B318" s="684" t="s">
        <v>1477</v>
      </c>
      <c r="C318" s="708">
        <v>247</v>
      </c>
      <c r="D318" s="708">
        <v>223</v>
      </c>
      <c r="E318" s="685" t="s">
        <v>456</v>
      </c>
      <c r="F318" s="686">
        <v>13153841.039999999</v>
      </c>
      <c r="G318" s="686">
        <f>F318+663230.94+238183.32</f>
        <v>14055255.300000001</v>
      </c>
      <c r="H318" s="686">
        <f>G318-F318</f>
        <v>901414.26</v>
      </c>
      <c r="I318" s="707" t="s">
        <v>1611</v>
      </c>
    </row>
    <row r="319" spans="1:10" s="1209" customFormat="1" ht="18.75" customHeight="1" x14ac:dyDescent="0.25">
      <c r="A319" s="1208" t="s">
        <v>624</v>
      </c>
      <c r="B319" s="684" t="s">
        <v>1477</v>
      </c>
      <c r="C319" s="708">
        <v>244</v>
      </c>
      <c r="D319" s="708">
        <v>223</v>
      </c>
      <c r="E319" s="685" t="s">
        <v>456</v>
      </c>
      <c r="F319" s="686">
        <v>1202137.17</v>
      </c>
      <c r="G319" s="686">
        <f>F319+98585.74</f>
        <v>1300722.9099999999</v>
      </c>
      <c r="H319" s="686">
        <f>G319-F319</f>
        <v>98585.74</v>
      </c>
      <c r="I319" s="707" t="s">
        <v>1611</v>
      </c>
    </row>
    <row r="320" spans="1:10" s="1209" customFormat="1" ht="18.75" customHeight="1" x14ac:dyDescent="0.25">
      <c r="A320" s="2537" t="s">
        <v>718</v>
      </c>
      <c r="B320" s="2537"/>
      <c r="C320" s="2537"/>
      <c r="D320" s="2537"/>
      <c r="E320" s="2537"/>
      <c r="F320" s="687">
        <f>SUM(F317:F319)</f>
        <v>35338647.210000001</v>
      </c>
      <c r="G320" s="687">
        <f>SUM(G317:G319)</f>
        <v>35338647.210000001</v>
      </c>
      <c r="H320" s="687">
        <f>SUM(H317:H319)</f>
        <v>0</v>
      </c>
      <c r="I320" s="1207" t="s">
        <v>82</v>
      </c>
    </row>
    <row r="321" spans="1:11" s="928" customFormat="1" ht="17.25" customHeight="1" x14ac:dyDescent="0.25">
      <c r="A321" s="2537" t="s">
        <v>1385</v>
      </c>
      <c r="B321" s="2537"/>
      <c r="C321" s="2537"/>
      <c r="D321" s="2537"/>
      <c r="E321" s="2537"/>
      <c r="F321" s="687">
        <f>F320</f>
        <v>35338647.210000001</v>
      </c>
      <c r="G321" s="687">
        <f>G320</f>
        <v>35338647.210000001</v>
      </c>
      <c r="H321" s="687">
        <f>H320</f>
        <v>0</v>
      </c>
      <c r="I321" s="1208" t="s">
        <v>82</v>
      </c>
      <c r="J321" s="1088"/>
      <c r="K321" s="1088"/>
    </row>
    <row r="322" spans="1:11" s="1209" customFormat="1" x14ac:dyDescent="0.25"/>
    <row r="323" spans="1:11" s="928" customFormat="1" x14ac:dyDescent="0.25">
      <c r="A323" s="395" t="s">
        <v>1515</v>
      </c>
      <c r="B323" s="395"/>
      <c r="C323" s="2"/>
      <c r="D323" s="2"/>
      <c r="E323" s="2"/>
      <c r="F323" s="2"/>
      <c r="G323" s="2"/>
      <c r="H323" s="965"/>
      <c r="I323" s="966" t="s">
        <v>243</v>
      </c>
      <c r="J323" s="1088"/>
      <c r="K323" s="1088"/>
    </row>
    <row r="324" spans="1:11" s="928" customFormat="1" x14ac:dyDescent="0.25">
      <c r="A324" s="2538"/>
      <c r="B324" s="2538"/>
      <c r="C324" s="2"/>
      <c r="D324" s="2"/>
      <c r="E324" s="2"/>
      <c r="F324" s="2"/>
      <c r="G324" s="2"/>
      <c r="H324" s="2"/>
      <c r="I324" s="966"/>
    </row>
    <row r="325" spans="1:11" s="928" customFormat="1" x14ac:dyDescent="0.25">
      <c r="A325" s="2539" t="s">
        <v>704</v>
      </c>
      <c r="B325" s="2539"/>
      <c r="C325" s="2540"/>
      <c r="D325" s="2"/>
      <c r="E325" s="2"/>
      <c r="F325" s="2"/>
      <c r="G325" s="2"/>
      <c r="H325" s="966"/>
      <c r="I325" s="966" t="s">
        <v>729</v>
      </c>
    </row>
    <row r="327" spans="1:11" s="1215" customFormat="1" ht="18.75" x14ac:dyDescent="0.25">
      <c r="A327" s="2541" t="s">
        <v>1739</v>
      </c>
      <c r="B327" s="2541"/>
      <c r="C327" s="2541"/>
      <c r="D327" s="2541"/>
      <c r="E327" s="2541"/>
      <c r="F327" s="2541"/>
      <c r="G327" s="2541"/>
      <c r="H327" s="2541"/>
      <c r="I327" s="2541"/>
    </row>
    <row r="328" spans="1:11" s="1215" customFormat="1" ht="18.75" x14ac:dyDescent="0.25">
      <c r="A328" s="2542" t="s">
        <v>1458</v>
      </c>
      <c r="B328" s="2542"/>
      <c r="C328" s="2542"/>
      <c r="D328" s="2542"/>
      <c r="E328" s="2542"/>
      <c r="F328" s="2542"/>
      <c r="G328" s="2542"/>
      <c r="H328" s="2542"/>
      <c r="I328" s="2542"/>
    </row>
    <row r="329" spans="1:11" s="1215" customFormat="1" ht="18.75" x14ac:dyDescent="0.3">
      <c r="A329" s="2543" t="s">
        <v>1718</v>
      </c>
      <c r="B329" s="2543"/>
      <c r="C329" s="2543"/>
      <c r="D329" s="2543"/>
      <c r="E329" s="2543"/>
      <c r="F329" s="2543"/>
      <c r="G329" s="2543"/>
      <c r="H329" s="2543"/>
      <c r="I329" s="2543"/>
    </row>
    <row r="330" spans="1:11" s="1215" customFormat="1" ht="18.75" x14ac:dyDescent="0.3">
      <c r="A330" s="1212"/>
      <c r="B330" s="962"/>
      <c r="C330" s="962"/>
      <c r="D330" s="962"/>
      <c r="E330" s="962"/>
      <c r="F330" s="962"/>
      <c r="G330" s="962"/>
      <c r="H330" s="962"/>
      <c r="I330" s="962"/>
    </row>
    <row r="331" spans="1:11" s="1215" customFormat="1" ht="60" x14ac:dyDescent="0.25">
      <c r="A331" s="1214" t="s">
        <v>1449</v>
      </c>
      <c r="B331" s="1214" t="s">
        <v>234</v>
      </c>
      <c r="C331" s="1214" t="s">
        <v>305</v>
      </c>
      <c r="D331" s="1213" t="s">
        <v>1450</v>
      </c>
      <c r="E331" s="1213" t="s">
        <v>35</v>
      </c>
      <c r="F331" s="1213" t="s">
        <v>1451</v>
      </c>
      <c r="G331" s="1213" t="s">
        <v>491</v>
      </c>
      <c r="H331" s="1213" t="s">
        <v>492</v>
      </c>
      <c r="I331" s="1213" t="s">
        <v>1097</v>
      </c>
    </row>
    <row r="332" spans="1:11" s="1215" customFormat="1" ht="18.75" x14ac:dyDescent="0.25">
      <c r="A332" s="2544" t="s">
        <v>1458</v>
      </c>
      <c r="B332" s="2544"/>
      <c r="C332" s="2544"/>
      <c r="D332" s="2544"/>
      <c r="E332" s="2544"/>
      <c r="F332" s="2544"/>
      <c r="G332" s="2544"/>
      <c r="H332" s="2544"/>
      <c r="I332" s="2544"/>
    </row>
    <row r="333" spans="1:11" s="1215" customFormat="1" x14ac:dyDescent="0.25">
      <c r="A333" s="2545" t="s">
        <v>493</v>
      </c>
      <c r="B333" s="2545"/>
      <c r="C333" s="2545"/>
      <c r="D333" s="2545"/>
      <c r="E333" s="2545"/>
      <c r="F333" s="2545"/>
      <c r="G333" s="2545"/>
      <c r="H333" s="2545"/>
      <c r="I333" s="2545"/>
    </row>
    <row r="334" spans="1:11" s="1227" customFormat="1" x14ac:dyDescent="0.25">
      <c r="A334" s="2549" t="s">
        <v>496</v>
      </c>
      <c r="B334" s="2550"/>
      <c r="C334" s="2550"/>
      <c r="D334" s="2550"/>
      <c r="E334" s="2550"/>
      <c r="F334" s="2550"/>
      <c r="G334" s="2550"/>
      <c r="H334" s="2550"/>
      <c r="I334" s="2550"/>
    </row>
    <row r="335" spans="1:11" s="1227" customFormat="1" ht="30" x14ac:dyDescent="0.25">
      <c r="A335" s="1226" t="s">
        <v>624</v>
      </c>
      <c r="B335" s="684" t="s">
        <v>1477</v>
      </c>
      <c r="C335" s="1226">
        <v>112</v>
      </c>
      <c r="D335" s="1226">
        <v>214</v>
      </c>
      <c r="E335" s="685" t="s">
        <v>101</v>
      </c>
      <c r="F335" s="686">
        <v>1569292.31</v>
      </c>
      <c r="G335" s="686">
        <f>F335-30000</f>
        <v>1539292.31</v>
      </c>
      <c r="H335" s="686">
        <f>G335-F335</f>
        <v>-30000</v>
      </c>
      <c r="I335" s="685" t="s">
        <v>1402</v>
      </c>
    </row>
    <row r="336" spans="1:11" s="1227" customFormat="1" ht="30" x14ac:dyDescent="0.25">
      <c r="A336" s="1226" t="s">
        <v>624</v>
      </c>
      <c r="B336" s="684" t="s">
        <v>1477</v>
      </c>
      <c r="C336" s="1226">
        <v>119</v>
      </c>
      <c r="D336" s="1226">
        <v>213</v>
      </c>
      <c r="E336" s="685" t="s">
        <v>732</v>
      </c>
      <c r="F336" s="686">
        <v>69218.89</v>
      </c>
      <c r="G336" s="686">
        <f>F336+30000</f>
        <v>99218.89</v>
      </c>
      <c r="H336" s="686">
        <f>G336-F336</f>
        <v>30000</v>
      </c>
      <c r="I336" s="685" t="s">
        <v>1403</v>
      </c>
    </row>
    <row r="337" spans="1:13" s="1227" customFormat="1" ht="17.25" customHeight="1" x14ac:dyDescent="0.25">
      <c r="A337" s="2537" t="s">
        <v>1117</v>
      </c>
      <c r="B337" s="2537"/>
      <c r="C337" s="2537"/>
      <c r="D337" s="2537"/>
      <c r="E337" s="2537"/>
      <c r="F337" s="687">
        <f>SUM(F335:F336)</f>
        <v>1638511.2</v>
      </c>
      <c r="G337" s="687">
        <f t="shared" ref="G337:H337" si="13">SUM(G335:G336)</f>
        <v>1638511.2</v>
      </c>
      <c r="H337" s="687">
        <f t="shared" si="13"/>
        <v>0</v>
      </c>
      <c r="I337" s="1224" t="s">
        <v>82</v>
      </c>
    </row>
    <row r="338" spans="1:13" s="1227" customFormat="1" x14ac:dyDescent="0.25">
      <c r="A338" s="2545" t="s">
        <v>1422</v>
      </c>
      <c r="B338" s="2545"/>
      <c r="C338" s="2545"/>
      <c r="D338" s="2545"/>
      <c r="E338" s="2545"/>
      <c r="F338" s="2545"/>
      <c r="G338" s="2545"/>
      <c r="H338" s="2545"/>
      <c r="I338" s="2545"/>
    </row>
    <row r="339" spans="1:13" s="1227" customFormat="1" ht="30" x14ac:dyDescent="0.25">
      <c r="A339" s="1226" t="s">
        <v>1369</v>
      </c>
      <c r="B339" s="684" t="s">
        <v>1722</v>
      </c>
      <c r="C339" s="1226">
        <v>244</v>
      </c>
      <c r="D339" s="1226">
        <v>349</v>
      </c>
      <c r="E339" s="685" t="s">
        <v>1723</v>
      </c>
      <c r="F339" s="686">
        <v>0</v>
      </c>
      <c r="G339" s="686">
        <v>50000</v>
      </c>
      <c r="H339" s="686">
        <f>G339-F339</f>
        <v>50000</v>
      </c>
      <c r="I339" s="1253" t="s">
        <v>1724</v>
      </c>
    </row>
    <row r="340" spans="1:13" s="1227" customFormat="1" x14ac:dyDescent="0.25">
      <c r="A340" s="2537" t="s">
        <v>1585</v>
      </c>
      <c r="B340" s="2537"/>
      <c r="C340" s="2537"/>
      <c r="D340" s="2537"/>
      <c r="E340" s="2537"/>
      <c r="F340" s="687">
        <f>SUM(F339:F339)</f>
        <v>0</v>
      </c>
      <c r="G340" s="687">
        <f t="shared" ref="G340:H340" si="14">SUM(G339:G339)</f>
        <v>50000</v>
      </c>
      <c r="H340" s="687">
        <f t="shared" si="14"/>
        <v>50000</v>
      </c>
      <c r="I340" s="1224" t="s">
        <v>82</v>
      </c>
    </row>
    <row r="341" spans="1:13" s="928" customFormat="1" x14ac:dyDescent="0.25">
      <c r="A341" s="2545" t="s">
        <v>155</v>
      </c>
      <c r="B341" s="2545"/>
      <c r="C341" s="2545"/>
      <c r="D341" s="2545"/>
      <c r="E341" s="2545"/>
      <c r="F341" s="2545"/>
      <c r="G341" s="2545"/>
      <c r="H341" s="2545"/>
      <c r="I341" s="2546"/>
      <c r="J341" s="1088"/>
      <c r="K341" s="1088"/>
    </row>
    <row r="342" spans="1:13" s="928" customFormat="1" x14ac:dyDescent="0.25">
      <c r="A342" s="1224"/>
      <c r="B342" s="538" t="s">
        <v>34</v>
      </c>
      <c r="C342" s="529">
        <v>111</v>
      </c>
      <c r="D342" s="529">
        <v>211</v>
      </c>
      <c r="E342" s="1222" t="s">
        <v>179</v>
      </c>
      <c r="F342" s="528">
        <v>2552431.09</v>
      </c>
      <c r="G342" s="528">
        <f>K342</f>
        <v>2558844.31</v>
      </c>
      <c r="H342" s="528">
        <f>G342-F342</f>
        <v>6413.22</v>
      </c>
      <c r="I342" s="707" t="s">
        <v>1611</v>
      </c>
      <c r="J342" s="943">
        <f>F342+F343+8350.01</f>
        <v>3331615.29</v>
      </c>
      <c r="K342" s="944">
        <f>J342*100/130.2</f>
        <v>2558844.31</v>
      </c>
      <c r="L342" s="565">
        <f>K342-F342</f>
        <v>6413.22</v>
      </c>
      <c r="M342" s="928" t="b">
        <f>L342=H342</f>
        <v>1</v>
      </c>
    </row>
    <row r="343" spans="1:13" s="928" customFormat="1" ht="30" x14ac:dyDescent="0.25">
      <c r="A343" s="1224"/>
      <c r="B343" s="538" t="s">
        <v>34</v>
      </c>
      <c r="C343" s="532">
        <v>119</v>
      </c>
      <c r="D343" s="532">
        <v>213</v>
      </c>
      <c r="E343" s="685" t="s">
        <v>89</v>
      </c>
      <c r="F343" s="546">
        <v>770834.19</v>
      </c>
      <c r="G343" s="546">
        <f>K343</f>
        <v>772770.98</v>
      </c>
      <c r="H343" s="686">
        <f>G343-F343</f>
        <v>1936.79</v>
      </c>
      <c r="I343" s="707" t="s">
        <v>1611</v>
      </c>
      <c r="K343" s="944">
        <f>K342*30.2%</f>
        <v>772770.98</v>
      </c>
      <c r="L343" s="565">
        <f>K343-F343</f>
        <v>1936.79</v>
      </c>
      <c r="M343" s="928" t="b">
        <f>L343=H343</f>
        <v>1</v>
      </c>
    </row>
    <row r="344" spans="1:13" s="1027" customFormat="1" ht="30.75" customHeight="1" x14ac:dyDescent="0.25">
      <c r="A344" s="1026"/>
      <c r="B344" s="538" t="s">
        <v>34</v>
      </c>
      <c r="C344" s="1226">
        <v>244</v>
      </c>
      <c r="D344" s="533">
        <v>221</v>
      </c>
      <c r="E344" s="685" t="s">
        <v>1728</v>
      </c>
      <c r="F344" s="686">
        <v>41750.050000000003</v>
      </c>
      <c r="G344" s="686">
        <v>33400.04</v>
      </c>
      <c r="H344" s="686">
        <f>G344-F344</f>
        <v>-8350.01</v>
      </c>
      <c r="I344" s="1222" t="s">
        <v>1729</v>
      </c>
      <c r="J344" s="1008"/>
      <c r="K344" s="1008"/>
      <c r="L344" s="1008"/>
    </row>
    <row r="345" spans="1:13" s="928" customFormat="1" x14ac:dyDescent="0.25">
      <c r="A345" s="2537" t="s">
        <v>1125</v>
      </c>
      <c r="B345" s="2537"/>
      <c r="C345" s="2537"/>
      <c r="D345" s="2537"/>
      <c r="E345" s="2537"/>
      <c r="F345" s="687">
        <f>SUM(F342:F344)</f>
        <v>3365015.33</v>
      </c>
      <c r="G345" s="687">
        <f t="shared" ref="G345:H345" si="15">SUM(G342:G344)</f>
        <v>3365015.33</v>
      </c>
      <c r="H345" s="687">
        <f t="shared" si="15"/>
        <v>0</v>
      </c>
      <c r="I345" s="1225" t="s">
        <v>82</v>
      </c>
      <c r="J345" s="1088"/>
      <c r="K345" s="1088"/>
    </row>
    <row r="346" spans="1:13" s="928" customFormat="1" x14ac:dyDescent="0.25">
      <c r="A346" s="2545" t="s">
        <v>1099</v>
      </c>
      <c r="B346" s="2545"/>
      <c r="C346" s="2545"/>
      <c r="D346" s="2545"/>
      <c r="E346" s="2545"/>
      <c r="F346" s="2545"/>
      <c r="G346" s="2545"/>
      <c r="H346" s="2545"/>
      <c r="I346" s="2545"/>
    </row>
    <row r="347" spans="1:13" s="928" customFormat="1" x14ac:dyDescent="0.25">
      <c r="A347" s="1224"/>
      <c r="B347" s="1226" t="s">
        <v>1512</v>
      </c>
      <c r="C347" s="684" t="s">
        <v>495</v>
      </c>
      <c r="D347" s="684" t="s">
        <v>537</v>
      </c>
      <c r="E347" s="685" t="s">
        <v>1100</v>
      </c>
      <c r="F347" s="686">
        <v>8938717.2300000004</v>
      </c>
      <c r="G347" s="686">
        <f>F347-239047.2-2000000</f>
        <v>6699670.0300000003</v>
      </c>
      <c r="H347" s="686">
        <f>G347-F347</f>
        <v>-2239047.2000000002</v>
      </c>
      <c r="I347" s="685" t="s">
        <v>1405</v>
      </c>
    </row>
    <row r="348" spans="1:13" s="928" customFormat="1" ht="48.75" customHeight="1" x14ac:dyDescent="0.25">
      <c r="A348" s="1224"/>
      <c r="B348" s="1226" t="s">
        <v>142</v>
      </c>
      <c r="C348" s="708">
        <v>247</v>
      </c>
      <c r="D348" s="708">
        <v>223</v>
      </c>
      <c r="E348" s="685" t="s">
        <v>456</v>
      </c>
      <c r="F348" s="686">
        <v>7402688.6699999999</v>
      </c>
      <c r="G348" s="686">
        <f>F348-2000000</f>
        <v>5402688.6699999999</v>
      </c>
      <c r="H348" s="686">
        <f>G348-F348</f>
        <v>-2000000</v>
      </c>
      <c r="I348" s="1222" t="s">
        <v>1732</v>
      </c>
    </row>
    <row r="349" spans="1:13" s="928" customFormat="1" ht="45" x14ac:dyDescent="0.25">
      <c r="A349" s="1028"/>
      <c r="B349" s="1226" t="s">
        <v>142</v>
      </c>
      <c r="C349" s="1226">
        <v>244</v>
      </c>
      <c r="D349" s="533">
        <v>226</v>
      </c>
      <c r="E349" s="1222" t="s">
        <v>1077</v>
      </c>
      <c r="F349" s="536">
        <v>586533.6</v>
      </c>
      <c r="G349" s="536">
        <f>F349-239047.2</f>
        <v>347486.4</v>
      </c>
      <c r="H349" s="686">
        <f>G349-F349</f>
        <v>-239047.2</v>
      </c>
      <c r="I349" s="1222" t="s">
        <v>1672</v>
      </c>
      <c r="J349" s="1088"/>
      <c r="K349" s="1088"/>
      <c r="L349" s="1088"/>
    </row>
    <row r="350" spans="1:13" s="928" customFormat="1" x14ac:dyDescent="0.25">
      <c r="A350" s="2537" t="s">
        <v>1104</v>
      </c>
      <c r="B350" s="2537"/>
      <c r="C350" s="2537"/>
      <c r="D350" s="2537"/>
      <c r="E350" s="2537"/>
      <c r="F350" s="687">
        <f>SUM(F348:F349)</f>
        <v>7989222.2699999996</v>
      </c>
      <c r="G350" s="687">
        <f t="shared" ref="G350:H350" si="16">SUM(G348:G349)</f>
        <v>5750175.0700000003</v>
      </c>
      <c r="H350" s="687">
        <f t="shared" si="16"/>
        <v>-2239047.2000000002</v>
      </c>
      <c r="I350" s="1224" t="s">
        <v>82</v>
      </c>
    </row>
    <row r="351" spans="1:13" s="928" customFormat="1" x14ac:dyDescent="0.25">
      <c r="A351" s="2537" t="s">
        <v>1385</v>
      </c>
      <c r="B351" s="2537"/>
      <c r="C351" s="2537"/>
      <c r="D351" s="2537"/>
      <c r="E351" s="2537"/>
      <c r="F351" s="687">
        <f>F337+F340+F345+F350</f>
        <v>12992748.800000001</v>
      </c>
      <c r="G351" s="687">
        <f t="shared" ref="G351:H351" si="17">G337+G340+G345+G350</f>
        <v>10803701.6</v>
      </c>
      <c r="H351" s="687">
        <f t="shared" si="17"/>
        <v>-2189047.2000000002</v>
      </c>
      <c r="I351" s="1214" t="s">
        <v>82</v>
      </c>
      <c r="J351" s="1088"/>
      <c r="K351" s="1088"/>
    </row>
    <row r="352" spans="1:13" s="1215" customFormat="1" x14ac:dyDescent="0.25"/>
    <row r="353" spans="1:13" s="928" customFormat="1" x14ac:dyDescent="0.25">
      <c r="A353" s="395" t="s">
        <v>1515</v>
      </c>
      <c r="B353" s="395"/>
      <c r="C353" s="2"/>
      <c r="D353" s="2"/>
      <c r="E353" s="2"/>
      <c r="F353" s="2"/>
      <c r="G353" s="2"/>
      <c r="H353" s="965"/>
      <c r="I353" s="966" t="s">
        <v>243</v>
      </c>
      <c r="J353" s="1088"/>
      <c r="K353" s="1088"/>
    </row>
    <row r="354" spans="1:13" s="928" customFormat="1" x14ac:dyDescent="0.25">
      <c r="A354" s="2538"/>
      <c r="B354" s="2538"/>
      <c r="C354" s="2"/>
      <c r="D354" s="2"/>
      <c r="E354" s="2"/>
      <c r="F354" s="2"/>
      <c r="G354" s="2"/>
      <c r="H354" s="2"/>
      <c r="I354" s="966"/>
    </row>
    <row r="355" spans="1:13" s="928" customFormat="1" x14ac:dyDescent="0.25">
      <c r="A355" s="2539" t="s">
        <v>704</v>
      </c>
      <c r="B355" s="2539"/>
      <c r="C355" s="2540"/>
      <c r="D355" s="2"/>
      <c r="E355" s="2"/>
      <c r="F355" s="2"/>
      <c r="G355" s="2"/>
      <c r="H355" s="966"/>
      <c r="I355" s="966" t="s">
        <v>729</v>
      </c>
    </row>
    <row r="356" spans="1:13" s="1215" customFormat="1" x14ac:dyDescent="0.25"/>
    <row r="357" spans="1:13" s="928" customFormat="1" ht="18.75" x14ac:dyDescent="0.25">
      <c r="A357" s="2541" t="s">
        <v>1744</v>
      </c>
      <c r="B357" s="2541"/>
      <c r="C357" s="2541"/>
      <c r="D357" s="2541"/>
      <c r="E357" s="2541"/>
      <c r="F357" s="2541"/>
      <c r="G357" s="2541"/>
      <c r="H357" s="2541"/>
      <c r="I357" s="2541"/>
    </row>
    <row r="358" spans="1:13" s="928" customFormat="1" ht="18.75" customHeight="1" x14ac:dyDescent="0.3">
      <c r="A358" s="2543" t="s">
        <v>1718</v>
      </c>
      <c r="B358" s="2543"/>
      <c r="C358" s="2543"/>
      <c r="D358" s="2543"/>
      <c r="E358" s="2543"/>
      <c r="F358" s="2543"/>
      <c r="G358" s="2543"/>
      <c r="H358" s="2543"/>
      <c r="I358" s="2543"/>
    </row>
    <row r="359" spans="1:13" s="928" customFormat="1" x14ac:dyDescent="0.25"/>
    <row r="360" spans="1:13" s="928" customFormat="1" ht="63" customHeight="1" x14ac:dyDescent="0.25">
      <c r="A360" s="1117" t="s">
        <v>1449</v>
      </c>
      <c r="B360" s="1117" t="s">
        <v>234</v>
      </c>
      <c r="C360" s="1117" t="s">
        <v>305</v>
      </c>
      <c r="D360" s="1163" t="s">
        <v>1450</v>
      </c>
      <c r="E360" s="1163" t="s">
        <v>35</v>
      </c>
      <c r="F360" s="1163" t="s">
        <v>1451</v>
      </c>
      <c r="G360" s="1163" t="s">
        <v>491</v>
      </c>
      <c r="H360" s="1163" t="s">
        <v>492</v>
      </c>
      <c r="I360" s="1163" t="s">
        <v>1097</v>
      </c>
    </row>
    <row r="361" spans="1:13" s="928" customFormat="1" ht="18.75" x14ac:dyDescent="0.25">
      <c r="A361" s="2599" t="s">
        <v>1458</v>
      </c>
      <c r="B361" s="2599"/>
      <c r="C361" s="2599"/>
      <c r="D361" s="2599"/>
      <c r="E361" s="2599"/>
      <c r="F361" s="2599"/>
      <c r="G361" s="2599"/>
      <c r="H361" s="2599"/>
      <c r="I361" s="2599"/>
    </row>
    <row r="362" spans="1:13" s="680" customFormat="1" x14ac:dyDescent="0.25">
      <c r="A362" s="2555" t="s">
        <v>493</v>
      </c>
      <c r="B362" s="2555"/>
      <c r="C362" s="2555"/>
      <c r="D362" s="2555"/>
      <c r="E362" s="2555"/>
      <c r="F362" s="2555"/>
      <c r="G362" s="2555"/>
      <c r="H362" s="2555"/>
      <c r="I362" s="2555"/>
    </row>
    <row r="363" spans="1:13" s="1259" customFormat="1" ht="30.75" customHeight="1" x14ac:dyDescent="0.25">
      <c r="A363" s="2600" t="s">
        <v>1543</v>
      </c>
      <c r="B363" s="2563"/>
      <c r="C363" s="2563"/>
      <c r="D363" s="2563"/>
      <c r="E363" s="2563"/>
      <c r="F363" s="2563"/>
      <c r="G363" s="2563"/>
      <c r="H363" s="2563"/>
      <c r="I363" s="2563"/>
    </row>
    <row r="364" spans="1:13" s="1259" customFormat="1" ht="30" x14ac:dyDescent="0.25">
      <c r="A364" s="1117" t="s">
        <v>624</v>
      </c>
      <c r="B364" s="1161" t="s">
        <v>1477</v>
      </c>
      <c r="C364" s="1117">
        <v>112</v>
      </c>
      <c r="D364" s="1117">
        <v>214</v>
      </c>
      <c r="E364" s="1118" t="s">
        <v>101</v>
      </c>
      <c r="F364" s="1119">
        <v>1539292.31</v>
      </c>
      <c r="G364" s="1119">
        <f>F364+57684.29</f>
        <v>1596976.6</v>
      </c>
      <c r="H364" s="1119">
        <f>G364-F364</f>
        <v>57684.29</v>
      </c>
      <c r="I364" s="1118" t="s">
        <v>1403</v>
      </c>
      <c r="J364" s="1118"/>
    </row>
    <row r="365" spans="1:13" s="1259" customFormat="1" ht="30" x14ac:dyDescent="0.25">
      <c r="A365" s="1117" t="s">
        <v>624</v>
      </c>
      <c r="B365" s="1161" t="s">
        <v>1477</v>
      </c>
      <c r="C365" s="1117">
        <v>119</v>
      </c>
      <c r="D365" s="1117">
        <v>213</v>
      </c>
      <c r="E365" s="1118" t="s">
        <v>732</v>
      </c>
      <c r="F365" s="1119">
        <v>99218.89</v>
      </c>
      <c r="G365" s="1119">
        <v>41534.6</v>
      </c>
      <c r="H365" s="1119">
        <f>G365-F365</f>
        <v>-57684.29</v>
      </c>
      <c r="I365" s="1118" t="s">
        <v>1402</v>
      </c>
    </row>
    <row r="366" spans="1:13" s="1259" customFormat="1" ht="17.25" customHeight="1" x14ac:dyDescent="0.25">
      <c r="A366" s="2551" t="s">
        <v>1117</v>
      </c>
      <c r="B366" s="2551"/>
      <c r="C366" s="2551"/>
      <c r="D366" s="2551"/>
      <c r="E366" s="2551"/>
      <c r="F366" s="1162">
        <f>SUM(F364:F365)</f>
        <v>1638511.2</v>
      </c>
      <c r="G366" s="1162">
        <f>SUM(G364:G365)</f>
        <v>1638511.2</v>
      </c>
      <c r="H366" s="1162">
        <f>SUM(H364:H365)</f>
        <v>0</v>
      </c>
      <c r="I366" s="1251" t="s">
        <v>82</v>
      </c>
    </row>
    <row r="367" spans="1:13" s="928" customFormat="1" x14ac:dyDescent="0.25">
      <c r="A367" s="2545" t="s">
        <v>155</v>
      </c>
      <c r="B367" s="2545"/>
      <c r="C367" s="2545"/>
      <c r="D367" s="2545"/>
      <c r="E367" s="2545"/>
      <c r="F367" s="2545"/>
      <c r="G367" s="2545"/>
      <c r="H367" s="2545"/>
      <c r="I367" s="2546"/>
      <c r="J367" s="1088"/>
      <c r="K367" s="1088"/>
    </row>
    <row r="368" spans="1:13" s="928" customFormat="1" ht="30" x14ac:dyDescent="0.25">
      <c r="A368" s="1256"/>
      <c r="B368" s="538" t="s">
        <v>34</v>
      </c>
      <c r="C368" s="532">
        <v>112</v>
      </c>
      <c r="D368" s="532">
        <v>212</v>
      </c>
      <c r="E368" s="547" t="s">
        <v>1407</v>
      </c>
      <c r="F368" s="546">
        <v>11600</v>
      </c>
      <c r="G368" s="546">
        <f>F368+500</f>
        <v>12100</v>
      </c>
      <c r="H368" s="535">
        <f t="shared" ref="H368:H369" si="18">G368-F368</f>
        <v>500</v>
      </c>
      <c r="I368" s="1255" t="s">
        <v>1588</v>
      </c>
      <c r="K368" s="944" t="e">
        <f>#REF!*30.2%</f>
        <v>#REF!</v>
      </c>
      <c r="L368" s="565" t="e">
        <f>K368-F368</f>
        <v>#REF!</v>
      </c>
      <c r="M368" s="928" t="e">
        <f>L368=H368</f>
        <v>#REF!</v>
      </c>
    </row>
    <row r="369" spans="1:12" s="1027" customFormat="1" ht="30.75" customHeight="1" x14ac:dyDescent="0.25">
      <c r="A369" s="1026"/>
      <c r="B369" s="538" t="s">
        <v>34</v>
      </c>
      <c r="C369" s="1258">
        <v>112</v>
      </c>
      <c r="D369" s="533">
        <v>226</v>
      </c>
      <c r="E369" s="547" t="s">
        <v>1587</v>
      </c>
      <c r="F369" s="546">
        <v>135575.4</v>
      </c>
      <c r="G369" s="546">
        <f>F369-500</f>
        <v>135075.4</v>
      </c>
      <c r="H369" s="1260">
        <f t="shared" si="18"/>
        <v>-500</v>
      </c>
      <c r="I369" s="1255" t="s">
        <v>1745</v>
      </c>
      <c r="J369" s="1008"/>
      <c r="K369" s="1008"/>
      <c r="L369" s="1008"/>
    </row>
    <row r="370" spans="1:12" s="928" customFormat="1" x14ac:dyDescent="0.25">
      <c r="A370" s="2537" t="s">
        <v>1125</v>
      </c>
      <c r="B370" s="2537"/>
      <c r="C370" s="2537"/>
      <c r="D370" s="2537"/>
      <c r="E370" s="2537"/>
      <c r="F370" s="687">
        <f>SUM(F368:F369)</f>
        <v>147175.4</v>
      </c>
      <c r="G370" s="687">
        <f t="shared" ref="G370:H370" si="19">SUM(G368:G369)</f>
        <v>147175.4</v>
      </c>
      <c r="H370" s="687">
        <f t="shared" si="19"/>
        <v>0</v>
      </c>
      <c r="I370" s="1257" t="s">
        <v>82</v>
      </c>
      <c r="J370" s="1088"/>
      <c r="K370" s="1088"/>
    </row>
    <row r="371" spans="1:12" s="928" customFormat="1" x14ac:dyDescent="0.25">
      <c r="A371" s="2551" t="s">
        <v>1385</v>
      </c>
      <c r="B371" s="2551"/>
      <c r="C371" s="2551"/>
      <c r="D371" s="2551"/>
      <c r="E371" s="2551"/>
      <c r="F371" s="1162">
        <f>F366+F370</f>
        <v>1785686.6</v>
      </c>
      <c r="G371" s="1162">
        <f t="shared" ref="G371:H371" si="20">G366+G370</f>
        <v>1785686.6</v>
      </c>
      <c r="H371" s="1162">
        <f t="shared" si="20"/>
        <v>0</v>
      </c>
      <c r="I371" s="1117" t="s">
        <v>82</v>
      </c>
    </row>
    <row r="372" spans="1:12" s="928" customFormat="1" x14ac:dyDescent="0.25"/>
    <row r="373" spans="1:12" s="928" customFormat="1" x14ac:dyDescent="0.25">
      <c r="A373" s="395" t="s">
        <v>705</v>
      </c>
      <c r="B373" s="395"/>
      <c r="C373" s="2"/>
      <c r="D373" s="2"/>
      <c r="E373" s="2"/>
      <c r="F373" s="2"/>
      <c r="G373" s="2"/>
      <c r="H373" s="965"/>
      <c r="I373" s="966" t="s">
        <v>243</v>
      </c>
    </row>
    <row r="374" spans="1:12" s="928" customFormat="1" x14ac:dyDescent="0.25">
      <c r="A374" s="2538"/>
      <c r="B374" s="2538"/>
      <c r="C374" s="2"/>
      <c r="D374" s="2"/>
      <c r="E374" s="2"/>
      <c r="F374" s="2"/>
      <c r="G374" s="2"/>
      <c r="H374" s="2"/>
      <c r="I374" s="966"/>
    </row>
    <row r="375" spans="1:12" s="928" customFormat="1" x14ac:dyDescent="0.25">
      <c r="A375" s="2538" t="s">
        <v>239</v>
      </c>
      <c r="B375" s="2538"/>
      <c r="C375" s="2"/>
      <c r="D375" s="2"/>
      <c r="E375" s="2"/>
      <c r="F375" s="2"/>
      <c r="G375" s="2"/>
      <c r="H375" s="966"/>
      <c r="I375" s="966" t="s">
        <v>729</v>
      </c>
    </row>
    <row r="376" spans="1:12" s="928" customFormat="1" x14ac:dyDescent="0.25">
      <c r="A376" s="1267"/>
      <c r="B376" s="1267"/>
      <c r="C376" s="2"/>
      <c r="D376" s="2"/>
      <c r="E376" s="2"/>
      <c r="F376" s="2"/>
      <c r="G376" s="2"/>
      <c r="H376" s="966"/>
      <c r="I376" s="966"/>
    </row>
    <row r="377" spans="1:12" s="1259" customFormat="1" x14ac:dyDescent="0.25"/>
    <row r="378" spans="1:12" s="1259" customFormat="1" x14ac:dyDescent="0.25"/>
    <row r="379" spans="1:12" s="1227" customFormat="1" ht="18.75" x14ac:dyDescent="0.25">
      <c r="A379" s="2541" t="s">
        <v>1746</v>
      </c>
      <c r="B379" s="2541"/>
      <c r="C379" s="2541"/>
      <c r="D379" s="2541"/>
      <c r="E379" s="2541"/>
      <c r="F379" s="2541"/>
      <c r="G379" s="2541"/>
      <c r="H379" s="2541"/>
      <c r="I379" s="2541"/>
    </row>
    <row r="380" spans="1:12" s="1227" customFormat="1" ht="18.75" x14ac:dyDescent="0.25">
      <c r="A380" s="2542" t="s">
        <v>1458</v>
      </c>
      <c r="B380" s="2542"/>
      <c r="C380" s="2542"/>
      <c r="D380" s="2542"/>
      <c r="E380" s="2542"/>
      <c r="F380" s="2542"/>
      <c r="G380" s="2542"/>
      <c r="H380" s="2542"/>
      <c r="I380" s="2542"/>
    </row>
    <row r="381" spans="1:12" s="1227" customFormat="1" ht="18.75" x14ac:dyDescent="0.3">
      <c r="A381" s="2543" t="s">
        <v>1718</v>
      </c>
      <c r="B381" s="2543"/>
      <c r="C381" s="2543"/>
      <c r="D381" s="2543"/>
      <c r="E381" s="2543"/>
      <c r="F381" s="2543"/>
      <c r="G381" s="2543"/>
      <c r="H381" s="2543"/>
      <c r="I381" s="2543"/>
    </row>
    <row r="382" spans="1:12" s="1227" customFormat="1" ht="18.75" x14ac:dyDescent="0.3">
      <c r="A382" s="1223"/>
      <c r="B382" s="962"/>
      <c r="C382" s="962"/>
      <c r="D382" s="962"/>
      <c r="E382" s="962"/>
      <c r="F382" s="962"/>
      <c r="G382" s="962"/>
      <c r="H382" s="962"/>
      <c r="I382" s="962"/>
    </row>
    <row r="383" spans="1:12" s="1227" customFormat="1" ht="60" x14ac:dyDescent="0.25">
      <c r="A383" s="1226" t="s">
        <v>1449</v>
      </c>
      <c r="B383" s="1226" t="s">
        <v>234</v>
      </c>
      <c r="C383" s="1226" t="s">
        <v>305</v>
      </c>
      <c r="D383" s="1225" t="s">
        <v>1450</v>
      </c>
      <c r="E383" s="1225" t="s">
        <v>35</v>
      </c>
      <c r="F383" s="1225" t="s">
        <v>1451</v>
      </c>
      <c r="G383" s="1225" t="s">
        <v>491</v>
      </c>
      <c r="H383" s="1225" t="s">
        <v>492</v>
      </c>
      <c r="I383" s="1225" t="s">
        <v>1097</v>
      </c>
    </row>
    <row r="384" spans="1:12" s="1227" customFormat="1" ht="18.75" x14ac:dyDescent="0.25">
      <c r="A384" s="2544" t="s">
        <v>1458</v>
      </c>
      <c r="B384" s="2544"/>
      <c r="C384" s="2544"/>
      <c r="D384" s="2544"/>
      <c r="E384" s="2544"/>
      <c r="F384" s="2544"/>
      <c r="G384" s="2544"/>
      <c r="H384" s="2544"/>
      <c r="I384" s="2544"/>
    </row>
    <row r="385" spans="1:11" s="1227" customFormat="1" x14ac:dyDescent="0.25">
      <c r="A385" s="2545" t="s">
        <v>493</v>
      </c>
      <c r="B385" s="2545"/>
      <c r="C385" s="2545"/>
      <c r="D385" s="2545"/>
      <c r="E385" s="2545"/>
      <c r="F385" s="2545"/>
      <c r="G385" s="2545"/>
      <c r="H385" s="2545"/>
      <c r="I385" s="2545"/>
    </row>
    <row r="386" spans="1:11" s="1227" customFormat="1" x14ac:dyDescent="0.25">
      <c r="A386" s="2549" t="s">
        <v>1543</v>
      </c>
      <c r="B386" s="2550"/>
      <c r="C386" s="2550"/>
      <c r="D386" s="2550"/>
      <c r="E386" s="2550"/>
      <c r="F386" s="2550"/>
      <c r="G386" s="2550"/>
      <c r="H386" s="2550"/>
      <c r="I386" s="2550"/>
    </row>
    <row r="387" spans="1:11" s="1227" customFormat="1" x14ac:dyDescent="0.25">
      <c r="A387" s="1226" t="s">
        <v>624</v>
      </c>
      <c r="B387" s="684" t="s">
        <v>1477</v>
      </c>
      <c r="C387" s="708">
        <v>851</v>
      </c>
      <c r="D387" s="708">
        <v>291</v>
      </c>
      <c r="E387" s="685" t="s">
        <v>1702</v>
      </c>
      <c r="F387" s="686">
        <v>19282669</v>
      </c>
      <c r="G387" s="686">
        <f>F387-350000</f>
        <v>18932669</v>
      </c>
      <c r="H387" s="686">
        <f t="shared" ref="H387:H392" si="21">G387-F387</f>
        <v>-350000</v>
      </c>
      <c r="I387" s="707" t="s">
        <v>1429</v>
      </c>
    </row>
    <row r="388" spans="1:11" s="1227" customFormat="1" hidden="1" x14ac:dyDescent="0.25">
      <c r="A388" s="1226" t="s">
        <v>624</v>
      </c>
      <c r="B388" s="684" t="s">
        <v>1477</v>
      </c>
      <c r="C388" s="708">
        <v>247</v>
      </c>
      <c r="D388" s="708">
        <v>223</v>
      </c>
      <c r="E388" s="685" t="s">
        <v>456</v>
      </c>
      <c r="F388" s="686"/>
      <c r="G388" s="686"/>
      <c r="H388" s="686">
        <f t="shared" si="21"/>
        <v>0</v>
      </c>
      <c r="I388" s="707" t="s">
        <v>1611</v>
      </c>
    </row>
    <row r="389" spans="1:11" s="1227" customFormat="1" ht="30" x14ac:dyDescent="0.25">
      <c r="A389" s="1226" t="s">
        <v>624</v>
      </c>
      <c r="B389" s="684" t="s">
        <v>1477</v>
      </c>
      <c r="C389" s="708">
        <v>244</v>
      </c>
      <c r="D389" s="708">
        <v>223</v>
      </c>
      <c r="E389" s="685" t="s">
        <v>456</v>
      </c>
      <c r="F389" s="686">
        <v>1358547.3</v>
      </c>
      <c r="G389" s="686">
        <f>F389+29130.05</f>
        <v>1387677.35</v>
      </c>
      <c r="H389" s="686">
        <f t="shared" si="21"/>
        <v>29130.05</v>
      </c>
      <c r="I389" s="707" t="s">
        <v>1747</v>
      </c>
    </row>
    <row r="390" spans="1:11" s="1227" customFormat="1" ht="30" x14ac:dyDescent="0.25">
      <c r="A390" s="1226" t="s">
        <v>624</v>
      </c>
      <c r="B390" s="684" t="s">
        <v>1477</v>
      </c>
      <c r="C390" s="708">
        <v>244</v>
      </c>
      <c r="D390" s="708">
        <v>221</v>
      </c>
      <c r="E390" s="685" t="s">
        <v>497</v>
      </c>
      <c r="F390" s="686">
        <v>66800.08</v>
      </c>
      <c r="G390" s="686">
        <f>F390+8350.01</f>
        <v>75150.09</v>
      </c>
      <c r="H390" s="686">
        <f t="shared" si="21"/>
        <v>8350.01</v>
      </c>
      <c r="I390" s="707" t="s">
        <v>1748</v>
      </c>
      <c r="J390" s="1216" t="s">
        <v>1706</v>
      </c>
    </row>
    <row r="391" spans="1:11" s="1227" customFormat="1" ht="90" x14ac:dyDescent="0.25">
      <c r="A391" s="1226" t="s">
        <v>624</v>
      </c>
      <c r="B391" s="684" t="s">
        <v>1477</v>
      </c>
      <c r="C391" s="708">
        <v>244</v>
      </c>
      <c r="D391" s="708">
        <v>225</v>
      </c>
      <c r="E391" s="685" t="s">
        <v>457</v>
      </c>
      <c r="F391" s="686">
        <v>1022116.85</v>
      </c>
      <c r="G391" s="686">
        <f>F391+54947.14</f>
        <v>1077063.99</v>
      </c>
      <c r="H391" s="686">
        <f t="shared" si="21"/>
        <v>54947.14</v>
      </c>
      <c r="I391" s="707" t="s">
        <v>1749</v>
      </c>
      <c r="J391" s="1216" t="s">
        <v>1707</v>
      </c>
    </row>
    <row r="392" spans="1:11" s="1227" customFormat="1" ht="60" x14ac:dyDescent="0.25">
      <c r="A392" s="1226" t="s">
        <v>624</v>
      </c>
      <c r="B392" s="684" t="s">
        <v>1477</v>
      </c>
      <c r="C392" s="708">
        <v>244</v>
      </c>
      <c r="D392" s="708">
        <v>226</v>
      </c>
      <c r="E392" s="1222" t="s">
        <v>1077</v>
      </c>
      <c r="F392" s="686">
        <v>2089150.1</v>
      </c>
      <c r="G392" s="686">
        <f>F392+257572.8</f>
        <v>2346722.9</v>
      </c>
      <c r="H392" s="686">
        <f t="shared" si="21"/>
        <v>257572.8</v>
      </c>
      <c r="I392" s="707" t="s">
        <v>1750</v>
      </c>
    </row>
    <row r="393" spans="1:11" s="1227" customFormat="1" x14ac:dyDescent="0.25">
      <c r="A393" s="2537" t="s">
        <v>718</v>
      </c>
      <c r="B393" s="2537"/>
      <c r="C393" s="2537"/>
      <c r="D393" s="2537"/>
      <c r="E393" s="2537"/>
      <c r="F393" s="687">
        <f>SUM(F387:F392)</f>
        <v>23819283.329999998</v>
      </c>
      <c r="G393" s="687">
        <f>SUM(G387:G392)</f>
        <v>23819283.329999998</v>
      </c>
      <c r="H393" s="687">
        <f>SUM(H387:H392)</f>
        <v>0</v>
      </c>
      <c r="I393" s="1225" t="s">
        <v>82</v>
      </c>
    </row>
    <row r="394" spans="1:11" s="928" customFormat="1" x14ac:dyDescent="0.25">
      <c r="A394" s="2537" t="s">
        <v>1385</v>
      </c>
      <c r="B394" s="2537"/>
      <c r="C394" s="2537"/>
      <c r="D394" s="2537"/>
      <c r="E394" s="2537"/>
      <c r="F394" s="687">
        <f>F393</f>
        <v>23819283.329999998</v>
      </c>
      <c r="G394" s="687">
        <f>G393</f>
        <v>23819283.329999998</v>
      </c>
      <c r="H394" s="687">
        <f>H393</f>
        <v>0</v>
      </c>
      <c r="I394" s="1226" t="s">
        <v>82</v>
      </c>
      <c r="J394" s="1088"/>
      <c r="K394" s="1088"/>
    </row>
    <row r="395" spans="1:11" s="1227" customFormat="1" x14ac:dyDescent="0.25"/>
    <row r="396" spans="1:11" s="928" customFormat="1" x14ac:dyDescent="0.25">
      <c r="A396" s="395" t="s">
        <v>1515</v>
      </c>
      <c r="B396" s="395"/>
      <c r="C396" s="2"/>
      <c r="D396" s="2"/>
      <c r="E396" s="2"/>
      <c r="F396" s="2"/>
      <c r="G396" s="2"/>
      <c r="H396" s="965"/>
      <c r="I396" s="966" t="s">
        <v>243</v>
      </c>
      <c r="J396" s="1088"/>
      <c r="K396" s="1088"/>
    </row>
    <row r="397" spans="1:11" s="928" customFormat="1" x14ac:dyDescent="0.25">
      <c r="A397" s="2538"/>
      <c r="B397" s="2538"/>
      <c r="C397" s="2"/>
      <c r="D397" s="2"/>
      <c r="E397" s="2"/>
      <c r="F397" s="2"/>
      <c r="G397" s="2"/>
      <c r="H397" s="2"/>
      <c r="I397" s="966"/>
    </row>
    <row r="398" spans="1:11" s="928" customFormat="1" x14ac:dyDescent="0.25">
      <c r="A398" s="2539" t="s">
        <v>704</v>
      </c>
      <c r="B398" s="2539"/>
      <c r="C398" s="2540"/>
      <c r="D398" s="2"/>
      <c r="E398" s="2"/>
      <c r="F398" s="2"/>
      <c r="G398" s="2"/>
      <c r="H398" s="966"/>
      <c r="I398" s="966" t="s">
        <v>729</v>
      </c>
    </row>
    <row r="400" spans="1:11" s="1265" customFormat="1" ht="18.75" x14ac:dyDescent="0.25">
      <c r="A400" s="2541" t="s">
        <v>1751</v>
      </c>
      <c r="B400" s="2541"/>
      <c r="C400" s="2541"/>
      <c r="D400" s="2541"/>
      <c r="E400" s="2541"/>
      <c r="F400" s="2541"/>
      <c r="G400" s="2541"/>
      <c r="H400" s="2541"/>
      <c r="I400" s="2541"/>
    </row>
    <row r="401" spans="1:13" s="1265" customFormat="1" ht="18.75" x14ac:dyDescent="0.25">
      <c r="A401" s="2542" t="s">
        <v>1458</v>
      </c>
      <c r="B401" s="2542"/>
      <c r="C401" s="2542"/>
      <c r="D401" s="2542"/>
      <c r="E401" s="2542"/>
      <c r="F401" s="2542"/>
      <c r="G401" s="2542"/>
      <c r="H401" s="2542"/>
      <c r="I401" s="2542"/>
    </row>
    <row r="402" spans="1:13" s="1265" customFormat="1" ht="18.75" x14ac:dyDescent="0.3">
      <c r="A402" s="2543" t="s">
        <v>1718</v>
      </c>
      <c r="B402" s="2543"/>
      <c r="C402" s="2543"/>
      <c r="D402" s="2543"/>
      <c r="E402" s="2543"/>
      <c r="F402" s="2543"/>
      <c r="G402" s="2543"/>
      <c r="H402" s="2543"/>
      <c r="I402" s="2543"/>
    </row>
    <row r="403" spans="1:13" s="1265" customFormat="1" ht="18.75" x14ac:dyDescent="0.3">
      <c r="A403" s="1268"/>
      <c r="B403" s="962"/>
      <c r="C403" s="962"/>
      <c r="D403" s="962"/>
      <c r="E403" s="962"/>
      <c r="F403" s="962"/>
      <c r="G403" s="962"/>
      <c r="H403" s="962"/>
      <c r="I403" s="962"/>
    </row>
    <row r="404" spans="1:13" s="1265" customFormat="1" ht="60" x14ac:dyDescent="0.25">
      <c r="A404" s="1271" t="s">
        <v>1449</v>
      </c>
      <c r="B404" s="1271" t="s">
        <v>234</v>
      </c>
      <c r="C404" s="1271" t="s">
        <v>305</v>
      </c>
      <c r="D404" s="1270" t="s">
        <v>1450</v>
      </c>
      <c r="E404" s="1270" t="s">
        <v>35</v>
      </c>
      <c r="F404" s="1270" t="s">
        <v>1451</v>
      </c>
      <c r="G404" s="1270" t="s">
        <v>491</v>
      </c>
      <c r="H404" s="1270" t="s">
        <v>492</v>
      </c>
      <c r="I404" s="1270" t="s">
        <v>1097</v>
      </c>
    </row>
    <row r="405" spans="1:13" s="1265" customFormat="1" ht="18.75" x14ac:dyDescent="0.25">
      <c r="A405" s="2544" t="s">
        <v>1458</v>
      </c>
      <c r="B405" s="2544"/>
      <c r="C405" s="2544"/>
      <c r="D405" s="2544"/>
      <c r="E405" s="2544"/>
      <c r="F405" s="2544"/>
      <c r="G405" s="2544"/>
      <c r="H405" s="2544"/>
      <c r="I405" s="2544"/>
    </row>
    <row r="406" spans="1:13" s="1265" customFormat="1" hidden="1" x14ac:dyDescent="0.25">
      <c r="A406" s="2545" t="s">
        <v>493</v>
      </c>
      <c r="B406" s="2545"/>
      <c r="C406" s="2545"/>
      <c r="D406" s="2545"/>
      <c r="E406" s="2545"/>
      <c r="F406" s="2545"/>
      <c r="G406" s="2545"/>
      <c r="H406" s="2545"/>
      <c r="I406" s="2545"/>
    </row>
    <row r="407" spans="1:13" s="1265" customFormat="1" ht="15" customHeight="1" x14ac:dyDescent="0.25">
      <c r="A407" s="2545" t="s">
        <v>1422</v>
      </c>
      <c r="B407" s="2545"/>
      <c r="C407" s="2545"/>
      <c r="D407" s="2545"/>
      <c r="E407" s="2545"/>
      <c r="F407" s="2545"/>
      <c r="G407" s="2545"/>
      <c r="H407" s="2545"/>
      <c r="I407" s="2545"/>
    </row>
    <row r="408" spans="1:13" s="1265" customFormat="1" ht="36.75" customHeight="1" x14ac:dyDescent="0.25">
      <c r="A408" s="1271" t="s">
        <v>1752</v>
      </c>
      <c r="B408" s="684" t="s">
        <v>1753</v>
      </c>
      <c r="C408" s="1271">
        <v>244</v>
      </c>
      <c r="D408" s="1271">
        <v>211</v>
      </c>
      <c r="E408" s="1266" t="s">
        <v>179</v>
      </c>
      <c r="F408" s="686">
        <v>0</v>
      </c>
      <c r="G408" s="686">
        <v>40000</v>
      </c>
      <c r="H408" s="686">
        <f>G408-F408</f>
        <v>40000</v>
      </c>
      <c r="I408" s="2547" t="s">
        <v>1754</v>
      </c>
      <c r="J408" s="1272">
        <v>40000</v>
      </c>
    </row>
    <row r="409" spans="1:13" s="1265" customFormat="1" ht="36.75" customHeight="1" x14ac:dyDescent="0.25">
      <c r="A409" s="1271" t="s">
        <v>1752</v>
      </c>
      <c r="B409" s="684" t="s">
        <v>1753</v>
      </c>
      <c r="C409" s="1271">
        <v>244</v>
      </c>
      <c r="D409" s="1271">
        <v>213</v>
      </c>
      <c r="E409" s="685" t="s">
        <v>89</v>
      </c>
      <c r="F409" s="686">
        <v>0</v>
      </c>
      <c r="G409" s="686">
        <v>12080</v>
      </c>
      <c r="H409" s="686">
        <f>G409-F409</f>
        <v>12080</v>
      </c>
      <c r="I409" s="2552"/>
      <c r="J409" s="1272">
        <v>12084</v>
      </c>
    </row>
    <row r="410" spans="1:13" s="1265" customFormat="1" ht="15" customHeight="1" x14ac:dyDescent="0.25">
      <c r="A410" s="2537" t="s">
        <v>1755</v>
      </c>
      <c r="B410" s="2537"/>
      <c r="C410" s="2537"/>
      <c r="D410" s="2537"/>
      <c r="E410" s="2537"/>
      <c r="F410" s="687">
        <f>SUM(F408:F409)</f>
        <v>0</v>
      </c>
      <c r="G410" s="687">
        <f t="shared" ref="G410:H410" si="22">SUM(G408:G409)</f>
        <v>52080</v>
      </c>
      <c r="H410" s="687">
        <f t="shared" si="22"/>
        <v>52080</v>
      </c>
      <c r="I410" s="1269" t="s">
        <v>82</v>
      </c>
      <c r="J410" s="1273">
        <f>J408+J409</f>
        <v>52084</v>
      </c>
    </row>
    <row r="411" spans="1:13" s="928" customFormat="1" x14ac:dyDescent="0.25">
      <c r="A411" s="2545" t="s">
        <v>155</v>
      </c>
      <c r="B411" s="2545"/>
      <c r="C411" s="2545"/>
      <c r="D411" s="2545"/>
      <c r="E411" s="2545"/>
      <c r="F411" s="2545"/>
      <c r="G411" s="2545"/>
      <c r="H411" s="2545"/>
      <c r="I411" s="2546"/>
      <c r="J411" s="1088"/>
      <c r="K411" s="1088"/>
    </row>
    <row r="412" spans="1:13" s="928" customFormat="1" ht="30" x14ac:dyDescent="0.25">
      <c r="A412" s="1276"/>
      <c r="B412" s="538" t="s">
        <v>34</v>
      </c>
      <c r="C412" s="532">
        <v>112</v>
      </c>
      <c r="D412" s="532">
        <v>212</v>
      </c>
      <c r="E412" s="547" t="s">
        <v>1407</v>
      </c>
      <c r="F412" s="546">
        <v>12100</v>
      </c>
      <c r="G412" s="546">
        <v>12200</v>
      </c>
      <c r="H412" s="535">
        <f t="shared" ref="H412:H414" si="23">G412-F412</f>
        <v>100</v>
      </c>
      <c r="I412" s="1274" t="s">
        <v>1588</v>
      </c>
      <c r="K412" s="944" t="e">
        <f>#REF!*30.2%</f>
        <v>#REF!</v>
      </c>
      <c r="L412" s="565" t="e">
        <f>K412-F412</f>
        <v>#REF!</v>
      </c>
      <c r="M412" s="928" t="e">
        <f>L412=H412</f>
        <v>#REF!</v>
      </c>
    </row>
    <row r="413" spans="1:13" s="1027" customFormat="1" ht="30.75" customHeight="1" x14ac:dyDescent="0.25">
      <c r="A413" s="1026"/>
      <c r="B413" s="538" t="s">
        <v>34</v>
      </c>
      <c r="C413" s="1278">
        <v>112</v>
      </c>
      <c r="D413" s="533">
        <v>226</v>
      </c>
      <c r="E413" s="547" t="s">
        <v>1587</v>
      </c>
      <c r="F413" s="546">
        <v>135075.4</v>
      </c>
      <c r="G413" s="546">
        <f>F413+1900</f>
        <v>136975.4</v>
      </c>
      <c r="H413" s="1260">
        <f t="shared" si="23"/>
        <v>1900</v>
      </c>
      <c r="I413" s="1274" t="s">
        <v>1589</v>
      </c>
      <c r="J413" s="1008"/>
      <c r="K413" s="1008"/>
      <c r="L413" s="1008"/>
    </row>
    <row r="414" spans="1:13" s="1027" customFormat="1" x14ac:dyDescent="0.25">
      <c r="A414" s="1280"/>
      <c r="B414" s="538" t="s">
        <v>34</v>
      </c>
      <c r="C414" s="1279">
        <v>831</v>
      </c>
      <c r="D414" s="1145">
        <v>293</v>
      </c>
      <c r="E414" s="547" t="s">
        <v>822</v>
      </c>
      <c r="F414" s="1281">
        <v>2000</v>
      </c>
      <c r="G414" s="1281">
        <v>0</v>
      </c>
      <c r="H414" s="1260">
        <f t="shared" si="23"/>
        <v>-2000</v>
      </c>
      <c r="I414" s="1275" t="s">
        <v>1756</v>
      </c>
      <c r="J414" s="1008"/>
      <c r="K414" s="1008"/>
      <c r="L414" s="1008"/>
    </row>
    <row r="415" spans="1:13" s="928" customFormat="1" x14ac:dyDescent="0.25">
      <c r="A415" s="2537" t="s">
        <v>1125</v>
      </c>
      <c r="B415" s="2537"/>
      <c r="C415" s="2537"/>
      <c r="D415" s="2537"/>
      <c r="E415" s="2537"/>
      <c r="F415" s="687">
        <f>SUM(F412:F414)</f>
        <v>149175.4</v>
      </c>
      <c r="G415" s="687">
        <f t="shared" ref="G415:H415" si="24">SUM(G412:G414)</f>
        <v>149175.4</v>
      </c>
      <c r="H415" s="687">
        <f t="shared" si="24"/>
        <v>0</v>
      </c>
      <c r="I415" s="1277" t="s">
        <v>82</v>
      </c>
      <c r="J415" s="1088"/>
      <c r="K415" s="1088"/>
    </row>
    <row r="416" spans="1:13" s="928" customFormat="1" x14ac:dyDescent="0.25">
      <c r="A416" s="2537" t="s">
        <v>1385</v>
      </c>
      <c r="B416" s="2537"/>
      <c r="C416" s="2537"/>
      <c r="D416" s="2537"/>
      <c r="E416" s="2537"/>
      <c r="F416" s="687">
        <f>F410+F415</f>
        <v>149175.4</v>
      </c>
      <c r="G416" s="687">
        <f t="shared" ref="G416:H416" si="25">G410+G415</f>
        <v>201255.4</v>
      </c>
      <c r="H416" s="687">
        <f t="shared" si="25"/>
        <v>52080</v>
      </c>
      <c r="I416" s="1271" t="s">
        <v>82</v>
      </c>
      <c r="J416" s="1088"/>
      <c r="K416" s="1088"/>
    </row>
    <row r="417" spans="1:12" s="1265" customFormat="1" x14ac:dyDescent="0.25"/>
    <row r="418" spans="1:12" s="928" customFormat="1" x14ac:dyDescent="0.25">
      <c r="A418" s="395" t="s">
        <v>1515</v>
      </c>
      <c r="B418" s="395"/>
      <c r="C418" s="2"/>
      <c r="D418" s="2"/>
      <c r="E418" s="2"/>
      <c r="F418" s="2"/>
      <c r="G418" s="2"/>
      <c r="H418" s="965"/>
      <c r="I418" s="966" t="s">
        <v>243</v>
      </c>
      <c r="J418" s="1088"/>
      <c r="K418" s="1088"/>
    </row>
    <row r="419" spans="1:12" s="928" customFormat="1" x14ac:dyDescent="0.25">
      <c r="A419" s="2538"/>
      <c r="B419" s="2538"/>
      <c r="C419" s="2"/>
      <c r="D419" s="2"/>
      <c r="E419" s="2"/>
      <c r="F419" s="2"/>
      <c r="G419" s="2"/>
      <c r="H419" s="2"/>
      <c r="I419" s="966"/>
    </row>
    <row r="420" spans="1:12" s="928" customFormat="1" x14ac:dyDescent="0.25">
      <c r="A420" s="2539" t="s">
        <v>704</v>
      </c>
      <c r="B420" s="2539"/>
      <c r="C420" s="2540"/>
      <c r="D420" s="2"/>
      <c r="E420" s="2"/>
      <c r="F420" s="2"/>
      <c r="G420" s="2"/>
      <c r="H420" s="966"/>
      <c r="I420" s="966" t="s">
        <v>729</v>
      </c>
    </row>
    <row r="421" spans="1:12" s="1265" customFormat="1" x14ac:dyDescent="0.25"/>
    <row r="422" spans="1:12" s="1265" customFormat="1" ht="18.75" x14ac:dyDescent="0.25">
      <c r="A422" s="2541" t="s">
        <v>1757</v>
      </c>
      <c r="B422" s="2541"/>
      <c r="C422" s="2541"/>
      <c r="D422" s="2541"/>
      <c r="E422" s="2541"/>
      <c r="F422" s="2541"/>
      <c r="G422" s="2541"/>
      <c r="H422" s="2541"/>
      <c r="I422" s="2541"/>
    </row>
    <row r="423" spans="1:12" s="1265" customFormat="1" ht="18.75" x14ac:dyDescent="0.25">
      <c r="A423" s="2542" t="s">
        <v>1458</v>
      </c>
      <c r="B423" s="2542"/>
      <c r="C423" s="2542"/>
      <c r="D423" s="2542"/>
      <c r="E423" s="2542"/>
      <c r="F423" s="2542"/>
      <c r="G423" s="2542"/>
      <c r="H423" s="2542"/>
      <c r="I423" s="2542"/>
    </row>
    <row r="424" spans="1:12" s="1265" customFormat="1" ht="18.75" x14ac:dyDescent="0.3">
      <c r="A424" s="2543" t="s">
        <v>1718</v>
      </c>
      <c r="B424" s="2543"/>
      <c r="C424" s="2543"/>
      <c r="D424" s="2543"/>
      <c r="E424" s="2543"/>
      <c r="F424" s="2543"/>
      <c r="G424" s="2543"/>
      <c r="H424" s="2543"/>
      <c r="I424" s="2543"/>
    </row>
    <row r="425" spans="1:12" s="1265" customFormat="1" ht="18.75" x14ac:dyDescent="0.3">
      <c r="A425" s="1286"/>
      <c r="B425" s="962"/>
      <c r="C425" s="962"/>
      <c r="D425" s="962"/>
      <c r="E425" s="962"/>
      <c r="F425" s="962"/>
      <c r="G425" s="962"/>
      <c r="H425" s="962"/>
      <c r="I425" s="962"/>
    </row>
    <row r="426" spans="1:12" s="1265" customFormat="1" ht="60" x14ac:dyDescent="0.25">
      <c r="A426" s="1288" t="s">
        <v>1449</v>
      </c>
      <c r="B426" s="1288" t="s">
        <v>234</v>
      </c>
      <c r="C426" s="1288" t="s">
        <v>305</v>
      </c>
      <c r="D426" s="1287" t="s">
        <v>1450</v>
      </c>
      <c r="E426" s="1287" t="s">
        <v>35</v>
      </c>
      <c r="F426" s="1287" t="s">
        <v>1451</v>
      </c>
      <c r="G426" s="1287" t="s">
        <v>491</v>
      </c>
      <c r="H426" s="1287" t="s">
        <v>492</v>
      </c>
      <c r="I426" s="1287" t="s">
        <v>1097</v>
      </c>
    </row>
    <row r="427" spans="1:12" s="1265" customFormat="1" ht="18.75" x14ac:dyDescent="0.25">
      <c r="A427" s="2544" t="s">
        <v>1458</v>
      </c>
      <c r="B427" s="2544"/>
      <c r="C427" s="2544"/>
      <c r="D427" s="2544"/>
      <c r="E427" s="2544"/>
      <c r="F427" s="2544"/>
      <c r="G427" s="2544"/>
      <c r="H427" s="2544"/>
      <c r="I427" s="2544"/>
    </row>
    <row r="428" spans="1:12" s="1265" customFormat="1" hidden="1" x14ac:dyDescent="0.25">
      <c r="A428" s="2545" t="s">
        <v>493</v>
      </c>
      <c r="B428" s="2545"/>
      <c r="C428" s="2545"/>
      <c r="D428" s="2545"/>
      <c r="E428" s="2545"/>
      <c r="F428" s="2545"/>
      <c r="G428" s="2545"/>
      <c r="H428" s="2545"/>
      <c r="I428" s="2545"/>
    </row>
    <row r="429" spans="1:12" s="928" customFormat="1" x14ac:dyDescent="0.25">
      <c r="A429" s="2545" t="s">
        <v>493</v>
      </c>
      <c r="B429" s="2545"/>
      <c r="C429" s="2545"/>
      <c r="D429" s="2545"/>
      <c r="E429" s="2545"/>
      <c r="F429" s="2545"/>
      <c r="G429" s="2545"/>
      <c r="H429" s="2545"/>
      <c r="I429" s="2545"/>
    </row>
    <row r="430" spans="1:12" s="928" customFormat="1" ht="30" customHeight="1" x14ac:dyDescent="0.25">
      <c r="A430" s="2549" t="s">
        <v>1543</v>
      </c>
      <c r="B430" s="2550"/>
      <c r="C430" s="2550"/>
      <c r="D430" s="2550"/>
      <c r="E430" s="2550"/>
      <c r="F430" s="2550"/>
      <c r="G430" s="2550"/>
      <c r="H430" s="2550"/>
      <c r="I430" s="2550"/>
    </row>
    <row r="431" spans="1:12" s="1027" customFormat="1" ht="30" x14ac:dyDescent="0.25">
      <c r="A431" s="529" t="s">
        <v>626</v>
      </c>
      <c r="B431" s="530" t="s">
        <v>67</v>
      </c>
      <c r="C431" s="529">
        <v>244</v>
      </c>
      <c r="D431" s="529">
        <v>341</v>
      </c>
      <c r="E431" s="1289" t="s">
        <v>1760</v>
      </c>
      <c r="F431" s="1119">
        <v>0</v>
      </c>
      <c r="G431" s="1119">
        <v>93600</v>
      </c>
      <c r="H431" s="1119">
        <f>G431-F431</f>
        <v>93600</v>
      </c>
      <c r="I431" s="1118" t="s">
        <v>1759</v>
      </c>
      <c r="J431" s="928"/>
      <c r="K431" s="944" t="e">
        <f>#REF!*30.2%</f>
        <v>#REF!</v>
      </c>
      <c r="L431" s="565" t="e">
        <f>F431-K431</f>
        <v>#REF!</v>
      </c>
    </row>
    <row r="432" spans="1:12" s="1027" customFormat="1" ht="30" x14ac:dyDescent="0.25">
      <c r="A432" s="529" t="s">
        <v>626</v>
      </c>
      <c r="B432" s="530" t="s">
        <v>67</v>
      </c>
      <c r="C432" s="529">
        <v>244</v>
      </c>
      <c r="D432" s="529">
        <v>310</v>
      </c>
      <c r="E432" s="685" t="s">
        <v>1598</v>
      </c>
      <c r="F432" s="528">
        <v>23250409.98</v>
      </c>
      <c r="G432" s="528">
        <f>F432-93600</f>
        <v>23156809.98</v>
      </c>
      <c r="H432" s="528">
        <f t="shared" ref="H432" si="26">G432-F432</f>
        <v>-93600</v>
      </c>
      <c r="I432" s="1204" t="s">
        <v>1758</v>
      </c>
      <c r="J432" s="1103">
        <f>G432-'4 (2025)'!J940</f>
        <v>23156809.98</v>
      </c>
      <c r="K432" s="1027">
        <v>-2100.02</v>
      </c>
    </row>
    <row r="433" spans="1:11" s="928" customFormat="1" x14ac:dyDescent="0.25">
      <c r="A433" s="2537" t="s">
        <v>714</v>
      </c>
      <c r="B433" s="2537"/>
      <c r="C433" s="2537"/>
      <c r="D433" s="2537"/>
      <c r="E433" s="2537"/>
      <c r="F433" s="687">
        <f>SUM(F431:F432)</f>
        <v>23250409.98</v>
      </c>
      <c r="G433" s="687">
        <f t="shared" ref="G433:H433" si="27">SUM(G431:G432)</f>
        <v>23250409.98</v>
      </c>
      <c r="H433" s="687">
        <f t="shared" si="27"/>
        <v>0</v>
      </c>
      <c r="I433" s="1287" t="s">
        <v>82</v>
      </c>
      <c r="J433" s="1088"/>
      <c r="K433" s="1088"/>
    </row>
    <row r="434" spans="1:11" s="928" customFormat="1" x14ac:dyDescent="0.25">
      <c r="A434" s="2537" t="s">
        <v>1385</v>
      </c>
      <c r="B434" s="2537"/>
      <c r="C434" s="2537"/>
      <c r="D434" s="2537"/>
      <c r="E434" s="2537"/>
      <c r="F434" s="687">
        <f>F433</f>
        <v>23250409.98</v>
      </c>
      <c r="G434" s="687">
        <f t="shared" ref="G434:H434" si="28">G433</f>
        <v>23250409.98</v>
      </c>
      <c r="H434" s="687">
        <f t="shared" si="28"/>
        <v>0</v>
      </c>
      <c r="I434" s="1288" t="s">
        <v>82</v>
      </c>
      <c r="J434" s="1088"/>
      <c r="K434" s="1088"/>
    </row>
    <row r="435" spans="1:11" s="1265" customFormat="1" x14ac:dyDescent="0.25"/>
    <row r="436" spans="1:11" s="928" customFormat="1" x14ac:dyDescent="0.25">
      <c r="A436" s="395" t="s">
        <v>1515</v>
      </c>
      <c r="B436" s="395"/>
      <c r="C436" s="2"/>
      <c r="D436" s="2"/>
      <c r="E436" s="2"/>
      <c r="F436" s="2"/>
      <c r="G436" s="2"/>
      <c r="H436" s="965"/>
      <c r="I436" s="966" t="s">
        <v>243</v>
      </c>
      <c r="J436" s="1088"/>
      <c r="K436" s="1088"/>
    </row>
    <row r="437" spans="1:11" s="928" customFormat="1" x14ac:dyDescent="0.25">
      <c r="A437" s="2538"/>
      <c r="B437" s="2538"/>
      <c r="C437" s="2"/>
      <c r="D437" s="2"/>
      <c r="E437" s="2"/>
      <c r="F437" s="2"/>
      <c r="G437" s="2"/>
      <c r="H437" s="2"/>
      <c r="I437" s="966"/>
    </row>
    <row r="438" spans="1:11" s="928" customFormat="1" x14ac:dyDescent="0.25">
      <c r="A438" s="2539" t="s">
        <v>704</v>
      </c>
      <c r="B438" s="2539"/>
      <c r="C438" s="2540"/>
      <c r="D438" s="2"/>
      <c r="E438" s="2"/>
      <c r="F438" s="2"/>
      <c r="G438" s="2"/>
      <c r="H438" s="966"/>
      <c r="I438" s="966" t="s">
        <v>729</v>
      </c>
    </row>
    <row r="439" spans="1:11" s="1265" customFormat="1" x14ac:dyDescent="0.25"/>
    <row r="440" spans="1:11" s="1265" customFormat="1" x14ac:dyDescent="0.25"/>
    <row r="441" spans="1:11" s="1265" customFormat="1" x14ac:dyDescent="0.25"/>
    <row r="442" spans="1:11" s="1265" customFormat="1" x14ac:dyDescent="0.25"/>
    <row r="443" spans="1:11" s="1265" customFormat="1" x14ac:dyDescent="0.25"/>
    <row r="444" spans="1:11" s="1265" customFormat="1" x14ac:dyDescent="0.25"/>
    <row r="445" spans="1:11" s="1265" customFormat="1" x14ac:dyDescent="0.25"/>
    <row r="446" spans="1:11" s="1265" customFormat="1" ht="18.75" x14ac:dyDescent="0.25">
      <c r="A446" s="2541" t="s">
        <v>1762</v>
      </c>
      <c r="B446" s="2541"/>
      <c r="C446" s="2541"/>
      <c r="D446" s="2541"/>
      <c r="E446" s="2541"/>
      <c r="F446" s="2541"/>
      <c r="G446" s="2541"/>
      <c r="H446" s="2541"/>
      <c r="I446" s="2541"/>
    </row>
    <row r="447" spans="1:11" s="1265" customFormat="1" ht="18.75" x14ac:dyDescent="0.25">
      <c r="A447" s="2542" t="s">
        <v>1458</v>
      </c>
      <c r="B447" s="2542"/>
      <c r="C447" s="2542"/>
      <c r="D447" s="2542"/>
      <c r="E447" s="2542"/>
      <c r="F447" s="2542"/>
      <c r="G447" s="2542"/>
      <c r="H447" s="2542"/>
      <c r="I447" s="2542"/>
    </row>
    <row r="448" spans="1:11" s="1265" customFormat="1" ht="18.75" x14ac:dyDescent="0.3">
      <c r="A448" s="2543" t="s">
        <v>1718</v>
      </c>
      <c r="B448" s="2543"/>
      <c r="C448" s="2543"/>
      <c r="D448" s="2543"/>
      <c r="E448" s="2543"/>
      <c r="F448" s="2543"/>
      <c r="G448" s="2543"/>
      <c r="H448" s="2543"/>
      <c r="I448" s="2543"/>
    </row>
    <row r="449" spans="1:13" s="1265" customFormat="1" ht="18.75" x14ac:dyDescent="0.3">
      <c r="A449" s="1262"/>
      <c r="B449" s="962"/>
      <c r="C449" s="962"/>
      <c r="D449" s="962"/>
      <c r="E449" s="962"/>
      <c r="F449" s="962"/>
      <c r="G449" s="962"/>
      <c r="H449" s="962"/>
      <c r="I449" s="962"/>
    </row>
    <row r="450" spans="1:13" s="1265" customFormat="1" ht="60" x14ac:dyDescent="0.25">
      <c r="A450" s="1264" t="s">
        <v>1449</v>
      </c>
      <c r="B450" s="1264" t="s">
        <v>234</v>
      </c>
      <c r="C450" s="1264" t="s">
        <v>305</v>
      </c>
      <c r="D450" s="1263" t="s">
        <v>1450</v>
      </c>
      <c r="E450" s="1263" t="s">
        <v>35</v>
      </c>
      <c r="F450" s="1263" t="s">
        <v>1451</v>
      </c>
      <c r="G450" s="1263" t="s">
        <v>491</v>
      </c>
      <c r="H450" s="1263" t="s">
        <v>492</v>
      </c>
      <c r="I450" s="1263" t="s">
        <v>1097</v>
      </c>
    </row>
    <row r="451" spans="1:13" s="1265" customFormat="1" ht="18.75" x14ac:dyDescent="0.25">
      <c r="A451" s="2544" t="s">
        <v>1458</v>
      </c>
      <c r="B451" s="2544"/>
      <c r="C451" s="2544"/>
      <c r="D451" s="2544"/>
      <c r="E451" s="2544"/>
      <c r="F451" s="2544"/>
      <c r="G451" s="2544"/>
      <c r="H451" s="2544"/>
      <c r="I451" s="2544"/>
    </row>
    <row r="452" spans="1:13" s="1265" customFormat="1" x14ac:dyDescent="0.25">
      <c r="A452" s="2545" t="s">
        <v>493</v>
      </c>
      <c r="B452" s="2545"/>
      <c r="C452" s="2545"/>
      <c r="D452" s="2545"/>
      <c r="E452" s="2545"/>
      <c r="F452" s="2545"/>
      <c r="G452" s="2545"/>
      <c r="H452" s="2545"/>
      <c r="I452" s="2545"/>
    </row>
    <row r="453" spans="1:13" s="1265" customFormat="1" x14ac:dyDescent="0.25">
      <c r="A453" s="2549" t="s">
        <v>1543</v>
      </c>
      <c r="B453" s="2550"/>
      <c r="C453" s="2550"/>
      <c r="D453" s="2550"/>
      <c r="E453" s="2550"/>
      <c r="F453" s="2550"/>
      <c r="G453" s="2550"/>
      <c r="H453" s="2550"/>
      <c r="I453" s="2550"/>
    </row>
    <row r="454" spans="1:13" s="1265" customFormat="1" ht="30" x14ac:dyDescent="0.25">
      <c r="A454" s="1264" t="s">
        <v>624</v>
      </c>
      <c r="B454" s="684" t="s">
        <v>1477</v>
      </c>
      <c r="C454" s="708">
        <v>851</v>
      </c>
      <c r="D454" s="708">
        <v>291</v>
      </c>
      <c r="E454" s="685" t="s">
        <v>1763</v>
      </c>
      <c r="F454" s="686">
        <v>18932669</v>
      </c>
      <c r="G454" s="686">
        <v>20999662</v>
      </c>
      <c r="H454" s="686">
        <f t="shared" ref="H454:H460" si="29">G454-F454</f>
        <v>2066993</v>
      </c>
      <c r="I454" s="1253" t="s">
        <v>1780</v>
      </c>
    </row>
    <row r="455" spans="1:13" s="1265" customFormat="1" ht="45" x14ac:dyDescent="0.25">
      <c r="A455" s="1295" t="s">
        <v>624</v>
      </c>
      <c r="B455" s="684" t="s">
        <v>1477</v>
      </c>
      <c r="C455" s="708">
        <v>852</v>
      </c>
      <c r="D455" s="708">
        <v>291</v>
      </c>
      <c r="E455" s="685" t="s">
        <v>1764</v>
      </c>
      <c r="F455" s="686">
        <v>1214</v>
      </c>
      <c r="G455" s="686">
        <v>1111</v>
      </c>
      <c r="H455" s="686">
        <f t="shared" ref="H455" si="30">G455-F455</f>
        <v>-103</v>
      </c>
      <c r="I455" s="707" t="s">
        <v>1769</v>
      </c>
    </row>
    <row r="456" spans="1:13" s="1265" customFormat="1" x14ac:dyDescent="0.25">
      <c r="A456" s="1264" t="s">
        <v>624</v>
      </c>
      <c r="B456" s="684" t="s">
        <v>1477</v>
      </c>
      <c r="C456" s="708">
        <v>247</v>
      </c>
      <c r="D456" s="708">
        <v>223</v>
      </c>
      <c r="E456" s="685" t="s">
        <v>456</v>
      </c>
      <c r="F456" s="686">
        <v>14416208.1</v>
      </c>
      <c r="G456" s="686">
        <v>20491679.710000001</v>
      </c>
      <c r="H456" s="686">
        <f t="shared" si="29"/>
        <v>6075471.6100000003</v>
      </c>
      <c r="I456" s="2547" t="s">
        <v>1780</v>
      </c>
    </row>
    <row r="457" spans="1:13" s="1265" customFormat="1" x14ac:dyDescent="0.25">
      <c r="A457" s="1264" t="s">
        <v>624</v>
      </c>
      <c r="B457" s="684" t="s">
        <v>1477</v>
      </c>
      <c r="C457" s="708">
        <v>244</v>
      </c>
      <c r="D457" s="708">
        <v>223</v>
      </c>
      <c r="E457" s="685" t="s">
        <v>456</v>
      </c>
      <c r="F457" s="686">
        <v>1387677.35</v>
      </c>
      <c r="G457" s="686">
        <v>1961320.21</v>
      </c>
      <c r="H457" s="686">
        <f t="shared" si="29"/>
        <v>573642.86</v>
      </c>
      <c r="I457" s="2548"/>
    </row>
    <row r="458" spans="1:13" s="1265" customFormat="1" ht="15.75" customHeight="1" x14ac:dyDescent="0.25">
      <c r="A458" s="1264" t="s">
        <v>624</v>
      </c>
      <c r="B458" s="684" t="s">
        <v>1477</v>
      </c>
      <c r="C458" s="708">
        <v>244</v>
      </c>
      <c r="D458" s="708">
        <v>221</v>
      </c>
      <c r="E458" s="685" t="s">
        <v>497</v>
      </c>
      <c r="F458" s="686">
        <v>75150.09</v>
      </c>
      <c r="G458" s="686">
        <v>100200.12</v>
      </c>
      <c r="H458" s="686">
        <f t="shared" si="29"/>
        <v>25050.03</v>
      </c>
      <c r="I458" s="2548"/>
      <c r="J458" s="1216"/>
    </row>
    <row r="459" spans="1:13" s="1265" customFormat="1" ht="15.75" customHeight="1" x14ac:dyDescent="0.25">
      <c r="A459" s="1264" t="s">
        <v>624</v>
      </c>
      <c r="B459" s="684" t="s">
        <v>1477</v>
      </c>
      <c r="C459" s="708">
        <v>244</v>
      </c>
      <c r="D459" s="708">
        <v>225</v>
      </c>
      <c r="E459" s="685" t="s">
        <v>457</v>
      </c>
      <c r="F459" s="686">
        <v>1077063.99</v>
      </c>
      <c r="G459" s="686">
        <v>1568064.95</v>
      </c>
      <c r="H459" s="686">
        <f t="shared" si="29"/>
        <v>491000.96</v>
      </c>
      <c r="I459" s="2548"/>
      <c r="J459" s="1216"/>
    </row>
    <row r="460" spans="1:13" s="1265" customFormat="1" x14ac:dyDescent="0.25">
      <c r="A460" s="1264" t="s">
        <v>624</v>
      </c>
      <c r="B460" s="684" t="s">
        <v>1477</v>
      </c>
      <c r="C460" s="708">
        <v>244</v>
      </c>
      <c r="D460" s="708">
        <v>226</v>
      </c>
      <c r="E460" s="1261" t="s">
        <v>1077</v>
      </c>
      <c r="F460" s="686">
        <v>2346722.9</v>
      </c>
      <c r="G460" s="686">
        <v>3135823.7</v>
      </c>
      <c r="H460" s="686">
        <f t="shared" si="29"/>
        <v>789100.8</v>
      </c>
      <c r="I460" s="2548"/>
    </row>
    <row r="461" spans="1:13" s="1265" customFormat="1" x14ac:dyDescent="0.25">
      <c r="A461" s="2537" t="s">
        <v>718</v>
      </c>
      <c r="B461" s="2537"/>
      <c r="C461" s="2537"/>
      <c r="D461" s="2537"/>
      <c r="E461" s="2537"/>
      <c r="F461" s="687">
        <f>SUM(F454:F460)</f>
        <v>38236705.43</v>
      </c>
      <c r="G461" s="687">
        <f>SUM(G454:G460)</f>
        <v>48257861.689999998</v>
      </c>
      <c r="H461" s="687">
        <f>SUM(H454:H460)</f>
        <v>10021156.26</v>
      </c>
      <c r="I461" s="1263" t="s">
        <v>82</v>
      </c>
    </row>
    <row r="462" spans="1:13" s="928" customFormat="1" x14ac:dyDescent="0.25">
      <c r="A462" s="2545" t="s">
        <v>155</v>
      </c>
      <c r="B462" s="2545"/>
      <c r="C462" s="2545"/>
      <c r="D462" s="2545"/>
      <c r="E462" s="2545"/>
      <c r="F462" s="2545"/>
      <c r="G462" s="2545"/>
      <c r="H462" s="2545"/>
      <c r="I462" s="2546"/>
      <c r="J462" s="1088"/>
      <c r="K462" s="1088"/>
    </row>
    <row r="463" spans="1:13" s="928" customFormat="1" ht="30" x14ac:dyDescent="0.25">
      <c r="A463" s="1293"/>
      <c r="B463" s="538" t="s">
        <v>34</v>
      </c>
      <c r="C463" s="532">
        <v>112</v>
      </c>
      <c r="D463" s="532">
        <v>212</v>
      </c>
      <c r="E463" s="547" t="s">
        <v>1407</v>
      </c>
      <c r="F463" s="546">
        <v>12200</v>
      </c>
      <c r="G463" s="546">
        <v>13400</v>
      </c>
      <c r="H463" s="535">
        <f t="shared" ref="H463:H470" si="31">G463-F463</f>
        <v>1200</v>
      </c>
      <c r="I463" s="1290" t="s">
        <v>1588</v>
      </c>
      <c r="K463" s="944" t="e">
        <f>#REF!*30.2%</f>
        <v>#REF!</v>
      </c>
      <c r="L463" s="565" t="e">
        <f>K463-F463</f>
        <v>#REF!</v>
      </c>
      <c r="M463" s="928" t="e">
        <f>L463=H463</f>
        <v>#REF!</v>
      </c>
    </row>
    <row r="464" spans="1:13" s="1027" customFormat="1" ht="30.75" customHeight="1" x14ac:dyDescent="0.25">
      <c r="A464" s="1026"/>
      <c r="B464" s="538" t="s">
        <v>34</v>
      </c>
      <c r="C464" s="708">
        <v>851</v>
      </c>
      <c r="D464" s="708">
        <v>291</v>
      </c>
      <c r="E464" s="685" t="s">
        <v>1763</v>
      </c>
      <c r="F464" s="1281">
        <v>2000</v>
      </c>
      <c r="G464" s="1281">
        <v>0</v>
      </c>
      <c r="H464" s="1260">
        <f t="shared" si="31"/>
        <v>-2000</v>
      </c>
      <c r="I464" s="1291" t="s">
        <v>1756</v>
      </c>
      <c r="J464" s="1008"/>
      <c r="K464" s="1008"/>
      <c r="L464" s="1008"/>
    </row>
    <row r="465" spans="1:12" s="1027" customFormat="1" ht="30.75" customHeight="1" x14ac:dyDescent="0.25">
      <c r="A465" s="1026"/>
      <c r="B465" s="538" t="s">
        <v>34</v>
      </c>
      <c r="C465" s="708">
        <v>853</v>
      </c>
      <c r="D465" s="708">
        <v>295</v>
      </c>
      <c r="E465" s="685" t="s">
        <v>1294</v>
      </c>
      <c r="F465" s="1281">
        <v>2000</v>
      </c>
      <c r="G465" s="1281">
        <v>0</v>
      </c>
      <c r="H465" s="1260">
        <f t="shared" ref="H465" si="32">G465-F465</f>
        <v>-2000</v>
      </c>
      <c r="I465" s="1291" t="s">
        <v>1756</v>
      </c>
      <c r="J465" s="1008"/>
      <c r="K465" s="1008"/>
      <c r="L465" s="1008"/>
    </row>
    <row r="466" spans="1:12" s="1027" customFormat="1" ht="30.75" customHeight="1" x14ac:dyDescent="0.25">
      <c r="A466" s="1297"/>
      <c r="B466" s="538" t="s">
        <v>34</v>
      </c>
      <c r="C466" s="532">
        <v>119</v>
      </c>
      <c r="D466" s="532">
        <v>213</v>
      </c>
      <c r="E466" s="685" t="s">
        <v>89</v>
      </c>
      <c r="F466" s="546">
        <v>772770.98</v>
      </c>
      <c r="G466" s="546">
        <v>678866.18</v>
      </c>
      <c r="H466" s="686">
        <f>G466-F466</f>
        <v>-93904.8</v>
      </c>
      <c r="I466" s="707" t="s">
        <v>1783</v>
      </c>
      <c r="J466" s="1008"/>
      <c r="K466" s="1008"/>
      <c r="L466" s="1008"/>
    </row>
    <row r="467" spans="1:12" s="1027" customFormat="1" ht="30.75" customHeight="1" x14ac:dyDescent="0.25">
      <c r="A467" s="1297"/>
      <c r="B467" s="538" t="s">
        <v>34</v>
      </c>
      <c r="C467" s="1295">
        <v>244</v>
      </c>
      <c r="D467" s="533">
        <v>221</v>
      </c>
      <c r="E467" s="685" t="s">
        <v>1728</v>
      </c>
      <c r="F467" s="686">
        <v>33400.04</v>
      </c>
      <c r="G467" s="686">
        <v>25050.03</v>
      </c>
      <c r="H467" s="686">
        <f>G467-F467</f>
        <v>-8350.01</v>
      </c>
      <c r="I467" s="1290" t="s">
        <v>1729</v>
      </c>
      <c r="J467" s="1008"/>
      <c r="K467" s="1008"/>
      <c r="L467" s="1008"/>
    </row>
    <row r="468" spans="1:12" s="1027" customFormat="1" ht="30.75" customHeight="1" x14ac:dyDescent="0.25">
      <c r="A468" s="1297"/>
      <c r="B468" s="538" t="s">
        <v>34</v>
      </c>
      <c r="C468" s="1295">
        <v>244</v>
      </c>
      <c r="D468" s="533">
        <v>225</v>
      </c>
      <c r="E468" s="685" t="s">
        <v>457</v>
      </c>
      <c r="F468" s="686">
        <v>1503395.89</v>
      </c>
      <c r="G468" s="686">
        <v>1406748.75</v>
      </c>
      <c r="H468" s="686">
        <f t="shared" ref="H468:H469" si="33">G468-F468</f>
        <v>-96647.14</v>
      </c>
      <c r="I468" s="1290" t="s">
        <v>1781</v>
      </c>
      <c r="J468" s="1008"/>
      <c r="K468" s="1008"/>
      <c r="L468" s="1008"/>
    </row>
    <row r="469" spans="1:12" s="1027" customFormat="1" ht="48" customHeight="1" x14ac:dyDescent="0.25">
      <c r="A469" s="1297"/>
      <c r="B469" s="538" t="s">
        <v>34</v>
      </c>
      <c r="C469" s="1295">
        <v>244</v>
      </c>
      <c r="D469" s="533">
        <v>226</v>
      </c>
      <c r="E469" s="1290" t="s">
        <v>1077</v>
      </c>
      <c r="F469" s="686">
        <v>1185072.57</v>
      </c>
      <c r="G469" s="686">
        <v>1128421.3700000001</v>
      </c>
      <c r="H469" s="686">
        <f t="shared" si="33"/>
        <v>-56651.199999999997</v>
      </c>
      <c r="I469" s="1290" t="s">
        <v>1782</v>
      </c>
      <c r="J469" s="1008"/>
      <c r="K469" s="1008"/>
      <c r="L469" s="1008"/>
    </row>
    <row r="470" spans="1:12" s="1027" customFormat="1" x14ac:dyDescent="0.25">
      <c r="A470" s="1297"/>
      <c r="B470" s="538" t="s">
        <v>34</v>
      </c>
      <c r="C470" s="1296">
        <v>244</v>
      </c>
      <c r="D470" s="708">
        <v>346</v>
      </c>
      <c r="E470" s="1292" t="s">
        <v>1089</v>
      </c>
      <c r="F470" s="686">
        <v>182992.85</v>
      </c>
      <c r="G470" s="686">
        <v>441346</v>
      </c>
      <c r="H470" s="686">
        <f t="shared" si="31"/>
        <v>258353.15</v>
      </c>
      <c r="I470" s="1291"/>
      <c r="J470" s="1008"/>
      <c r="K470" s="1008"/>
      <c r="L470" s="1008"/>
    </row>
    <row r="471" spans="1:12" s="928" customFormat="1" x14ac:dyDescent="0.25">
      <c r="A471" s="2537" t="s">
        <v>1125</v>
      </c>
      <c r="B471" s="2537"/>
      <c r="C471" s="2537"/>
      <c r="D471" s="2537"/>
      <c r="E471" s="2537"/>
      <c r="F471" s="687">
        <f>SUM(F463:F470)</f>
        <v>3693832.33</v>
      </c>
      <c r="G471" s="687">
        <f>SUM(G463:G470)</f>
        <v>3693832.33</v>
      </c>
      <c r="H471" s="687">
        <f>SUM(H463:H470)</f>
        <v>0</v>
      </c>
      <c r="I471" s="1294" t="s">
        <v>82</v>
      </c>
      <c r="J471" s="1088"/>
      <c r="K471" s="1088"/>
    </row>
    <row r="472" spans="1:12" s="928" customFormat="1" x14ac:dyDescent="0.25">
      <c r="A472" s="2545" t="s">
        <v>1099</v>
      </c>
      <c r="B472" s="2545"/>
      <c r="C472" s="2545"/>
      <c r="D472" s="2545"/>
      <c r="E472" s="2545"/>
      <c r="F472" s="2545"/>
      <c r="G472" s="2545"/>
      <c r="H472" s="2545"/>
      <c r="I472" s="2545"/>
    </row>
    <row r="473" spans="1:12" s="928" customFormat="1" x14ac:dyDescent="0.25">
      <c r="A473" s="1293"/>
      <c r="B473" s="1295" t="s">
        <v>1512</v>
      </c>
      <c r="C473" s="684" t="s">
        <v>495</v>
      </c>
      <c r="D473" s="684" t="s">
        <v>537</v>
      </c>
      <c r="E473" s="685" t="s">
        <v>1100</v>
      </c>
      <c r="F473" s="686">
        <v>6699670.0300000003</v>
      </c>
      <c r="G473" s="686">
        <f>F473-1987110.74</f>
        <v>4712559.29</v>
      </c>
      <c r="H473" s="686">
        <f>G473-F473</f>
        <v>-1987110.74</v>
      </c>
      <c r="I473" s="685" t="s">
        <v>1405</v>
      </c>
    </row>
    <row r="474" spans="1:12" s="928" customFormat="1" ht="48.75" customHeight="1" x14ac:dyDescent="0.25">
      <c r="A474" s="1293"/>
      <c r="B474" s="1295" t="s">
        <v>142</v>
      </c>
      <c r="C474" s="708">
        <v>247</v>
      </c>
      <c r="D474" s="708">
        <v>223</v>
      </c>
      <c r="E474" s="685" t="s">
        <v>456</v>
      </c>
      <c r="F474" s="686">
        <v>5402688.6699999999</v>
      </c>
      <c r="G474" s="686">
        <f>F474-1188321.57</f>
        <v>4214367.0999999996</v>
      </c>
      <c r="H474" s="686">
        <f>G474-F474</f>
        <v>-1188321.57</v>
      </c>
      <c r="I474" s="1290" t="s">
        <v>1732</v>
      </c>
    </row>
    <row r="475" spans="1:12" s="928" customFormat="1" ht="48.75" customHeight="1" x14ac:dyDescent="0.25">
      <c r="A475" s="1293"/>
      <c r="B475" s="1295" t="s">
        <v>142</v>
      </c>
      <c r="C475" s="708">
        <v>244</v>
      </c>
      <c r="D475" s="708">
        <v>223</v>
      </c>
      <c r="E475" s="685" t="s">
        <v>456</v>
      </c>
      <c r="F475" s="686">
        <v>949494.96</v>
      </c>
      <c r="G475" s="686">
        <f>F475-559741.97</f>
        <v>389752.99</v>
      </c>
      <c r="H475" s="686">
        <f>G475-F475</f>
        <v>-559741.97</v>
      </c>
      <c r="I475" s="1290" t="s">
        <v>1784</v>
      </c>
    </row>
    <row r="476" spans="1:12" s="928" customFormat="1" ht="45" x14ac:dyDescent="0.25">
      <c r="A476" s="1028"/>
      <c r="B476" s="1295" t="s">
        <v>142</v>
      </c>
      <c r="C476" s="1295">
        <v>244</v>
      </c>
      <c r="D476" s="533">
        <v>226</v>
      </c>
      <c r="E476" s="1290" t="s">
        <v>1077</v>
      </c>
      <c r="F476" s="536">
        <v>347486.4</v>
      </c>
      <c r="G476" s="536">
        <f>F476-239047.2</f>
        <v>108439.2</v>
      </c>
      <c r="H476" s="686">
        <f>G476-F476</f>
        <v>-239047.2</v>
      </c>
      <c r="I476" s="1290" t="s">
        <v>1672</v>
      </c>
      <c r="J476" s="1088"/>
      <c r="K476" s="1088"/>
      <c r="L476" s="1088"/>
    </row>
    <row r="477" spans="1:12" s="928" customFormat="1" x14ac:dyDescent="0.25">
      <c r="A477" s="2537" t="s">
        <v>1104</v>
      </c>
      <c r="B477" s="2537"/>
      <c r="C477" s="2537"/>
      <c r="D477" s="2537"/>
      <c r="E477" s="2537"/>
      <c r="F477" s="687">
        <f>SUM(F474:F476)</f>
        <v>6699670.0300000003</v>
      </c>
      <c r="G477" s="687">
        <f t="shared" ref="G477:H477" si="34">SUM(G474:G476)</f>
        <v>4712559.29</v>
      </c>
      <c r="H477" s="687">
        <f t="shared" si="34"/>
        <v>-1987110.74</v>
      </c>
      <c r="I477" s="1293" t="s">
        <v>82</v>
      </c>
    </row>
    <row r="478" spans="1:12" s="928" customFormat="1" x14ac:dyDescent="0.25">
      <c r="A478" s="2537" t="s">
        <v>1385</v>
      </c>
      <c r="B478" s="2537"/>
      <c r="C478" s="2537"/>
      <c r="D478" s="2537"/>
      <c r="E478" s="2537"/>
      <c r="F478" s="687">
        <f>F461+F471+F477</f>
        <v>48630207.789999999</v>
      </c>
      <c r="G478" s="687">
        <f t="shared" ref="G478:H478" si="35">G461+G471+G477</f>
        <v>56664253.310000002</v>
      </c>
      <c r="H478" s="687">
        <f t="shared" si="35"/>
        <v>8034045.5199999996</v>
      </c>
      <c r="I478" s="1264" t="s">
        <v>82</v>
      </c>
      <c r="J478" s="1088"/>
      <c r="K478" s="1088"/>
    </row>
    <row r="479" spans="1:12" s="1265" customFormat="1" x14ac:dyDescent="0.25"/>
    <row r="480" spans="1:12" s="928" customFormat="1" x14ac:dyDescent="0.25">
      <c r="A480" s="395" t="s">
        <v>1515</v>
      </c>
      <c r="B480" s="395"/>
      <c r="C480" s="2"/>
      <c r="D480" s="2"/>
      <c r="E480" s="2"/>
      <c r="F480" s="2"/>
      <c r="G480" s="2"/>
      <c r="H480" s="965"/>
      <c r="I480" s="966" t="s">
        <v>243</v>
      </c>
      <c r="J480" s="1088"/>
      <c r="K480" s="1088"/>
    </row>
    <row r="481" spans="1:13" s="928" customFormat="1" x14ac:dyDescent="0.25">
      <c r="A481" s="2538"/>
      <c r="B481" s="2538"/>
      <c r="C481" s="2"/>
      <c r="D481" s="2"/>
      <c r="E481" s="2"/>
      <c r="F481" s="2"/>
      <c r="G481" s="2"/>
      <c r="H481" s="2"/>
      <c r="I481" s="966"/>
    </row>
    <row r="482" spans="1:13" s="928" customFormat="1" x14ac:dyDescent="0.25">
      <c r="A482" s="2539" t="s">
        <v>704</v>
      </c>
      <c r="B482" s="2539"/>
      <c r="C482" s="2540"/>
      <c r="D482" s="2"/>
      <c r="E482" s="2"/>
      <c r="F482" s="2"/>
      <c r="G482" s="2"/>
      <c r="H482" s="966"/>
      <c r="I482" s="966" t="s">
        <v>729</v>
      </c>
    </row>
    <row r="483" spans="1:13" s="1265" customFormat="1" x14ac:dyDescent="0.25"/>
    <row r="484" spans="1:13" s="1265" customFormat="1" ht="18.75" x14ac:dyDescent="0.25">
      <c r="A484" s="2541" t="s">
        <v>1785</v>
      </c>
      <c r="B484" s="2541"/>
      <c r="C484" s="2541"/>
      <c r="D484" s="2541"/>
      <c r="E484" s="2541"/>
      <c r="F484" s="2541"/>
      <c r="G484" s="2541"/>
      <c r="H484" s="2541"/>
      <c r="I484" s="2541"/>
    </row>
    <row r="485" spans="1:13" s="1265" customFormat="1" ht="18.75" x14ac:dyDescent="0.25">
      <c r="A485" s="2542" t="s">
        <v>1458</v>
      </c>
      <c r="B485" s="2542"/>
      <c r="C485" s="2542"/>
      <c r="D485" s="2542"/>
      <c r="E485" s="2542"/>
      <c r="F485" s="2542"/>
      <c r="G485" s="2542"/>
      <c r="H485" s="2542"/>
      <c r="I485" s="2542"/>
    </row>
    <row r="486" spans="1:13" s="1265" customFormat="1" ht="18.75" x14ac:dyDescent="0.3">
      <c r="A486" s="2543" t="s">
        <v>1718</v>
      </c>
      <c r="B486" s="2543"/>
      <c r="C486" s="2543"/>
      <c r="D486" s="2543"/>
      <c r="E486" s="2543"/>
      <c r="F486" s="2543"/>
      <c r="G486" s="2543"/>
      <c r="H486" s="2543"/>
      <c r="I486" s="2543"/>
    </row>
    <row r="487" spans="1:13" s="1265" customFormat="1" ht="18.75" x14ac:dyDescent="0.3">
      <c r="A487" s="1308"/>
      <c r="B487" s="962"/>
      <c r="C487" s="962"/>
      <c r="D487" s="962"/>
      <c r="E487" s="962"/>
      <c r="F487" s="962"/>
      <c r="G487" s="962"/>
      <c r="H487" s="962"/>
      <c r="I487" s="962"/>
    </row>
    <row r="488" spans="1:13" s="1265" customFormat="1" ht="60" x14ac:dyDescent="0.25">
      <c r="A488" s="1307" t="s">
        <v>1449</v>
      </c>
      <c r="B488" s="1307" t="s">
        <v>234</v>
      </c>
      <c r="C488" s="1307" t="s">
        <v>305</v>
      </c>
      <c r="D488" s="1306" t="s">
        <v>1450</v>
      </c>
      <c r="E488" s="1306" t="s">
        <v>35</v>
      </c>
      <c r="F488" s="1306" t="s">
        <v>1451</v>
      </c>
      <c r="G488" s="1306" t="s">
        <v>491</v>
      </c>
      <c r="H488" s="1306" t="s">
        <v>492</v>
      </c>
      <c r="I488" s="1306" t="s">
        <v>1097</v>
      </c>
    </row>
    <row r="489" spans="1:13" s="1265" customFormat="1" ht="18.75" x14ac:dyDescent="0.25">
      <c r="A489" s="2544" t="s">
        <v>1458</v>
      </c>
      <c r="B489" s="2544"/>
      <c r="C489" s="2544"/>
      <c r="D489" s="2544"/>
      <c r="E489" s="2544"/>
      <c r="F489" s="2544"/>
      <c r="G489" s="2544"/>
      <c r="H489" s="2544"/>
      <c r="I489" s="2544"/>
    </row>
    <row r="490" spans="1:13" s="1265" customFormat="1" x14ac:dyDescent="0.25">
      <c r="A490" s="2545" t="s">
        <v>493</v>
      </c>
      <c r="B490" s="2545"/>
      <c r="C490" s="2545"/>
      <c r="D490" s="2545"/>
      <c r="E490" s="2545"/>
      <c r="F490" s="2545"/>
      <c r="G490" s="2545"/>
      <c r="H490" s="2545"/>
      <c r="I490" s="2545"/>
    </row>
    <row r="491" spans="1:13" s="1265" customFormat="1" x14ac:dyDescent="0.25">
      <c r="A491" s="2549" t="s">
        <v>1543</v>
      </c>
      <c r="B491" s="2550"/>
      <c r="C491" s="2550"/>
      <c r="D491" s="2550"/>
      <c r="E491" s="2550"/>
      <c r="F491" s="2550"/>
      <c r="G491" s="2550"/>
      <c r="H491" s="2550"/>
      <c r="I491" s="2550"/>
    </row>
    <row r="492" spans="1:13" s="928" customFormat="1" x14ac:dyDescent="0.25">
      <c r="A492" s="1311" t="s">
        <v>624</v>
      </c>
      <c r="B492" s="1161" t="s">
        <v>1477</v>
      </c>
      <c r="C492" s="1232">
        <v>111</v>
      </c>
      <c r="D492" s="1232">
        <v>211</v>
      </c>
      <c r="E492" s="1305" t="s">
        <v>179</v>
      </c>
      <c r="F492" s="1313">
        <v>0</v>
      </c>
      <c r="G492" s="1313">
        <f>K492</f>
        <v>1130215.3400000001</v>
      </c>
      <c r="H492" s="1313">
        <f>G492-F492</f>
        <v>1130215.3400000001</v>
      </c>
      <c r="I492" s="2554" t="s">
        <v>1786</v>
      </c>
      <c r="J492" s="943">
        <f>1580613.08-109072.71</f>
        <v>1471540.37</v>
      </c>
      <c r="K492" s="944">
        <f>J492*100/130.2</f>
        <v>1130215.3400000001</v>
      </c>
      <c r="L492" s="565">
        <f>K492-F492</f>
        <v>1130215.3400000001</v>
      </c>
      <c r="M492" s="928" t="b">
        <f>L492=H492</f>
        <v>1</v>
      </c>
    </row>
    <row r="493" spans="1:13" s="928" customFormat="1" ht="30" x14ac:dyDescent="0.25">
      <c r="A493" s="1311" t="s">
        <v>624</v>
      </c>
      <c r="B493" s="1161" t="s">
        <v>1477</v>
      </c>
      <c r="C493" s="1314">
        <v>119</v>
      </c>
      <c r="D493" s="1314">
        <v>213</v>
      </c>
      <c r="E493" s="1118" t="s">
        <v>89</v>
      </c>
      <c r="F493" s="1281">
        <v>41534.6</v>
      </c>
      <c r="G493" s="1281">
        <f>K493+41534.6</f>
        <v>382859.63</v>
      </c>
      <c r="H493" s="1119">
        <f>G493-F493</f>
        <v>341325.03</v>
      </c>
      <c r="I493" s="2364"/>
      <c r="K493" s="944">
        <f>K492*30.2%</f>
        <v>341325.03</v>
      </c>
      <c r="L493" s="565">
        <f>K493-F493</f>
        <v>299790.43</v>
      </c>
      <c r="M493" s="928" t="b">
        <f>L493=H493</f>
        <v>0</v>
      </c>
    </row>
    <row r="494" spans="1:13" s="928" customFormat="1" x14ac:dyDescent="0.25">
      <c r="A494" s="1312" t="s">
        <v>624</v>
      </c>
      <c r="B494" s="1161" t="s">
        <v>1477</v>
      </c>
      <c r="C494" s="1314">
        <v>111</v>
      </c>
      <c r="D494" s="1314">
        <v>266</v>
      </c>
      <c r="E494" s="1118" t="s">
        <v>37</v>
      </c>
      <c r="F494" s="1281">
        <v>0</v>
      </c>
      <c r="G494" s="1281">
        <v>109072.71</v>
      </c>
      <c r="H494" s="1119">
        <f>G494-F494</f>
        <v>109072.71</v>
      </c>
      <c r="I494" s="2358"/>
      <c r="K494" s="944"/>
      <c r="L494" s="565"/>
    </row>
    <row r="495" spans="1:13" s="1265" customFormat="1" x14ac:dyDescent="0.25">
      <c r="A495" s="2537" t="s">
        <v>718</v>
      </c>
      <c r="B495" s="2537"/>
      <c r="C495" s="2537"/>
      <c r="D495" s="2537"/>
      <c r="E495" s="2537"/>
      <c r="F495" s="687">
        <f t="shared" ref="F495:G495" si="36">SUM(F492:F494)</f>
        <v>41534.6</v>
      </c>
      <c r="G495" s="687">
        <f t="shared" si="36"/>
        <v>1622147.68</v>
      </c>
      <c r="H495" s="687">
        <f>SUM(H492:H494)</f>
        <v>1580613.08</v>
      </c>
      <c r="I495" s="1306" t="s">
        <v>82</v>
      </c>
    </row>
    <row r="496" spans="1:13" s="1265" customFormat="1" x14ac:dyDescent="0.25">
      <c r="A496" s="2545" t="s">
        <v>155</v>
      </c>
      <c r="B496" s="2545"/>
      <c r="C496" s="2545"/>
      <c r="D496" s="2545"/>
      <c r="E496" s="2545"/>
      <c r="F496" s="2545"/>
      <c r="G496" s="2545"/>
      <c r="H496" s="2545"/>
      <c r="I496" s="2546"/>
    </row>
    <row r="497" spans="1:13" s="928" customFormat="1" x14ac:dyDescent="0.25">
      <c r="A497" s="1309"/>
      <c r="B497" s="538" t="s">
        <v>34</v>
      </c>
      <c r="C497" s="529">
        <v>111</v>
      </c>
      <c r="D497" s="529">
        <v>211</v>
      </c>
      <c r="E497" s="1304" t="s">
        <v>179</v>
      </c>
      <c r="F497" s="528">
        <v>2558844.31</v>
      </c>
      <c r="G497" s="528">
        <f>K497</f>
        <v>2870746.15</v>
      </c>
      <c r="H497" s="528">
        <f>G497-F497</f>
        <v>311901.84000000003</v>
      </c>
      <c r="I497" s="707" t="s">
        <v>1611</v>
      </c>
      <c r="J497" s="943">
        <f>F497+F498+500001</f>
        <v>3737711.49</v>
      </c>
      <c r="K497" s="944">
        <f>J497*100/130.2</f>
        <v>2870746.15</v>
      </c>
      <c r="L497" s="565">
        <f>K497-F497</f>
        <v>311901.84000000003</v>
      </c>
      <c r="M497" s="928" t="b">
        <f>L497=H497</f>
        <v>1</v>
      </c>
    </row>
    <row r="498" spans="1:13" s="928" customFormat="1" ht="30" x14ac:dyDescent="0.25">
      <c r="A498" s="1309"/>
      <c r="B498" s="538" t="s">
        <v>34</v>
      </c>
      <c r="C498" s="532">
        <v>119</v>
      </c>
      <c r="D498" s="532">
        <v>213</v>
      </c>
      <c r="E498" s="685" t="s">
        <v>89</v>
      </c>
      <c r="F498" s="546">
        <v>678866.18</v>
      </c>
      <c r="G498" s="546">
        <f>K498</f>
        <v>866965.34</v>
      </c>
      <c r="H498" s="686">
        <f>G498-F498</f>
        <v>188099.16</v>
      </c>
      <c r="I498" s="707" t="s">
        <v>1611</v>
      </c>
      <c r="K498" s="944">
        <f>K497*30.2%</f>
        <v>866965.34</v>
      </c>
      <c r="L498" s="565">
        <f>K498-F498</f>
        <v>188099.16</v>
      </c>
      <c r="M498" s="928" t="b">
        <f>L498=H498</f>
        <v>1</v>
      </c>
    </row>
    <row r="499" spans="1:13" s="1265" customFormat="1" ht="30" x14ac:dyDescent="0.25">
      <c r="A499" s="1309"/>
      <c r="B499" s="538" t="s">
        <v>34</v>
      </c>
      <c r="C499" s="532">
        <v>112</v>
      </c>
      <c r="D499" s="532">
        <v>212</v>
      </c>
      <c r="E499" s="547" t="s">
        <v>1407</v>
      </c>
      <c r="F499" s="546">
        <v>13400</v>
      </c>
      <c r="G499" s="546">
        <f>F499+20000</f>
        <v>33400</v>
      </c>
      <c r="H499" s="535">
        <f t="shared" ref="H499:H501" si="37">G499-F499</f>
        <v>20000</v>
      </c>
      <c r="I499" s="1304" t="s">
        <v>1588</v>
      </c>
    </row>
    <row r="500" spans="1:13" s="1265" customFormat="1" ht="30" x14ac:dyDescent="0.25">
      <c r="A500" s="1309"/>
      <c r="B500" s="538" t="s">
        <v>34</v>
      </c>
      <c r="C500" s="532">
        <v>112</v>
      </c>
      <c r="D500" s="532">
        <v>226</v>
      </c>
      <c r="E500" s="547" t="s">
        <v>1587</v>
      </c>
      <c r="F500" s="546">
        <v>136975.4</v>
      </c>
      <c r="G500" s="546">
        <f>F500+50000</f>
        <v>186975.4</v>
      </c>
      <c r="H500" s="535">
        <f t="shared" si="37"/>
        <v>50000</v>
      </c>
      <c r="I500" s="1304" t="s">
        <v>1589</v>
      </c>
    </row>
    <row r="501" spans="1:13" s="1027" customFormat="1" ht="48" customHeight="1" x14ac:dyDescent="0.25">
      <c r="A501" s="1310"/>
      <c r="B501" s="538" t="s">
        <v>34</v>
      </c>
      <c r="C501" s="1307">
        <v>244</v>
      </c>
      <c r="D501" s="533">
        <v>226</v>
      </c>
      <c r="E501" s="1304" t="s">
        <v>1077</v>
      </c>
      <c r="F501" s="686">
        <v>1128421.3700000001</v>
      </c>
      <c r="G501" s="686">
        <f>F501-542001-28000</f>
        <v>558420.37</v>
      </c>
      <c r="H501" s="686">
        <f t="shared" si="37"/>
        <v>-570001</v>
      </c>
      <c r="I501" s="1304" t="s">
        <v>1782</v>
      </c>
      <c r="J501" s="1008"/>
      <c r="K501" s="1008"/>
      <c r="L501" s="1008"/>
    </row>
    <row r="502" spans="1:13" s="1265" customFormat="1" x14ac:dyDescent="0.25">
      <c r="A502" s="2537" t="s">
        <v>1125</v>
      </c>
      <c r="B502" s="2537"/>
      <c r="C502" s="2537"/>
      <c r="D502" s="2537"/>
      <c r="E502" s="2537"/>
      <c r="F502" s="687">
        <f>SUM(F497:F501)</f>
        <v>4516507.26</v>
      </c>
      <c r="G502" s="687">
        <f t="shared" ref="G502:H502" si="38">SUM(G497:G501)</f>
        <v>4516507.26</v>
      </c>
      <c r="H502" s="687">
        <f t="shared" si="38"/>
        <v>0</v>
      </c>
      <c r="I502" s="1306" t="s">
        <v>82</v>
      </c>
    </row>
    <row r="503" spans="1:13" s="1265" customFormat="1" x14ac:dyDescent="0.25">
      <c r="A503" s="2537" t="s">
        <v>1385</v>
      </c>
      <c r="B503" s="2537"/>
      <c r="C503" s="2537"/>
      <c r="D503" s="2537"/>
      <c r="E503" s="2537"/>
      <c r="F503" s="687">
        <f>F502+F495</f>
        <v>4558041.8600000003</v>
      </c>
      <c r="G503" s="687">
        <f t="shared" ref="G503:H503" si="39">G502+G495</f>
        <v>6138654.9400000004</v>
      </c>
      <c r="H503" s="687">
        <f t="shared" si="39"/>
        <v>1580613.08</v>
      </c>
      <c r="I503" s="1307" t="s">
        <v>82</v>
      </c>
    </row>
    <row r="504" spans="1:13" s="1265" customFormat="1" x14ac:dyDescent="0.25"/>
    <row r="505" spans="1:13" s="1265" customFormat="1" x14ac:dyDescent="0.25">
      <c r="A505" s="395" t="s">
        <v>1515</v>
      </c>
      <c r="B505" s="395"/>
      <c r="C505" s="2"/>
      <c r="D505" s="2"/>
      <c r="E505" s="2"/>
      <c r="F505" s="2"/>
      <c r="G505" s="2"/>
      <c r="H505" s="965"/>
      <c r="I505" s="966" t="s">
        <v>243</v>
      </c>
    </row>
    <row r="506" spans="1:13" s="1265" customFormat="1" x14ac:dyDescent="0.25">
      <c r="A506" s="2538"/>
      <c r="B506" s="2538"/>
      <c r="C506" s="2"/>
      <c r="D506" s="2"/>
      <c r="E506" s="2"/>
      <c r="F506" s="2"/>
      <c r="G506" s="2"/>
      <c r="H506" s="2"/>
      <c r="I506" s="966"/>
    </row>
    <row r="507" spans="1:13" s="1265" customFormat="1" x14ac:dyDescent="0.25">
      <c r="A507" s="2539" t="s">
        <v>704</v>
      </c>
      <c r="B507" s="2539"/>
      <c r="C507" s="2540"/>
      <c r="D507" s="2"/>
      <c r="E507" s="2"/>
      <c r="F507" s="2"/>
      <c r="G507" s="2"/>
      <c r="H507" s="966"/>
      <c r="I507" s="966" t="s">
        <v>729</v>
      </c>
    </row>
    <row r="508" spans="1:13" s="1265" customFormat="1" x14ac:dyDescent="0.25"/>
    <row r="509" spans="1:13" s="1265" customFormat="1" ht="18.75" x14ac:dyDescent="0.25">
      <c r="A509" s="2541" t="s">
        <v>1808</v>
      </c>
      <c r="B509" s="2541"/>
      <c r="C509" s="2541"/>
      <c r="D509" s="2541"/>
      <c r="E509" s="2541"/>
      <c r="F509" s="2541"/>
      <c r="G509" s="2541"/>
      <c r="H509" s="2541"/>
      <c r="I509" s="2541"/>
    </row>
    <row r="510" spans="1:13" s="1265" customFormat="1" ht="18.75" x14ac:dyDescent="0.25">
      <c r="A510" s="2542" t="s">
        <v>1458</v>
      </c>
      <c r="B510" s="2542"/>
      <c r="C510" s="2542"/>
      <c r="D510" s="2542"/>
      <c r="E510" s="2542"/>
      <c r="F510" s="2542"/>
      <c r="G510" s="2542"/>
      <c r="H510" s="2542"/>
      <c r="I510" s="2542"/>
    </row>
    <row r="511" spans="1:13" s="1265" customFormat="1" ht="18.75" x14ac:dyDescent="0.3">
      <c r="A511" s="2543" t="s">
        <v>1718</v>
      </c>
      <c r="B511" s="2543"/>
      <c r="C511" s="2543"/>
      <c r="D511" s="2543"/>
      <c r="E511" s="2543"/>
      <c r="F511" s="2543"/>
      <c r="G511" s="2543"/>
      <c r="H511" s="2543"/>
      <c r="I511" s="2543"/>
    </row>
    <row r="512" spans="1:13" s="1265" customFormat="1" ht="18.75" x14ac:dyDescent="0.3">
      <c r="A512" s="1320"/>
      <c r="B512" s="962"/>
      <c r="C512" s="962"/>
      <c r="D512" s="962"/>
      <c r="E512" s="962"/>
      <c r="F512" s="962"/>
      <c r="G512" s="962"/>
      <c r="H512" s="962"/>
      <c r="I512" s="962"/>
    </row>
    <row r="513" spans="1:13" s="1265" customFormat="1" ht="60" x14ac:dyDescent="0.25">
      <c r="A513" s="1317" t="s">
        <v>1449</v>
      </c>
      <c r="B513" s="1317" t="s">
        <v>234</v>
      </c>
      <c r="C513" s="1317" t="s">
        <v>305</v>
      </c>
      <c r="D513" s="1316" t="s">
        <v>1450</v>
      </c>
      <c r="E513" s="1316" t="s">
        <v>35</v>
      </c>
      <c r="F513" s="1316" t="s">
        <v>1451</v>
      </c>
      <c r="G513" s="1316" t="s">
        <v>491</v>
      </c>
      <c r="H513" s="1316" t="s">
        <v>492</v>
      </c>
      <c r="I513" s="1316" t="s">
        <v>1097</v>
      </c>
    </row>
    <row r="514" spans="1:13" s="1265" customFormat="1" ht="18.75" x14ac:dyDescent="0.25">
      <c r="A514" s="2544" t="s">
        <v>1458</v>
      </c>
      <c r="B514" s="2544"/>
      <c r="C514" s="2544"/>
      <c r="D514" s="2544"/>
      <c r="E514" s="2544"/>
      <c r="F514" s="2544"/>
      <c r="G514" s="2544"/>
      <c r="H514" s="2544"/>
      <c r="I514" s="2544"/>
    </row>
    <row r="515" spans="1:13" s="1265" customFormat="1" x14ac:dyDescent="0.25">
      <c r="A515" s="2545" t="s">
        <v>493</v>
      </c>
      <c r="B515" s="2545"/>
      <c r="C515" s="2545"/>
      <c r="D515" s="2545"/>
      <c r="E515" s="2545"/>
      <c r="F515" s="2545"/>
      <c r="G515" s="2545"/>
      <c r="H515" s="2545"/>
      <c r="I515" s="2545"/>
    </row>
    <row r="516" spans="1:13" s="1265" customFormat="1" ht="30.75" customHeight="1" x14ac:dyDescent="0.25">
      <c r="A516" s="2549" t="s">
        <v>1543</v>
      </c>
      <c r="B516" s="2550"/>
      <c r="C516" s="2550"/>
      <c r="D516" s="2550"/>
      <c r="E516" s="2550"/>
      <c r="F516" s="2550"/>
      <c r="G516" s="2550"/>
      <c r="H516" s="2550"/>
      <c r="I516" s="2550"/>
    </row>
    <row r="517" spans="1:13" s="928" customFormat="1" x14ac:dyDescent="0.25">
      <c r="A517" s="529" t="s">
        <v>626</v>
      </c>
      <c r="B517" s="530" t="s">
        <v>67</v>
      </c>
      <c r="C517" s="1145">
        <v>111</v>
      </c>
      <c r="D517" s="1145">
        <v>211</v>
      </c>
      <c r="E517" s="1341" t="s">
        <v>179</v>
      </c>
      <c r="F517" s="1342">
        <v>201108059.31999999</v>
      </c>
      <c r="G517" s="1342">
        <f>K517</f>
        <v>183694125.18000001</v>
      </c>
      <c r="H517" s="1342">
        <f>G517-F517</f>
        <v>-17413934.140000001</v>
      </c>
      <c r="I517" s="1361" t="s">
        <v>1811</v>
      </c>
      <c r="J517" s="943">
        <f>F517+F518-22672942.26</f>
        <v>239169750.97999999</v>
      </c>
      <c r="K517" s="944">
        <f>J517*100/130.2</f>
        <v>183694125.18000001</v>
      </c>
      <c r="L517" s="70">
        <f>K517-F517</f>
        <v>-17413934.140000001</v>
      </c>
      <c r="M517" s="928" t="b">
        <f>L517=H517</f>
        <v>1</v>
      </c>
    </row>
    <row r="518" spans="1:13" s="928" customFormat="1" ht="30" x14ac:dyDescent="0.25">
      <c r="A518" s="529" t="s">
        <v>626</v>
      </c>
      <c r="B518" s="530" t="s">
        <v>67</v>
      </c>
      <c r="C518" s="1314">
        <v>119</v>
      </c>
      <c r="D518" s="1314">
        <v>213</v>
      </c>
      <c r="E518" s="1118" t="s">
        <v>89</v>
      </c>
      <c r="F518" s="1281">
        <v>60734633.920000002</v>
      </c>
      <c r="G518" s="1342">
        <f>K518</f>
        <v>55475625.799999997</v>
      </c>
      <c r="H518" s="1119">
        <f>G518-F518</f>
        <v>-5259008.12</v>
      </c>
      <c r="I518" s="1361" t="s">
        <v>1811</v>
      </c>
      <c r="K518" s="944">
        <f>K517*30.2%</f>
        <v>55475625.799999997</v>
      </c>
      <c r="L518" s="70">
        <f>K518-F518</f>
        <v>-5259008.12</v>
      </c>
      <c r="M518" s="928" t="b">
        <f>L518=H518</f>
        <v>1</v>
      </c>
    </row>
    <row r="519" spans="1:13" s="1027" customFormat="1" ht="30" x14ac:dyDescent="0.25">
      <c r="A519" s="529" t="s">
        <v>626</v>
      </c>
      <c r="B519" s="530" t="s">
        <v>67</v>
      </c>
      <c r="C519" s="529">
        <v>244</v>
      </c>
      <c r="D519" s="529">
        <v>310</v>
      </c>
      <c r="E519" s="685" t="s">
        <v>1598</v>
      </c>
      <c r="F519" s="528">
        <v>23156809.98</v>
      </c>
      <c r="G519" s="528">
        <v>41864752.240000002</v>
      </c>
      <c r="H519" s="536">
        <f t="shared" ref="H519:H520" si="40">G519-F519</f>
        <v>18707942.260000002</v>
      </c>
      <c r="I519" s="1359" t="s">
        <v>1812</v>
      </c>
      <c r="J519" s="1103"/>
    </row>
    <row r="520" spans="1:13" s="1027" customFormat="1" ht="30" x14ac:dyDescent="0.25">
      <c r="A520" s="529" t="s">
        <v>626</v>
      </c>
      <c r="B520" s="530" t="s">
        <v>67</v>
      </c>
      <c r="C520" s="529">
        <v>244</v>
      </c>
      <c r="D520" s="529">
        <v>346</v>
      </c>
      <c r="E520" s="685" t="s">
        <v>1260</v>
      </c>
      <c r="F520" s="528">
        <v>4580346.58</v>
      </c>
      <c r="G520" s="528">
        <v>8545346.5800000001</v>
      </c>
      <c r="H520" s="536">
        <f t="shared" si="40"/>
        <v>3965000</v>
      </c>
      <c r="I520" s="1359" t="s">
        <v>1813</v>
      </c>
      <c r="J520" s="1103"/>
    </row>
    <row r="521" spans="1:13" s="928" customFormat="1" x14ac:dyDescent="0.25">
      <c r="A521" s="2537" t="s">
        <v>1352</v>
      </c>
      <c r="B521" s="2537"/>
      <c r="C521" s="2537"/>
      <c r="D521" s="2537"/>
      <c r="E521" s="2537"/>
      <c r="F521" s="687">
        <f>SUM(F517:F520)</f>
        <v>289579849.80000001</v>
      </c>
      <c r="G521" s="687">
        <f t="shared" ref="G521:H521" si="41">SUM(G517:G520)</f>
        <v>289579849.80000001</v>
      </c>
      <c r="H521" s="687">
        <f t="shared" si="41"/>
        <v>0</v>
      </c>
      <c r="I521" s="1315" t="s">
        <v>82</v>
      </c>
      <c r="J521" s="1360">
        <f>289579849.8+3449750.39</f>
        <v>293029600.19</v>
      </c>
    </row>
    <row r="522" spans="1:13" s="1265" customFormat="1" x14ac:dyDescent="0.25">
      <c r="A522" s="2545" t="s">
        <v>155</v>
      </c>
      <c r="B522" s="2545"/>
      <c r="C522" s="2545"/>
      <c r="D522" s="2545"/>
      <c r="E522" s="2545"/>
      <c r="F522" s="2545"/>
      <c r="G522" s="2545"/>
      <c r="H522" s="2545"/>
      <c r="I522" s="2546"/>
    </row>
    <row r="523" spans="1:13" s="928" customFormat="1" x14ac:dyDescent="0.25">
      <c r="A523" s="1340"/>
      <c r="B523" s="538" t="s">
        <v>34</v>
      </c>
      <c r="C523" s="533">
        <v>111</v>
      </c>
      <c r="D523" s="533">
        <v>211</v>
      </c>
      <c r="E523" s="1335" t="s">
        <v>179</v>
      </c>
      <c r="F523" s="536">
        <v>2870746.15</v>
      </c>
      <c r="G523" s="536">
        <f>K523</f>
        <v>2981722.34</v>
      </c>
      <c r="H523" s="536">
        <f>G523-F523</f>
        <v>110976.19</v>
      </c>
      <c r="I523" s="707" t="s">
        <v>1611</v>
      </c>
      <c r="J523" s="943">
        <f>F523+F524+166490.99-22000</f>
        <v>3882202.48</v>
      </c>
      <c r="K523" s="1358">
        <f>J523*100/130.2</f>
        <v>2981722.335</v>
      </c>
      <c r="L523" s="70">
        <f>K523-F523</f>
        <v>110976.19</v>
      </c>
      <c r="M523" s="928" t="b">
        <f>L523=H523</f>
        <v>1</v>
      </c>
    </row>
    <row r="524" spans="1:13" s="928" customFormat="1" ht="30" x14ac:dyDescent="0.25">
      <c r="A524" s="1340"/>
      <c r="B524" s="538" t="s">
        <v>34</v>
      </c>
      <c r="C524" s="532">
        <v>119</v>
      </c>
      <c r="D524" s="532">
        <v>213</v>
      </c>
      <c r="E524" s="685" t="s">
        <v>89</v>
      </c>
      <c r="F524" s="546">
        <v>866965.34</v>
      </c>
      <c r="G524" s="546">
        <f>K524-0.01</f>
        <v>900480.14</v>
      </c>
      <c r="H524" s="686">
        <f>G524-F524</f>
        <v>33514.800000000003</v>
      </c>
      <c r="I524" s="707" t="s">
        <v>1611</v>
      </c>
      <c r="K524" s="1358">
        <f>K523*30.2%</f>
        <v>900480.14500000002</v>
      </c>
      <c r="L524" s="70">
        <f>K524-F524</f>
        <v>33514.81</v>
      </c>
      <c r="M524" s="928" t="b">
        <f>L524=H524</f>
        <v>0</v>
      </c>
    </row>
    <row r="525" spans="1:13" s="1265" customFormat="1" ht="30" x14ac:dyDescent="0.25">
      <c r="A525" s="1340"/>
      <c r="B525" s="538" t="s">
        <v>34</v>
      </c>
      <c r="C525" s="532">
        <v>244</v>
      </c>
      <c r="D525" s="532">
        <v>221</v>
      </c>
      <c r="E525" s="547" t="s">
        <v>497</v>
      </c>
      <c r="F525" s="546">
        <f>25050.03-22000</f>
        <v>3050.03</v>
      </c>
      <c r="G525" s="546">
        <v>0</v>
      </c>
      <c r="H525" s="539">
        <f t="shared" ref="H525:H527" si="42">G525-F525</f>
        <v>-3050.03</v>
      </c>
      <c r="I525" s="1336" t="s">
        <v>1792</v>
      </c>
      <c r="K525" s="1346">
        <f>K523*30%</f>
        <v>894516.701</v>
      </c>
    </row>
    <row r="526" spans="1:13" s="1265" customFormat="1" ht="48" customHeight="1" x14ac:dyDescent="0.25">
      <c r="A526" s="1340"/>
      <c r="B526" s="538" t="s">
        <v>34</v>
      </c>
      <c r="C526" s="532">
        <v>244</v>
      </c>
      <c r="D526" s="532">
        <v>225</v>
      </c>
      <c r="E526" s="685" t="s">
        <v>457</v>
      </c>
      <c r="F526" s="546">
        <v>1406748.75</v>
      </c>
      <c r="G526" s="546">
        <v>965307.79</v>
      </c>
      <c r="H526" s="539">
        <f t="shared" si="42"/>
        <v>-441440.96</v>
      </c>
      <c r="I526" s="1336" t="s">
        <v>1793</v>
      </c>
      <c r="K526" s="1346">
        <f>K523*0.2%</f>
        <v>5963.4449999999997</v>
      </c>
    </row>
    <row r="527" spans="1:13" s="1265" customFormat="1" ht="30" x14ac:dyDescent="0.25">
      <c r="A527" s="1357"/>
      <c r="B527" s="538" t="s">
        <v>34</v>
      </c>
      <c r="C527" s="532">
        <v>244</v>
      </c>
      <c r="D527" s="532">
        <v>310</v>
      </c>
      <c r="E527" s="1356" t="s">
        <v>1809</v>
      </c>
      <c r="F527" s="546">
        <v>0</v>
      </c>
      <c r="G527" s="546">
        <v>110000</v>
      </c>
      <c r="H527" s="539">
        <f t="shared" si="42"/>
        <v>110000</v>
      </c>
      <c r="I527" s="1355" t="s">
        <v>1810</v>
      </c>
    </row>
    <row r="528" spans="1:13" s="1265" customFormat="1" ht="30" x14ac:dyDescent="0.25">
      <c r="A528" s="1340"/>
      <c r="B528" s="538" t="s">
        <v>34</v>
      </c>
      <c r="C528" s="532">
        <v>244</v>
      </c>
      <c r="D528" s="532">
        <v>346</v>
      </c>
      <c r="E528" s="1337" t="s">
        <v>1089</v>
      </c>
      <c r="F528" s="546">
        <v>441346</v>
      </c>
      <c r="G528" s="546">
        <f>F528+300000-110000</f>
        <v>631346</v>
      </c>
      <c r="H528" s="539">
        <f t="shared" ref="H528" si="43">G528-F528</f>
        <v>190000</v>
      </c>
      <c r="I528" s="1336" t="s">
        <v>1794</v>
      </c>
    </row>
    <row r="529" spans="1:12" s="1265" customFormat="1" x14ac:dyDescent="0.25">
      <c r="A529" s="2537" t="s">
        <v>1125</v>
      </c>
      <c r="B529" s="2537"/>
      <c r="C529" s="2537"/>
      <c r="D529" s="2537"/>
      <c r="E529" s="2537"/>
      <c r="F529" s="687">
        <f>SUM(F523:F528)</f>
        <v>5588856.2699999996</v>
      </c>
      <c r="G529" s="687">
        <f t="shared" ref="G529:H529" si="44">SUM(G523:G528)</f>
        <v>5588856.2699999996</v>
      </c>
      <c r="H529" s="687">
        <f t="shared" si="44"/>
        <v>0</v>
      </c>
      <c r="I529" s="1338" t="s">
        <v>82</v>
      </c>
    </row>
    <row r="530" spans="1:12" s="928" customFormat="1" x14ac:dyDescent="0.25">
      <c r="A530" s="2545" t="s">
        <v>1099</v>
      </c>
      <c r="B530" s="2545"/>
      <c r="C530" s="2545"/>
      <c r="D530" s="2545"/>
      <c r="E530" s="2545"/>
      <c r="F530" s="2545"/>
      <c r="G530" s="2545"/>
      <c r="H530" s="2545"/>
      <c r="I530" s="2545"/>
    </row>
    <row r="531" spans="1:12" s="928" customFormat="1" x14ac:dyDescent="0.25">
      <c r="A531" s="1322"/>
      <c r="B531" s="1323" t="s">
        <v>1512</v>
      </c>
      <c r="C531" s="684" t="s">
        <v>495</v>
      </c>
      <c r="D531" s="684" t="s">
        <v>537</v>
      </c>
      <c r="E531" s="685" t="s">
        <v>1100</v>
      </c>
      <c r="F531" s="686">
        <v>4712559.29</v>
      </c>
      <c r="G531" s="686">
        <v>0</v>
      </c>
      <c r="H531" s="686">
        <f>G531-F531</f>
        <v>-4712559.29</v>
      </c>
      <c r="I531" s="685" t="s">
        <v>1788</v>
      </c>
    </row>
    <row r="532" spans="1:12" s="928" customFormat="1" ht="48.75" customHeight="1" x14ac:dyDescent="0.25">
      <c r="A532" s="1322"/>
      <c r="B532" s="1323" t="s">
        <v>142</v>
      </c>
      <c r="C532" s="708">
        <v>247</v>
      </c>
      <c r="D532" s="708">
        <v>223</v>
      </c>
      <c r="E532" s="685" t="s">
        <v>456</v>
      </c>
      <c r="F532" s="686">
        <v>4214367.0999999996</v>
      </c>
      <c r="G532" s="686">
        <v>0</v>
      </c>
      <c r="H532" s="686">
        <f>G532-F532</f>
        <v>-4214367.0999999996</v>
      </c>
      <c r="I532" s="1321" t="s">
        <v>1732</v>
      </c>
    </row>
    <row r="533" spans="1:12" s="928" customFormat="1" ht="48.75" customHeight="1" x14ac:dyDescent="0.25">
      <c r="A533" s="1322"/>
      <c r="B533" s="1323" t="s">
        <v>142</v>
      </c>
      <c r="C533" s="708">
        <v>244</v>
      </c>
      <c r="D533" s="708">
        <v>223</v>
      </c>
      <c r="E533" s="685" t="s">
        <v>456</v>
      </c>
      <c r="F533" s="686">
        <v>389752.99</v>
      </c>
      <c r="G533" s="686">
        <v>0</v>
      </c>
      <c r="H533" s="686">
        <f>G533-F533</f>
        <v>-389752.99</v>
      </c>
      <c r="I533" s="1321" t="s">
        <v>1784</v>
      </c>
    </row>
    <row r="534" spans="1:12" s="928" customFormat="1" ht="45" x14ac:dyDescent="0.25">
      <c r="A534" s="1028"/>
      <c r="B534" s="1323" t="s">
        <v>142</v>
      </c>
      <c r="C534" s="1323">
        <v>244</v>
      </c>
      <c r="D534" s="533">
        <v>226</v>
      </c>
      <c r="E534" s="1321" t="s">
        <v>1077</v>
      </c>
      <c r="F534" s="536">
        <v>108439.2</v>
      </c>
      <c r="G534" s="536">
        <v>0</v>
      </c>
      <c r="H534" s="686">
        <f>G534-F534</f>
        <v>-108439.2</v>
      </c>
      <c r="I534" s="1321" t="s">
        <v>1672</v>
      </c>
      <c r="J534" s="1088"/>
      <c r="K534" s="1088"/>
      <c r="L534" s="1088"/>
    </row>
    <row r="535" spans="1:12" s="928" customFormat="1" x14ac:dyDescent="0.25">
      <c r="A535" s="2537" t="s">
        <v>1104</v>
      </c>
      <c r="B535" s="2537"/>
      <c r="C535" s="2537"/>
      <c r="D535" s="2537"/>
      <c r="E535" s="2537"/>
      <c r="F535" s="687">
        <f>SUM(F532:F534)</f>
        <v>4712559.29</v>
      </c>
      <c r="G535" s="687">
        <f t="shared" ref="G535:H535" si="45">SUM(G532:G534)</f>
        <v>0</v>
      </c>
      <c r="H535" s="687">
        <f t="shared" si="45"/>
        <v>-4712559.29</v>
      </c>
      <c r="I535" s="1322" t="s">
        <v>82</v>
      </c>
    </row>
    <row r="536" spans="1:12" s="1265" customFormat="1" x14ac:dyDescent="0.25">
      <c r="A536" s="2537" t="s">
        <v>1385</v>
      </c>
      <c r="B536" s="2537"/>
      <c r="C536" s="2537"/>
      <c r="D536" s="2537"/>
      <c r="E536" s="2537"/>
      <c r="F536" s="687">
        <f>F529+F535+F521</f>
        <v>299881265.36000001</v>
      </c>
      <c r="G536" s="687">
        <f t="shared" ref="G536:H536" si="46">G529+G535+G521</f>
        <v>295168706.06999999</v>
      </c>
      <c r="H536" s="687">
        <f t="shared" si="46"/>
        <v>-4712559.29</v>
      </c>
      <c r="I536" s="1339" t="s">
        <v>82</v>
      </c>
    </row>
    <row r="537" spans="1:12" s="928" customFormat="1" ht="18.75" x14ac:dyDescent="0.25">
      <c r="A537" s="2544" t="s">
        <v>1459</v>
      </c>
      <c r="B537" s="2544"/>
      <c r="C537" s="2544"/>
      <c r="D537" s="2544"/>
      <c r="E537" s="2544"/>
      <c r="F537" s="2544"/>
      <c r="G537" s="2544"/>
      <c r="H537" s="2544"/>
      <c r="I537" s="2544"/>
    </row>
    <row r="538" spans="1:12" s="928" customFormat="1" x14ac:dyDescent="0.25">
      <c r="A538" s="2563" t="s">
        <v>496</v>
      </c>
      <c r="B538" s="2563"/>
      <c r="C538" s="2563"/>
      <c r="D538" s="2563"/>
      <c r="E538" s="2563"/>
      <c r="F538" s="2563"/>
      <c r="G538" s="2563"/>
      <c r="H538" s="2563"/>
      <c r="I538" s="2563"/>
    </row>
    <row r="539" spans="1:12" s="928" customFormat="1" ht="30" x14ac:dyDescent="0.25">
      <c r="A539" s="1325" t="s">
        <v>624</v>
      </c>
      <c r="B539" s="1161" t="s">
        <v>91</v>
      </c>
      <c r="C539" s="1325">
        <v>244</v>
      </c>
      <c r="D539" s="1325">
        <v>223</v>
      </c>
      <c r="E539" s="1118" t="s">
        <v>456</v>
      </c>
      <c r="F539" s="1119">
        <v>1235066.92</v>
      </c>
      <c r="G539" s="1119">
        <f>F539+735000</f>
        <v>1970066.92</v>
      </c>
      <c r="H539" s="1119">
        <f t="shared" ref="H539:H540" si="47">G539-F539</f>
        <v>735000</v>
      </c>
      <c r="I539" s="1118" t="s">
        <v>1795</v>
      </c>
    </row>
    <row r="540" spans="1:12" s="928" customFormat="1" ht="30" x14ac:dyDescent="0.25">
      <c r="A540" s="1325" t="s">
        <v>624</v>
      </c>
      <c r="B540" s="1161" t="s">
        <v>91</v>
      </c>
      <c r="C540" s="1325">
        <v>244</v>
      </c>
      <c r="D540" s="708">
        <v>225</v>
      </c>
      <c r="E540" s="685" t="s">
        <v>457</v>
      </c>
      <c r="F540" s="1119">
        <v>2982467.88</v>
      </c>
      <c r="G540" s="1119">
        <f>F540-735000</f>
        <v>2247467.88</v>
      </c>
      <c r="H540" s="1119">
        <f t="shared" si="47"/>
        <v>-735000</v>
      </c>
      <c r="I540" s="1118" t="s">
        <v>1787</v>
      </c>
    </row>
    <row r="541" spans="1:12" s="928" customFormat="1" x14ac:dyDescent="0.25">
      <c r="A541" s="2551" t="s">
        <v>1117</v>
      </c>
      <c r="B541" s="2551"/>
      <c r="C541" s="2551"/>
      <c r="D541" s="2551"/>
      <c r="E541" s="2551"/>
      <c r="F541" s="1162">
        <f>SUM(F539:F540)</f>
        <v>4217534.8</v>
      </c>
      <c r="G541" s="1162">
        <f t="shared" ref="G541:H541" si="48">SUM(G539:G540)</f>
        <v>4217534.8</v>
      </c>
      <c r="H541" s="1162">
        <f t="shared" si="48"/>
        <v>0</v>
      </c>
      <c r="I541" s="1324" t="s">
        <v>82</v>
      </c>
    </row>
    <row r="542" spans="1:12" s="928" customFormat="1" x14ac:dyDescent="0.25">
      <c r="A542" s="2537" t="s">
        <v>1389</v>
      </c>
      <c r="B542" s="2537"/>
      <c r="C542" s="2537"/>
      <c r="D542" s="2537"/>
      <c r="E542" s="2537"/>
      <c r="F542" s="687">
        <f>F541</f>
        <v>4217534.8</v>
      </c>
      <c r="G542" s="687">
        <f>G541</f>
        <v>4217534.8</v>
      </c>
      <c r="H542" s="687">
        <f>H541</f>
        <v>0</v>
      </c>
      <c r="I542" s="1323" t="s">
        <v>82</v>
      </c>
    </row>
    <row r="543" spans="1:12" s="1265" customFormat="1" x14ac:dyDescent="0.25">
      <c r="A543" s="964"/>
      <c r="B543" s="964"/>
      <c r="C543" s="964"/>
      <c r="D543" s="964"/>
      <c r="E543" s="964"/>
      <c r="F543" s="693"/>
      <c r="G543" s="693"/>
      <c r="H543" s="693"/>
      <c r="I543" s="893"/>
    </row>
    <row r="544" spans="1:12" s="1265" customFormat="1" x14ac:dyDescent="0.25">
      <c r="A544" s="395" t="s">
        <v>1515</v>
      </c>
      <c r="B544" s="395"/>
      <c r="C544" s="2"/>
      <c r="D544" s="2"/>
      <c r="E544" s="2"/>
      <c r="F544" s="2"/>
      <c r="G544" s="2"/>
      <c r="H544" s="965"/>
      <c r="I544" s="966" t="s">
        <v>243</v>
      </c>
    </row>
    <row r="545" spans="1:13" s="1265" customFormat="1" x14ac:dyDescent="0.25">
      <c r="A545" s="2538"/>
      <c r="B545" s="2538"/>
      <c r="C545" s="2"/>
      <c r="D545" s="2"/>
      <c r="E545" s="2"/>
      <c r="F545" s="2"/>
      <c r="G545" s="2"/>
      <c r="H545" s="2"/>
      <c r="I545" s="966"/>
    </row>
    <row r="546" spans="1:13" s="1265" customFormat="1" x14ac:dyDescent="0.25">
      <c r="A546" s="2539" t="s">
        <v>704</v>
      </c>
      <c r="B546" s="2539"/>
      <c r="C546" s="2540"/>
      <c r="D546" s="2"/>
      <c r="E546" s="2"/>
      <c r="F546" s="2"/>
      <c r="G546" s="2"/>
      <c r="H546" s="966"/>
      <c r="I546" s="966" t="s">
        <v>729</v>
      </c>
    </row>
    <row r="547" spans="1:13" s="1265" customFormat="1" x14ac:dyDescent="0.25">
      <c r="A547" s="1318"/>
      <c r="B547" s="1318"/>
      <c r="C547" s="1319"/>
      <c r="D547" s="2"/>
      <c r="E547" s="2"/>
      <c r="F547" s="2"/>
      <c r="G547" s="2"/>
      <c r="H547" s="966"/>
      <c r="I547" s="966"/>
    </row>
    <row r="548" spans="1:13" s="1265" customFormat="1" ht="18.75" x14ac:dyDescent="0.25">
      <c r="A548" s="2541" t="s">
        <v>1796</v>
      </c>
      <c r="B548" s="2541"/>
      <c r="C548" s="2541"/>
      <c r="D548" s="2541"/>
      <c r="E548" s="2541"/>
      <c r="F548" s="2541"/>
      <c r="G548" s="2541"/>
      <c r="H548" s="2541"/>
      <c r="I548" s="2541"/>
    </row>
    <row r="549" spans="1:13" s="1265" customFormat="1" ht="18.75" x14ac:dyDescent="0.25">
      <c r="A549" s="2542" t="s">
        <v>1458</v>
      </c>
      <c r="B549" s="2542"/>
      <c r="C549" s="2542"/>
      <c r="D549" s="2542"/>
      <c r="E549" s="2542"/>
      <c r="F549" s="2542"/>
      <c r="G549" s="2542"/>
      <c r="H549" s="2542"/>
      <c r="I549" s="2542"/>
    </row>
    <row r="550" spans="1:13" s="1265" customFormat="1" ht="18.75" x14ac:dyDescent="0.3">
      <c r="A550" s="2543" t="s">
        <v>1718</v>
      </c>
      <c r="B550" s="2543"/>
      <c r="C550" s="2543"/>
      <c r="D550" s="2543"/>
      <c r="E550" s="2543"/>
      <c r="F550" s="2543"/>
      <c r="G550" s="2543"/>
      <c r="H550" s="2543"/>
      <c r="I550" s="2543"/>
    </row>
    <row r="551" spans="1:13" s="1265" customFormat="1" ht="18.75" x14ac:dyDescent="0.3">
      <c r="A551" s="1347"/>
      <c r="B551" s="962"/>
      <c r="C551" s="962"/>
      <c r="D551" s="962"/>
      <c r="E551" s="962"/>
      <c r="F551" s="962"/>
      <c r="G551" s="962"/>
      <c r="H551" s="962"/>
      <c r="I551" s="962"/>
    </row>
    <row r="552" spans="1:13" s="1265" customFormat="1" ht="60" x14ac:dyDescent="0.25">
      <c r="A552" s="1349" t="s">
        <v>1449</v>
      </c>
      <c r="B552" s="1349" t="s">
        <v>234</v>
      </c>
      <c r="C552" s="1349" t="s">
        <v>305</v>
      </c>
      <c r="D552" s="1348" t="s">
        <v>1450</v>
      </c>
      <c r="E552" s="1348" t="s">
        <v>35</v>
      </c>
      <c r="F552" s="1348" t="s">
        <v>1451</v>
      </c>
      <c r="G552" s="1348" t="s">
        <v>491</v>
      </c>
      <c r="H552" s="1348" t="s">
        <v>492</v>
      </c>
      <c r="I552" s="1348" t="s">
        <v>1097</v>
      </c>
    </row>
    <row r="553" spans="1:13" s="1265" customFormat="1" ht="18.75" x14ac:dyDescent="0.25">
      <c r="A553" s="2544" t="s">
        <v>1458</v>
      </c>
      <c r="B553" s="2544"/>
      <c r="C553" s="2544"/>
      <c r="D553" s="2544"/>
      <c r="E553" s="2544"/>
      <c r="F553" s="2544"/>
      <c r="G553" s="2544"/>
      <c r="H553" s="2544"/>
      <c r="I553" s="2544"/>
    </row>
    <row r="554" spans="1:13" s="1265" customFormat="1" hidden="1" x14ac:dyDescent="0.25">
      <c r="A554" s="2545" t="s">
        <v>493</v>
      </c>
      <c r="B554" s="2545"/>
      <c r="C554" s="2545"/>
      <c r="D554" s="2545"/>
      <c r="E554" s="2545"/>
      <c r="F554" s="2545"/>
      <c r="G554" s="2545"/>
      <c r="H554" s="2545"/>
      <c r="I554" s="2545"/>
    </row>
    <row r="555" spans="1:13" s="1265" customFormat="1" x14ac:dyDescent="0.25">
      <c r="A555" s="2545" t="s">
        <v>155</v>
      </c>
      <c r="B555" s="2545"/>
      <c r="C555" s="2545"/>
      <c r="D555" s="2545"/>
      <c r="E555" s="2545"/>
      <c r="F555" s="2545"/>
      <c r="G555" s="2545"/>
      <c r="H555" s="2545"/>
      <c r="I555" s="2546"/>
    </row>
    <row r="556" spans="1:13" s="928" customFormat="1" ht="45" x14ac:dyDescent="0.25">
      <c r="A556" s="1352"/>
      <c r="B556" s="538" t="s">
        <v>34</v>
      </c>
      <c r="C556" s="532">
        <v>244</v>
      </c>
      <c r="D556" s="532">
        <v>349</v>
      </c>
      <c r="E556" s="685" t="s">
        <v>1797</v>
      </c>
      <c r="F556" s="546">
        <v>0</v>
      </c>
      <c r="G556" s="546">
        <v>22000</v>
      </c>
      <c r="H556" s="686">
        <f>G556-F556</f>
        <v>22000</v>
      </c>
      <c r="I556" s="707" t="s">
        <v>1798</v>
      </c>
      <c r="K556" s="944" t="e">
        <f>#REF!*30.2%</f>
        <v>#REF!</v>
      </c>
      <c r="L556" s="70" t="e">
        <f>K556-F556</f>
        <v>#REF!</v>
      </c>
      <c r="M556" s="928" t="e">
        <f>L556=H556</f>
        <v>#REF!</v>
      </c>
    </row>
    <row r="557" spans="1:13" s="1265" customFormat="1" ht="30" x14ac:dyDescent="0.25">
      <c r="A557" s="1352"/>
      <c r="B557" s="538" t="s">
        <v>34</v>
      </c>
      <c r="C557" s="532">
        <v>244</v>
      </c>
      <c r="D557" s="532">
        <v>221</v>
      </c>
      <c r="E557" s="547" t="s">
        <v>497</v>
      </c>
      <c r="F557" s="546">
        <v>25050.03</v>
      </c>
      <c r="G557" s="546">
        <v>3050.03</v>
      </c>
      <c r="H557" s="539">
        <f t="shared" ref="H557" si="49">G557-F557</f>
        <v>-22000</v>
      </c>
      <c r="I557" s="1350" t="s">
        <v>1792</v>
      </c>
      <c r="K557" s="1346" t="e">
        <f>#REF!*30%</f>
        <v>#REF!</v>
      </c>
    </row>
    <row r="558" spans="1:13" s="1265" customFormat="1" x14ac:dyDescent="0.25">
      <c r="A558" s="2537" t="s">
        <v>1125</v>
      </c>
      <c r="B558" s="2537"/>
      <c r="C558" s="2537"/>
      <c r="D558" s="2537"/>
      <c r="E558" s="2537"/>
      <c r="F558" s="687">
        <f>SUM(F554:F557)</f>
        <v>25050.03</v>
      </c>
      <c r="G558" s="687">
        <f>SUM(G554:G557)</f>
        <v>25050.03</v>
      </c>
      <c r="H558" s="687">
        <f>SUM(H554:H557)</f>
        <v>0</v>
      </c>
      <c r="I558" s="1353" t="s">
        <v>82</v>
      </c>
    </row>
    <row r="559" spans="1:13" s="928" customFormat="1" x14ac:dyDescent="0.25">
      <c r="A559" s="2537" t="s">
        <v>1385</v>
      </c>
      <c r="B559" s="2537"/>
      <c r="C559" s="2537"/>
      <c r="D559" s="2537"/>
      <c r="E559" s="2537"/>
      <c r="F559" s="687">
        <f>F558</f>
        <v>25050.03</v>
      </c>
      <c r="G559" s="687">
        <f t="shared" ref="G559:H559" si="50">G558</f>
        <v>25050.03</v>
      </c>
      <c r="H559" s="687">
        <f t="shared" si="50"/>
        <v>0</v>
      </c>
      <c r="I559" s="1349" t="s">
        <v>82</v>
      </c>
      <c r="J559" s="1088"/>
      <c r="K559" s="1088"/>
    </row>
    <row r="560" spans="1:13" s="1265" customFormat="1" x14ac:dyDescent="0.25"/>
    <row r="561" spans="1:10" s="1265" customFormat="1" x14ac:dyDescent="0.25">
      <c r="A561" s="395" t="s">
        <v>1515</v>
      </c>
      <c r="B561" s="395"/>
      <c r="C561" s="2"/>
      <c r="D561" s="2"/>
      <c r="E561" s="2"/>
      <c r="F561" s="2"/>
      <c r="G561" s="2"/>
      <c r="H561" s="965"/>
      <c r="I561" s="966" t="s">
        <v>243</v>
      </c>
    </row>
    <row r="562" spans="1:10" s="1265" customFormat="1" x14ac:dyDescent="0.25">
      <c r="A562" s="2538"/>
      <c r="B562" s="2538"/>
      <c r="C562" s="2"/>
      <c r="D562" s="2"/>
      <c r="E562" s="2"/>
      <c r="F562" s="2"/>
      <c r="G562" s="2"/>
      <c r="H562" s="2"/>
      <c r="I562" s="966"/>
    </row>
    <row r="563" spans="1:10" s="1265" customFormat="1" x14ac:dyDescent="0.25">
      <c r="A563" s="2539" t="s">
        <v>704</v>
      </c>
      <c r="B563" s="2539"/>
      <c r="C563" s="2540"/>
      <c r="D563" s="2"/>
      <c r="E563" s="2"/>
      <c r="F563" s="2"/>
      <c r="G563" s="2"/>
      <c r="H563" s="966"/>
      <c r="I563" s="966" t="s">
        <v>729</v>
      </c>
    </row>
    <row r="565" spans="1:10" s="1265" customFormat="1" ht="18.75" x14ac:dyDescent="0.25">
      <c r="A565" s="2541" t="s">
        <v>1796</v>
      </c>
      <c r="B565" s="2541"/>
      <c r="C565" s="2541"/>
      <c r="D565" s="2541"/>
      <c r="E565" s="2541"/>
      <c r="F565" s="2541"/>
      <c r="G565" s="2541"/>
      <c r="H565" s="2541"/>
      <c r="I565" s="2541"/>
    </row>
    <row r="566" spans="1:10" s="1265" customFormat="1" ht="18.75" x14ac:dyDescent="0.25">
      <c r="A566" s="2542" t="s">
        <v>1458</v>
      </c>
      <c r="B566" s="2542"/>
      <c r="C566" s="2542"/>
      <c r="D566" s="2542"/>
      <c r="E566" s="2542"/>
      <c r="F566" s="2542"/>
      <c r="G566" s="2542"/>
      <c r="H566" s="2542"/>
      <c r="I566" s="2542"/>
    </row>
    <row r="567" spans="1:10" s="1265" customFormat="1" ht="18.75" x14ac:dyDescent="0.3">
      <c r="A567" s="2543" t="s">
        <v>1718</v>
      </c>
      <c r="B567" s="2543"/>
      <c r="C567" s="2543"/>
      <c r="D567" s="2543"/>
      <c r="E567" s="2543"/>
      <c r="F567" s="2543"/>
      <c r="G567" s="2543"/>
      <c r="H567" s="2543"/>
      <c r="I567" s="2543"/>
    </row>
    <row r="568" spans="1:10" s="1265" customFormat="1" ht="18.75" x14ac:dyDescent="0.3">
      <c r="A568" s="1351"/>
      <c r="B568" s="962"/>
      <c r="C568" s="962"/>
      <c r="D568" s="962"/>
      <c r="E568" s="962"/>
      <c r="F568" s="962"/>
      <c r="G568" s="962"/>
      <c r="H568" s="962"/>
      <c r="I568" s="962"/>
    </row>
    <row r="569" spans="1:10" s="1265" customFormat="1" ht="60" x14ac:dyDescent="0.25">
      <c r="A569" s="1354" t="s">
        <v>1449</v>
      </c>
      <c r="B569" s="1354" t="s">
        <v>234</v>
      </c>
      <c r="C569" s="1354" t="s">
        <v>305</v>
      </c>
      <c r="D569" s="1353" t="s">
        <v>1450</v>
      </c>
      <c r="E569" s="1353" t="s">
        <v>35</v>
      </c>
      <c r="F569" s="1353" t="s">
        <v>1451</v>
      </c>
      <c r="G569" s="1353" t="s">
        <v>491</v>
      </c>
      <c r="H569" s="1353" t="s">
        <v>492</v>
      </c>
      <c r="I569" s="1353" t="s">
        <v>1097</v>
      </c>
    </row>
    <row r="570" spans="1:10" s="1265" customFormat="1" ht="18.75" x14ac:dyDescent="0.25">
      <c r="A570" s="2544" t="s">
        <v>1458</v>
      </c>
      <c r="B570" s="2544"/>
      <c r="C570" s="2544"/>
      <c r="D570" s="2544"/>
      <c r="E570" s="2544"/>
      <c r="F570" s="2544"/>
      <c r="G570" s="2544"/>
      <c r="H570" s="2544"/>
      <c r="I570" s="2544"/>
    </row>
    <row r="571" spans="1:10" s="1265" customFormat="1" hidden="1" x14ac:dyDescent="0.25">
      <c r="A571" s="2545" t="s">
        <v>493</v>
      </c>
      <c r="B571" s="2545"/>
      <c r="C571" s="2545"/>
      <c r="D571" s="2545"/>
      <c r="E571" s="2545"/>
      <c r="F571" s="2545"/>
      <c r="G571" s="2545"/>
      <c r="H571" s="2545"/>
      <c r="I571" s="2545"/>
    </row>
    <row r="572" spans="1:10" s="1265" customFormat="1" ht="15" customHeight="1" x14ac:dyDescent="0.25">
      <c r="A572" s="2545" t="s">
        <v>1422</v>
      </c>
      <c r="B572" s="2545"/>
      <c r="C572" s="2545"/>
      <c r="D572" s="2545"/>
      <c r="E572" s="2545"/>
      <c r="F572" s="2545"/>
      <c r="G572" s="2545"/>
      <c r="H572" s="2545"/>
      <c r="I572" s="2545"/>
    </row>
    <row r="573" spans="1:10" s="1265" customFormat="1" ht="45" customHeight="1" x14ac:dyDescent="0.25">
      <c r="A573" s="1354" t="s">
        <v>770</v>
      </c>
      <c r="B573" s="684" t="s">
        <v>1499</v>
      </c>
      <c r="C573" s="532">
        <v>244</v>
      </c>
      <c r="D573" s="532">
        <v>349</v>
      </c>
      <c r="E573" s="1350" t="s">
        <v>1800</v>
      </c>
      <c r="F573" s="546">
        <v>1600</v>
      </c>
      <c r="G573" s="546">
        <f>F573+22000</f>
        <v>23600</v>
      </c>
      <c r="H573" s="686">
        <f>G573-F573</f>
        <v>22000</v>
      </c>
      <c r="I573" s="707" t="s">
        <v>1801</v>
      </c>
      <c r="J573" s="685"/>
    </row>
    <row r="574" spans="1:10" s="1265" customFormat="1" ht="63" customHeight="1" x14ac:dyDescent="0.25">
      <c r="A574" s="1354" t="s">
        <v>770</v>
      </c>
      <c r="B574" s="684" t="s">
        <v>1499</v>
      </c>
      <c r="C574" s="532">
        <v>244</v>
      </c>
      <c r="D574" s="532">
        <v>346</v>
      </c>
      <c r="E574" s="1350" t="s">
        <v>459</v>
      </c>
      <c r="F574" s="686">
        <v>22000</v>
      </c>
      <c r="G574" s="546">
        <v>13900</v>
      </c>
      <c r="H574" s="686">
        <f>G574-F574</f>
        <v>-8100</v>
      </c>
      <c r="I574" s="707" t="s">
        <v>1803</v>
      </c>
    </row>
    <row r="575" spans="1:10" s="1265" customFormat="1" ht="48" customHeight="1" x14ac:dyDescent="0.25">
      <c r="A575" s="1354" t="s">
        <v>770</v>
      </c>
      <c r="B575" s="684" t="s">
        <v>1499</v>
      </c>
      <c r="C575" s="532">
        <v>244</v>
      </c>
      <c r="D575" s="1354">
        <v>226</v>
      </c>
      <c r="E575" s="1350" t="s">
        <v>1077</v>
      </c>
      <c r="F575" s="686">
        <v>13900</v>
      </c>
      <c r="G575" s="686">
        <v>0</v>
      </c>
      <c r="H575" s="686">
        <f>G575-F575</f>
        <v>-13900</v>
      </c>
      <c r="I575" s="707" t="s">
        <v>1802</v>
      </c>
      <c r="J575" s="1272"/>
    </row>
    <row r="576" spans="1:10" s="1265" customFormat="1" ht="15" customHeight="1" x14ac:dyDescent="0.25">
      <c r="A576" s="2537" t="s">
        <v>1755</v>
      </c>
      <c r="B576" s="2537"/>
      <c r="C576" s="2537"/>
      <c r="D576" s="2537"/>
      <c r="E576" s="2537"/>
      <c r="F576" s="687">
        <f>SUM(F573:F575)</f>
        <v>37500</v>
      </c>
      <c r="G576" s="687">
        <f>SUM(G573:G575)</f>
        <v>37500</v>
      </c>
      <c r="H576" s="687">
        <f>SUM(H573:H575)</f>
        <v>0</v>
      </c>
      <c r="I576" s="1352" t="s">
        <v>82</v>
      </c>
      <c r="J576" s="1273"/>
    </row>
    <row r="577" spans="1:11" s="928" customFormat="1" x14ac:dyDescent="0.25">
      <c r="A577" s="2537" t="s">
        <v>1385</v>
      </c>
      <c r="B577" s="2537"/>
      <c r="C577" s="2537"/>
      <c r="D577" s="2537"/>
      <c r="E577" s="2537"/>
      <c r="F577" s="687">
        <f>F576</f>
        <v>37500</v>
      </c>
      <c r="G577" s="687">
        <f t="shared" ref="G577" si="51">G576</f>
        <v>37500</v>
      </c>
      <c r="H577" s="687">
        <f t="shared" ref="H577" si="52">H576</f>
        <v>0</v>
      </c>
      <c r="I577" s="1354" t="s">
        <v>82</v>
      </c>
      <c r="J577" s="1088"/>
      <c r="K577" s="1088"/>
    </row>
    <row r="578" spans="1:11" s="1265" customFormat="1" x14ac:dyDescent="0.25"/>
    <row r="579" spans="1:11" s="1265" customFormat="1" x14ac:dyDescent="0.25">
      <c r="A579" s="395" t="s">
        <v>1515</v>
      </c>
      <c r="B579" s="395"/>
      <c r="C579" s="2"/>
      <c r="D579" s="2"/>
      <c r="E579" s="2"/>
      <c r="F579" s="2"/>
      <c r="G579" s="2"/>
      <c r="H579" s="965"/>
      <c r="I579" s="966" t="s">
        <v>243</v>
      </c>
    </row>
    <row r="580" spans="1:11" s="1265" customFormat="1" x14ac:dyDescent="0.25">
      <c r="A580" s="2538"/>
      <c r="B580" s="2538"/>
      <c r="C580" s="2"/>
      <c r="D580" s="2"/>
      <c r="E580" s="2"/>
      <c r="F580" s="2"/>
      <c r="G580" s="2"/>
      <c r="H580" s="2"/>
      <c r="I580" s="966"/>
    </row>
    <row r="581" spans="1:11" s="1265" customFormat="1" x14ac:dyDescent="0.25">
      <c r="A581" s="2539" t="s">
        <v>704</v>
      </c>
      <c r="B581" s="2539"/>
      <c r="C581" s="2540"/>
      <c r="D581" s="2"/>
      <c r="E581" s="2"/>
      <c r="F581" s="2"/>
      <c r="G581" s="2"/>
      <c r="H581" s="966"/>
      <c r="I581" s="966" t="s">
        <v>729</v>
      </c>
    </row>
    <row r="582" spans="1:11" s="1153" customFormat="1" x14ac:dyDescent="0.25"/>
    <row r="583" spans="1:11" x14ac:dyDescent="0.25">
      <c r="A583" s="678"/>
      <c r="B583" s="678"/>
      <c r="C583" s="678"/>
      <c r="D583" s="678"/>
      <c r="E583" s="678"/>
      <c r="F583" s="678"/>
      <c r="G583" s="678"/>
      <c r="H583" s="678"/>
      <c r="I583" s="678"/>
      <c r="J583" s="678"/>
    </row>
    <row r="584" spans="1:11" s="680" customFormat="1" ht="18.75" x14ac:dyDescent="0.25">
      <c r="A584" s="2542" t="s">
        <v>1094</v>
      </c>
      <c r="B584" s="2542"/>
      <c r="C584" s="2542"/>
      <c r="D584" s="2542"/>
      <c r="E584" s="2542"/>
      <c r="F584" s="2542"/>
      <c r="G584" s="2542"/>
      <c r="H584" s="2542"/>
      <c r="I584" s="2542"/>
      <c r="J584" s="2542"/>
    </row>
    <row r="585" spans="1:11" s="680" customFormat="1" ht="18.75" x14ac:dyDescent="0.25">
      <c r="A585" s="2542" t="s">
        <v>1105</v>
      </c>
      <c r="B585" s="2542"/>
      <c r="C585" s="2542"/>
      <c r="D585" s="2542"/>
      <c r="E585" s="2542"/>
      <c r="F585" s="2542"/>
      <c r="G585" s="2542"/>
      <c r="H585" s="2542"/>
      <c r="I585" s="2542"/>
      <c r="J585" s="2542"/>
    </row>
    <row r="586" spans="1:11" s="680" customFormat="1" x14ac:dyDescent="0.25">
      <c r="A586" s="2569"/>
      <c r="B586" s="2569"/>
      <c r="C586" s="2569"/>
      <c r="D586" s="2569"/>
      <c r="E586" s="2569"/>
      <c r="F586" s="2569"/>
      <c r="G586" s="2569"/>
      <c r="H586" s="2569"/>
      <c r="I586" s="2569"/>
      <c r="J586" s="2569"/>
    </row>
    <row r="587" spans="1:11" s="680" customFormat="1" ht="60" x14ac:dyDescent="0.25">
      <c r="A587" s="681" t="s">
        <v>406</v>
      </c>
      <c r="B587" s="682" t="s">
        <v>235</v>
      </c>
      <c r="C587" s="682" t="s">
        <v>234</v>
      </c>
      <c r="D587" s="681" t="s">
        <v>305</v>
      </c>
      <c r="E587" s="682" t="s">
        <v>1095</v>
      </c>
      <c r="F587" s="682" t="s">
        <v>35</v>
      </c>
      <c r="G587" s="682" t="s">
        <v>1096</v>
      </c>
      <c r="H587" s="682" t="s">
        <v>491</v>
      </c>
      <c r="I587" s="682" t="s">
        <v>492</v>
      </c>
      <c r="J587" s="682" t="s">
        <v>1097</v>
      </c>
    </row>
    <row r="588" spans="1:11" s="680" customFormat="1" x14ac:dyDescent="0.25">
      <c r="A588" s="2545" t="s">
        <v>493</v>
      </c>
      <c r="B588" s="2545"/>
      <c r="C588" s="2545"/>
      <c r="D588" s="2545"/>
      <c r="E588" s="2545"/>
      <c r="F588" s="2545"/>
      <c r="G588" s="2545"/>
      <c r="H588" s="2545"/>
      <c r="I588" s="2545"/>
      <c r="J588" s="2545"/>
    </row>
    <row r="589" spans="1:11" s="680" customFormat="1" x14ac:dyDescent="0.25">
      <c r="A589" s="679"/>
      <c r="B589" s="2562" t="s">
        <v>503</v>
      </c>
      <c r="C589" s="2572"/>
      <c r="D589" s="2572"/>
      <c r="E589" s="2572"/>
      <c r="F589" s="2572"/>
      <c r="G589" s="2572"/>
      <c r="H589" s="2572"/>
      <c r="I589" s="2572"/>
      <c r="J589" s="2573"/>
    </row>
    <row r="590" spans="1:11" s="680" customFormat="1" ht="30" x14ac:dyDescent="0.25">
      <c r="A590" s="683" t="s">
        <v>109</v>
      </c>
      <c r="B590" s="681" t="s">
        <v>626</v>
      </c>
      <c r="C590" s="684" t="s">
        <v>67</v>
      </c>
      <c r="D590" s="681">
        <v>111</v>
      </c>
      <c r="E590" s="681">
        <v>211</v>
      </c>
      <c r="F590" s="685" t="s">
        <v>179</v>
      </c>
      <c r="G590" s="686">
        <v>144419058.18000001</v>
      </c>
      <c r="H590" s="686">
        <f>G590+120005.97-5136.45</f>
        <v>144533927.69999999</v>
      </c>
      <c r="I590" s="686">
        <f>H590-G590</f>
        <v>114869.52</v>
      </c>
      <c r="J590" s="2588" t="s">
        <v>1106</v>
      </c>
    </row>
    <row r="591" spans="1:11" s="680" customFormat="1" ht="135" x14ac:dyDescent="0.25">
      <c r="A591" s="683" t="s">
        <v>109</v>
      </c>
      <c r="B591" s="681" t="s">
        <v>626</v>
      </c>
      <c r="C591" s="684" t="s">
        <v>67</v>
      </c>
      <c r="D591" s="681">
        <v>321</v>
      </c>
      <c r="E591" s="681">
        <v>264</v>
      </c>
      <c r="F591" s="685" t="s">
        <v>1107</v>
      </c>
      <c r="G591" s="686">
        <v>0</v>
      </c>
      <c r="H591" s="686">
        <v>5136.45</v>
      </c>
      <c r="I591" s="686">
        <f>H591-G591</f>
        <v>5136.45</v>
      </c>
      <c r="J591" s="2358"/>
    </row>
    <row r="592" spans="1:11" s="680" customFormat="1" x14ac:dyDescent="0.25">
      <c r="A592" s="2574" t="s">
        <v>1098</v>
      </c>
      <c r="B592" s="2575"/>
      <c r="C592" s="2575"/>
      <c r="D592" s="2575"/>
      <c r="E592" s="2575"/>
      <c r="F592" s="2576"/>
      <c r="G592" s="687">
        <f>SUM(G590:G591)</f>
        <v>144419058.18000001</v>
      </c>
      <c r="H592" s="687">
        <f>SUM(H590:H591)</f>
        <v>144539064.15000001</v>
      </c>
      <c r="I592" s="687">
        <f>SUM(I590:I591)</f>
        <v>120005.97</v>
      </c>
      <c r="J592" s="688" t="s">
        <v>82</v>
      </c>
    </row>
    <row r="593" spans="1:10" s="680" customFormat="1" x14ac:dyDescent="0.25">
      <c r="A593" s="2550" t="s">
        <v>1099</v>
      </c>
      <c r="B593" s="2550"/>
      <c r="C593" s="2550"/>
      <c r="D593" s="2550"/>
      <c r="E593" s="2550"/>
      <c r="F593" s="2550"/>
      <c r="G593" s="2550"/>
      <c r="H593" s="2550"/>
      <c r="I593" s="2550"/>
      <c r="J593" s="2550"/>
    </row>
    <row r="594" spans="1:10" s="680" customFormat="1" ht="60" x14ac:dyDescent="0.25">
      <c r="A594" s="681"/>
      <c r="B594" s="681"/>
      <c r="C594" s="684" t="s">
        <v>136</v>
      </c>
      <c r="D594" s="684" t="s">
        <v>495</v>
      </c>
      <c r="E594" s="684" t="s">
        <v>537</v>
      </c>
      <c r="F594" s="685" t="s">
        <v>1100</v>
      </c>
      <c r="G594" s="686">
        <v>3781434.59</v>
      </c>
      <c r="H594" s="686">
        <f>G594+174473.25</f>
        <v>3955907.84</v>
      </c>
      <c r="I594" s="686">
        <f>H594-G594</f>
        <v>174473.25</v>
      </c>
      <c r="J594" s="685" t="s">
        <v>1101</v>
      </c>
    </row>
    <row r="595" spans="1:10" s="680" customFormat="1" ht="180" x14ac:dyDescent="0.25">
      <c r="A595" s="689"/>
      <c r="B595" s="690"/>
      <c r="C595" s="684" t="s">
        <v>142</v>
      </c>
      <c r="D595" s="681">
        <v>244</v>
      </c>
      <c r="E595" s="681">
        <v>226</v>
      </c>
      <c r="F595" s="685" t="s">
        <v>1102</v>
      </c>
      <c r="G595" s="686">
        <v>0</v>
      </c>
      <c r="H595" s="686">
        <f>21*25*332.33</f>
        <v>174473.25</v>
      </c>
      <c r="I595" s="686">
        <f>H595-G595</f>
        <v>174473.25</v>
      </c>
      <c r="J595" s="685" t="s">
        <v>1103</v>
      </c>
    </row>
    <row r="596" spans="1:10" s="680" customFormat="1" x14ac:dyDescent="0.25">
      <c r="A596" s="2574" t="s">
        <v>1104</v>
      </c>
      <c r="B596" s="2580"/>
      <c r="C596" s="2580"/>
      <c r="D596" s="2580"/>
      <c r="E596" s="2580"/>
      <c r="F596" s="2576"/>
      <c r="G596" s="687">
        <f>SUM(G595)</f>
        <v>0</v>
      </c>
      <c r="H596" s="687">
        <f>SUM(H595)</f>
        <v>174473.25</v>
      </c>
      <c r="I596" s="687">
        <f>SUM(I595)</f>
        <v>174473.25</v>
      </c>
      <c r="J596" s="688"/>
    </row>
    <row r="597" spans="1:10" s="680" customFormat="1" x14ac:dyDescent="0.25">
      <c r="A597" s="2577" t="s">
        <v>160</v>
      </c>
      <c r="B597" s="2578"/>
      <c r="C597" s="2578"/>
      <c r="D597" s="2578"/>
      <c r="E597" s="2578"/>
      <c r="F597" s="687" t="s">
        <v>82</v>
      </c>
      <c r="G597" s="687">
        <f>G592+G596</f>
        <v>144419058.18000001</v>
      </c>
      <c r="H597" s="687">
        <f>H592+H596</f>
        <v>144713537.40000001</v>
      </c>
      <c r="I597" s="687">
        <f>I592+I596</f>
        <v>294479.21999999997</v>
      </c>
      <c r="J597" s="688" t="s">
        <v>82</v>
      </c>
    </row>
    <row r="598" spans="1:10" s="680" customFormat="1" x14ac:dyDescent="0.25">
      <c r="A598" s="691"/>
      <c r="B598" s="692"/>
      <c r="C598" s="692"/>
      <c r="D598" s="692"/>
      <c r="E598" s="692"/>
      <c r="F598" s="693"/>
      <c r="G598" s="693"/>
      <c r="H598" s="693"/>
      <c r="I598" s="693"/>
      <c r="J598" s="694"/>
    </row>
    <row r="599" spans="1:10" s="680" customFormat="1" ht="11.25" customHeight="1" x14ac:dyDescent="0.25">
      <c r="A599" s="695"/>
    </row>
    <row r="600" spans="1:10" s="680" customFormat="1" x14ac:dyDescent="0.25">
      <c r="A600" s="2579" t="s">
        <v>705</v>
      </c>
      <c r="B600" s="2579"/>
      <c r="C600" s="2579"/>
      <c r="D600" s="2579"/>
      <c r="E600" s="2579"/>
      <c r="F600" s="2579"/>
      <c r="G600" s="696"/>
      <c r="H600" s="697"/>
      <c r="I600" s="698"/>
      <c r="J600" s="697" t="s">
        <v>733</v>
      </c>
    </row>
    <row r="601" spans="1:10" s="680" customFormat="1" x14ac:dyDescent="0.25">
      <c r="A601" s="2570"/>
      <c r="B601" s="2570"/>
      <c r="C601" s="2570"/>
      <c r="D601" s="2570"/>
      <c r="E601" s="2570"/>
      <c r="F601" s="2570"/>
      <c r="G601" s="699"/>
      <c r="H601" s="697"/>
      <c r="I601" s="698"/>
      <c r="J601" s="697"/>
    </row>
    <row r="602" spans="1:10" s="680" customFormat="1" x14ac:dyDescent="0.25">
      <c r="A602" s="2571" t="s">
        <v>156</v>
      </c>
      <c r="B602" s="2571"/>
      <c r="C602" s="2571"/>
      <c r="D602" s="2571"/>
      <c r="E602" s="2571"/>
      <c r="F602" s="2571"/>
      <c r="G602" s="696"/>
      <c r="H602" s="697"/>
      <c r="I602" s="698"/>
      <c r="J602" s="697" t="s">
        <v>729</v>
      </c>
    </row>
    <row r="604" spans="1:10" s="680" customFormat="1" ht="18.75" x14ac:dyDescent="0.25">
      <c r="A604" s="2542" t="s">
        <v>1108</v>
      </c>
      <c r="B604" s="2542"/>
      <c r="C604" s="2542"/>
      <c r="D604" s="2542"/>
      <c r="E604" s="2542"/>
      <c r="F604" s="2542"/>
      <c r="G604" s="2542"/>
      <c r="H604" s="2542"/>
      <c r="I604" s="2542"/>
      <c r="J604" s="2542"/>
    </row>
    <row r="605" spans="1:10" s="680" customFormat="1" ht="18.75" x14ac:dyDescent="0.25">
      <c r="A605" s="2542" t="s">
        <v>611</v>
      </c>
      <c r="B605" s="2542"/>
      <c r="C605" s="2542"/>
      <c r="D605" s="2542"/>
      <c r="E605" s="2542"/>
      <c r="F605" s="2542"/>
      <c r="G605" s="2542"/>
      <c r="H605" s="2542"/>
      <c r="I605" s="2542"/>
      <c r="J605" s="2542"/>
    </row>
    <row r="606" spans="1:10" s="680" customFormat="1" x14ac:dyDescent="0.25">
      <c r="A606" s="2569"/>
      <c r="B606" s="2569"/>
      <c r="C606" s="2569"/>
      <c r="D606" s="2569"/>
      <c r="E606" s="2569"/>
      <c r="F606" s="2569"/>
      <c r="G606" s="2569"/>
      <c r="H606" s="2569"/>
      <c r="I606" s="2569"/>
      <c r="J606" s="2569"/>
    </row>
    <row r="607" spans="1:10" s="680" customFormat="1" ht="60" x14ac:dyDescent="0.25">
      <c r="A607" s="703" t="s">
        <v>406</v>
      </c>
      <c r="B607" s="682" t="s">
        <v>235</v>
      </c>
      <c r="C607" s="682" t="s">
        <v>234</v>
      </c>
      <c r="D607" s="703" t="s">
        <v>305</v>
      </c>
      <c r="E607" s="682" t="s">
        <v>1095</v>
      </c>
      <c r="F607" s="682" t="s">
        <v>35</v>
      </c>
      <c r="G607" s="682" t="s">
        <v>1096</v>
      </c>
      <c r="H607" s="682" t="s">
        <v>491</v>
      </c>
      <c r="I607" s="682" t="s">
        <v>492</v>
      </c>
      <c r="J607" s="682" t="s">
        <v>1097</v>
      </c>
    </row>
    <row r="608" spans="1:10" s="680" customFormat="1" x14ac:dyDescent="0.25">
      <c r="A608" s="2545" t="s">
        <v>493</v>
      </c>
      <c r="B608" s="2545"/>
      <c r="C608" s="2545"/>
      <c r="D608" s="2545"/>
      <c r="E608" s="2545"/>
      <c r="F608" s="2545"/>
      <c r="G608" s="2545"/>
      <c r="H608" s="2545"/>
      <c r="I608" s="2545"/>
      <c r="J608" s="2545"/>
    </row>
    <row r="609" spans="1:11" s="680" customFormat="1" hidden="1" x14ac:dyDescent="0.25">
      <c r="A609" s="700"/>
      <c r="B609" s="2562" t="s">
        <v>503</v>
      </c>
      <c r="C609" s="2572"/>
      <c r="D609" s="2572"/>
      <c r="E609" s="2572"/>
      <c r="F609" s="2572"/>
      <c r="G609" s="2572"/>
      <c r="H609" s="2572"/>
      <c r="I609" s="2572"/>
      <c r="J609" s="2573"/>
    </row>
    <row r="610" spans="1:11" s="680" customFormat="1" ht="30" hidden="1" x14ac:dyDescent="0.25">
      <c r="A610" s="683" t="s">
        <v>109</v>
      </c>
      <c r="B610" s="703" t="s">
        <v>626</v>
      </c>
      <c r="C610" s="684" t="s">
        <v>67</v>
      </c>
      <c r="D610" s="703">
        <v>111</v>
      </c>
      <c r="E610" s="703">
        <v>211</v>
      </c>
      <c r="F610" s="685" t="s">
        <v>179</v>
      </c>
      <c r="G610" s="686"/>
      <c r="H610" s="686"/>
      <c r="I610" s="686">
        <f>H610-G610</f>
        <v>0</v>
      </c>
      <c r="J610" s="707" t="s">
        <v>1109</v>
      </c>
    </row>
    <row r="611" spans="1:11" s="680" customFormat="1" ht="105" hidden="1" x14ac:dyDescent="0.25">
      <c r="A611" s="683" t="s">
        <v>109</v>
      </c>
      <c r="B611" s="703" t="s">
        <v>626</v>
      </c>
      <c r="C611" s="684" t="s">
        <v>67</v>
      </c>
      <c r="D611" s="703">
        <v>244</v>
      </c>
      <c r="E611" s="703">
        <v>226</v>
      </c>
      <c r="F611" s="685" t="s">
        <v>1110</v>
      </c>
      <c r="G611" s="686"/>
      <c r="H611" s="686"/>
      <c r="I611" s="686">
        <f>H611-G611</f>
        <v>0</v>
      </c>
      <c r="J611" s="707" t="s">
        <v>1111</v>
      </c>
    </row>
    <row r="612" spans="1:11" s="680" customFormat="1" ht="135" hidden="1" x14ac:dyDescent="0.25">
      <c r="A612" s="683" t="s">
        <v>109</v>
      </c>
      <c r="B612" s="703" t="s">
        <v>626</v>
      </c>
      <c r="C612" s="684" t="s">
        <v>67</v>
      </c>
      <c r="D612" s="703">
        <v>244</v>
      </c>
      <c r="E612" s="703">
        <v>346</v>
      </c>
      <c r="F612" s="685" t="s">
        <v>1280</v>
      </c>
      <c r="G612" s="686"/>
      <c r="H612" s="686"/>
      <c r="I612" s="686">
        <f>H612-G612</f>
        <v>0</v>
      </c>
      <c r="J612" s="707" t="s">
        <v>1112</v>
      </c>
    </row>
    <row r="613" spans="1:11" s="680" customFormat="1" hidden="1" x14ac:dyDescent="0.25">
      <c r="A613" s="2574" t="s">
        <v>1098</v>
      </c>
      <c r="B613" s="2575"/>
      <c r="C613" s="2575"/>
      <c r="D613" s="2575"/>
      <c r="E613" s="2575"/>
      <c r="F613" s="2576"/>
      <c r="G613" s="687">
        <f>SUM(G610:G612)</f>
        <v>0</v>
      </c>
      <c r="H613" s="687">
        <f>SUM(H610:H612)</f>
        <v>0</v>
      </c>
      <c r="I613" s="687">
        <f>SUM(I610:I612)</f>
        <v>0</v>
      </c>
      <c r="J613" s="701" t="s">
        <v>82</v>
      </c>
    </row>
    <row r="614" spans="1:11" s="680" customFormat="1" x14ac:dyDescent="0.25">
      <c r="A614" s="2550" t="s">
        <v>496</v>
      </c>
      <c r="B614" s="2550"/>
      <c r="C614" s="2550"/>
      <c r="D614" s="2550"/>
      <c r="E614" s="2550"/>
      <c r="F614" s="2550"/>
      <c r="G614" s="2550"/>
      <c r="H614" s="2550"/>
      <c r="I614" s="2550"/>
      <c r="J614" s="2550"/>
    </row>
    <row r="615" spans="1:11" s="680" customFormat="1" ht="180" x14ac:dyDescent="0.25">
      <c r="A615" s="683" t="s">
        <v>109</v>
      </c>
      <c r="B615" s="703" t="s">
        <v>624</v>
      </c>
      <c r="C615" s="684" t="s">
        <v>92</v>
      </c>
      <c r="D615" s="708">
        <v>244</v>
      </c>
      <c r="E615" s="708">
        <v>346</v>
      </c>
      <c r="F615" s="685" t="s">
        <v>1113</v>
      </c>
      <c r="G615" s="686">
        <v>36000</v>
      </c>
      <c r="H615" s="686">
        <f>G615+3999.75</f>
        <v>39999.75</v>
      </c>
      <c r="I615" s="686">
        <f>H615-G615</f>
        <v>3999.75</v>
      </c>
      <c r="J615" s="685" t="s">
        <v>1114</v>
      </c>
    </row>
    <row r="616" spans="1:11" s="680" customFormat="1" ht="165" x14ac:dyDescent="0.25">
      <c r="A616" s="683" t="s">
        <v>109</v>
      </c>
      <c r="B616" s="703" t="s">
        <v>624</v>
      </c>
      <c r="C616" s="684" t="s">
        <v>92</v>
      </c>
      <c r="D616" s="708">
        <v>244</v>
      </c>
      <c r="E616" s="708">
        <v>227</v>
      </c>
      <c r="F616" s="685" t="s">
        <v>1115</v>
      </c>
      <c r="G616" s="686">
        <v>12870</v>
      </c>
      <c r="H616" s="686">
        <f>G616+1155</f>
        <v>14025</v>
      </c>
      <c r="I616" s="686">
        <f>H616-G616</f>
        <v>1155</v>
      </c>
      <c r="J616" s="685" t="s">
        <v>1114</v>
      </c>
      <c r="K616" s="709"/>
    </row>
    <row r="617" spans="1:11" s="680" customFormat="1" ht="21" customHeight="1" x14ac:dyDescent="0.25">
      <c r="A617" s="683" t="s">
        <v>109</v>
      </c>
      <c r="B617" s="703" t="s">
        <v>731</v>
      </c>
      <c r="C617" s="684" t="s">
        <v>94</v>
      </c>
      <c r="D617" s="708">
        <v>244</v>
      </c>
      <c r="E617" s="708">
        <v>226</v>
      </c>
      <c r="F617" s="2584" t="s">
        <v>893</v>
      </c>
      <c r="G617" s="686">
        <v>1166478.3</v>
      </c>
      <c r="H617" s="686">
        <f>G617+104683.95</f>
        <v>1271162.25</v>
      </c>
      <c r="I617" s="686">
        <f>H617-G617</f>
        <v>104683.95</v>
      </c>
      <c r="J617" s="2584" t="s">
        <v>1114</v>
      </c>
      <c r="K617" s="709"/>
    </row>
    <row r="618" spans="1:11" s="680" customFormat="1" ht="20.25" customHeight="1" x14ac:dyDescent="0.25">
      <c r="A618" s="683" t="s">
        <v>109</v>
      </c>
      <c r="B618" s="703" t="s">
        <v>624</v>
      </c>
      <c r="C618" s="684" t="s">
        <v>1116</v>
      </c>
      <c r="D618" s="708">
        <v>244</v>
      </c>
      <c r="E618" s="708">
        <v>226</v>
      </c>
      <c r="F618" s="2552"/>
      <c r="G618" s="686">
        <v>777652.2</v>
      </c>
      <c r="H618" s="686">
        <f>G618+69789.3</f>
        <v>847441.5</v>
      </c>
      <c r="I618" s="686">
        <f>H618-G618</f>
        <v>69789.3</v>
      </c>
      <c r="J618" s="2552"/>
      <c r="K618" s="709"/>
    </row>
    <row r="619" spans="1:11" s="680" customFormat="1" x14ac:dyDescent="0.25">
      <c r="A619" s="702"/>
      <c r="B619" s="2537" t="s">
        <v>1117</v>
      </c>
      <c r="C619" s="2537"/>
      <c r="D619" s="2537"/>
      <c r="E619" s="2537"/>
      <c r="F619" s="2537"/>
      <c r="G619" s="687">
        <f>SUM(G615:G618)</f>
        <v>1993000.5</v>
      </c>
      <c r="H619" s="687">
        <f>SUM(H615:H618)</f>
        <v>2172628.5</v>
      </c>
      <c r="I619" s="687">
        <f>SUM(I615:I618)</f>
        <v>179628</v>
      </c>
      <c r="J619" s="682" t="s">
        <v>82</v>
      </c>
    </row>
    <row r="620" spans="1:11" s="680" customFormat="1" x14ac:dyDescent="0.25">
      <c r="A620" s="2550" t="s">
        <v>155</v>
      </c>
      <c r="B620" s="2550"/>
      <c r="C620" s="2550"/>
      <c r="D620" s="2550"/>
      <c r="E620" s="2550"/>
      <c r="F620" s="2550"/>
      <c r="G620" s="2550"/>
      <c r="H620" s="2550"/>
      <c r="I620" s="2550"/>
      <c r="J620" s="2550"/>
    </row>
    <row r="621" spans="1:11" s="680" customFormat="1" ht="33" customHeight="1" x14ac:dyDescent="0.25">
      <c r="A621" s="683" t="s">
        <v>109</v>
      </c>
      <c r="B621" s="703"/>
      <c r="C621" s="684" t="s">
        <v>34</v>
      </c>
      <c r="D621" s="708">
        <v>119</v>
      </c>
      <c r="E621" s="708">
        <v>213</v>
      </c>
      <c r="F621" s="685" t="s">
        <v>494</v>
      </c>
      <c r="G621" s="686">
        <v>1041253.08</v>
      </c>
      <c r="H621" s="686">
        <f>G621-65100</f>
        <v>976153.08</v>
      </c>
      <c r="I621" s="686">
        <f>H621-G621</f>
        <v>-65100</v>
      </c>
      <c r="J621" s="685" t="s">
        <v>1281</v>
      </c>
      <c r="K621" s="709"/>
    </row>
    <row r="622" spans="1:11" s="680" customFormat="1" ht="33" customHeight="1" x14ac:dyDescent="0.25">
      <c r="A622" s="683" t="s">
        <v>109</v>
      </c>
      <c r="B622" s="703"/>
      <c r="C622" s="684" t="s">
        <v>34</v>
      </c>
      <c r="D622" s="708">
        <v>112</v>
      </c>
      <c r="E622" s="708">
        <v>267</v>
      </c>
      <c r="F622" s="685" t="s">
        <v>1118</v>
      </c>
      <c r="G622" s="686">
        <v>0</v>
      </c>
      <c r="H622" s="686">
        <v>50000</v>
      </c>
      <c r="I622" s="686">
        <f>H622-G622</f>
        <v>50000</v>
      </c>
      <c r="J622" s="685" t="s">
        <v>1119</v>
      </c>
      <c r="K622" s="709"/>
    </row>
    <row r="623" spans="1:11" s="680" customFormat="1" ht="33" customHeight="1" x14ac:dyDescent="0.25">
      <c r="A623" s="683" t="s">
        <v>109</v>
      </c>
      <c r="B623" s="703"/>
      <c r="C623" s="684" t="s">
        <v>34</v>
      </c>
      <c r="D623" s="708">
        <v>119</v>
      </c>
      <c r="E623" s="708">
        <v>267</v>
      </c>
      <c r="F623" s="685" t="s">
        <v>1120</v>
      </c>
      <c r="G623" s="686">
        <v>0</v>
      </c>
      <c r="H623" s="686">
        <v>15100</v>
      </c>
      <c r="I623" s="686">
        <f>H623-G623</f>
        <v>15100</v>
      </c>
      <c r="J623" s="685" t="s">
        <v>1121</v>
      </c>
      <c r="K623" s="709"/>
    </row>
    <row r="624" spans="1:11" s="680" customFormat="1" ht="30" x14ac:dyDescent="0.25">
      <c r="A624" s="683" t="s">
        <v>109</v>
      </c>
      <c r="B624" s="703"/>
      <c r="C624" s="684" t="s">
        <v>34</v>
      </c>
      <c r="D624" s="708">
        <v>244</v>
      </c>
      <c r="E624" s="708">
        <v>221</v>
      </c>
      <c r="F624" s="685" t="s">
        <v>497</v>
      </c>
      <c r="G624" s="686">
        <v>28204.05</v>
      </c>
      <c r="H624" s="686">
        <f>G624+14853.65</f>
        <v>43057.7</v>
      </c>
      <c r="I624" s="686">
        <f>H624-G624</f>
        <v>14853.65</v>
      </c>
      <c r="J624" s="685" t="s">
        <v>1122</v>
      </c>
      <c r="K624" s="709"/>
    </row>
    <row r="625" spans="1:11" s="680" customFormat="1" ht="90" x14ac:dyDescent="0.25">
      <c r="A625" s="683" t="s">
        <v>109</v>
      </c>
      <c r="B625" s="703"/>
      <c r="C625" s="684" t="s">
        <v>34</v>
      </c>
      <c r="D625" s="708">
        <v>853</v>
      </c>
      <c r="E625" s="708">
        <v>296</v>
      </c>
      <c r="F625" s="685" t="s">
        <v>1123</v>
      </c>
      <c r="G625" s="686">
        <v>24918.02</v>
      </c>
      <c r="H625" s="686">
        <f>G625-14853.65</f>
        <v>10064.370000000001</v>
      </c>
      <c r="I625" s="686">
        <f>H625-G625</f>
        <v>-14853.65</v>
      </c>
      <c r="J625" s="685" t="s">
        <v>1124</v>
      </c>
      <c r="K625" s="709"/>
    </row>
    <row r="626" spans="1:11" s="680" customFormat="1" x14ac:dyDescent="0.25">
      <c r="A626" s="2574" t="s">
        <v>1125</v>
      </c>
      <c r="B626" s="2580"/>
      <c r="C626" s="2580"/>
      <c r="D626" s="2580"/>
      <c r="E626" s="2580"/>
      <c r="F626" s="2576"/>
      <c r="G626" s="687">
        <f>SUM(G621:G625)</f>
        <v>1094375.1499999999</v>
      </c>
      <c r="H626" s="687">
        <f>SUM(H621:H625)</f>
        <v>1094375.1499999999</v>
      </c>
      <c r="I626" s="687">
        <f>SUM(I621:I625)</f>
        <v>0</v>
      </c>
      <c r="J626" s="701"/>
    </row>
    <row r="627" spans="1:11" s="680" customFormat="1" x14ac:dyDescent="0.25">
      <c r="A627" s="2550" t="s">
        <v>1099</v>
      </c>
      <c r="B627" s="2550"/>
      <c r="C627" s="2550"/>
      <c r="D627" s="2550"/>
      <c r="E627" s="2550"/>
      <c r="F627" s="2550"/>
      <c r="G627" s="2550"/>
      <c r="H627" s="2550"/>
      <c r="I627" s="2550"/>
      <c r="J627" s="2550"/>
    </row>
    <row r="628" spans="1:11" s="680" customFormat="1" ht="60" x14ac:dyDescent="0.25">
      <c r="A628" s="703"/>
      <c r="B628" s="703"/>
      <c r="C628" s="684" t="s">
        <v>136</v>
      </c>
      <c r="D628" s="684" t="s">
        <v>495</v>
      </c>
      <c r="E628" s="684" t="s">
        <v>537</v>
      </c>
      <c r="F628" s="685" t="s">
        <v>1100</v>
      </c>
      <c r="G628" s="686">
        <v>3955907.84</v>
      </c>
      <c r="H628" s="686">
        <f>G628+3100000</f>
        <v>7055907.8399999999</v>
      </c>
      <c r="I628" s="686">
        <f>H628-G628</f>
        <v>3100000</v>
      </c>
      <c r="J628" s="685" t="s">
        <v>1101</v>
      </c>
    </row>
    <row r="629" spans="1:11" s="680" customFormat="1" ht="45" x14ac:dyDescent="0.25">
      <c r="A629" s="683" t="s">
        <v>109</v>
      </c>
      <c r="B629" s="703"/>
      <c r="C629" s="684" t="s">
        <v>142</v>
      </c>
      <c r="D629" s="708">
        <v>244</v>
      </c>
      <c r="E629" s="708">
        <v>223</v>
      </c>
      <c r="F629" s="685" t="s">
        <v>456</v>
      </c>
      <c r="G629" s="686">
        <v>0</v>
      </c>
      <c r="H629" s="686">
        <v>588681</v>
      </c>
      <c r="I629" s="686">
        <f>H629-G629</f>
        <v>588681</v>
      </c>
      <c r="J629" s="685" t="s">
        <v>1126</v>
      </c>
      <c r="K629" s="709"/>
    </row>
    <row r="630" spans="1:11" s="680" customFormat="1" ht="30" x14ac:dyDescent="0.25">
      <c r="A630" s="683" t="s">
        <v>109</v>
      </c>
      <c r="B630" s="703"/>
      <c r="C630" s="684" t="s">
        <v>142</v>
      </c>
      <c r="D630" s="708">
        <v>247</v>
      </c>
      <c r="E630" s="708">
        <v>223</v>
      </c>
      <c r="F630" s="685" t="s">
        <v>456</v>
      </c>
      <c r="G630" s="686">
        <v>3781434.59</v>
      </c>
      <c r="H630" s="686">
        <f>G630+2500000</f>
        <v>6281434.5899999999</v>
      </c>
      <c r="I630" s="686">
        <f>H630-G630</f>
        <v>2500000</v>
      </c>
      <c r="J630" s="685" t="s">
        <v>1127</v>
      </c>
      <c r="K630" s="709"/>
    </row>
    <row r="631" spans="1:11" s="680" customFormat="1" ht="75" x14ac:dyDescent="0.25">
      <c r="A631" s="683" t="s">
        <v>109</v>
      </c>
      <c r="B631" s="703"/>
      <c r="C631" s="684" t="s">
        <v>142</v>
      </c>
      <c r="D631" s="708">
        <v>244</v>
      </c>
      <c r="E631" s="708">
        <v>343</v>
      </c>
      <c r="F631" s="685" t="s">
        <v>449</v>
      </c>
      <c r="G631" s="686">
        <v>0</v>
      </c>
      <c r="H631" s="686">
        <v>11319</v>
      </c>
      <c r="I631" s="686">
        <f>H631-G631</f>
        <v>11319</v>
      </c>
      <c r="J631" s="685" t="s">
        <v>1128</v>
      </c>
      <c r="K631" s="709"/>
    </row>
    <row r="632" spans="1:11" s="680" customFormat="1" x14ac:dyDescent="0.25">
      <c r="A632" s="2574" t="s">
        <v>1104</v>
      </c>
      <c r="B632" s="2580"/>
      <c r="C632" s="2580"/>
      <c r="D632" s="2580"/>
      <c r="E632" s="2580"/>
      <c r="F632" s="2576"/>
      <c r="G632" s="687">
        <f>SUM(G629:G631)</f>
        <v>3781434.59</v>
      </c>
      <c r="H632" s="687">
        <f>SUM(H629:H631)</f>
        <v>6881434.5899999999</v>
      </c>
      <c r="I632" s="687">
        <f>SUM(I629:I631)</f>
        <v>3100000</v>
      </c>
      <c r="J632" s="701"/>
    </row>
    <row r="633" spans="1:11" s="680" customFormat="1" x14ac:dyDescent="0.25">
      <c r="A633" s="2577" t="s">
        <v>160</v>
      </c>
      <c r="B633" s="2578"/>
      <c r="C633" s="2578"/>
      <c r="D633" s="2578"/>
      <c r="E633" s="2578"/>
      <c r="F633" s="687" t="s">
        <v>82</v>
      </c>
      <c r="G633" s="687">
        <f>G613+G619+G632</f>
        <v>5774435.0899999999</v>
      </c>
      <c r="H633" s="687">
        <f>H613+H619+H632</f>
        <v>9054063.0899999999</v>
      </c>
      <c r="I633" s="687">
        <f>I613+I619+I632</f>
        <v>3279628</v>
      </c>
      <c r="J633" s="701" t="s">
        <v>82</v>
      </c>
    </row>
    <row r="634" spans="1:11" s="680" customFormat="1" x14ac:dyDescent="0.25">
      <c r="A634" s="691"/>
      <c r="B634" s="692"/>
      <c r="C634" s="692"/>
      <c r="D634" s="692"/>
      <c r="E634" s="692"/>
      <c r="F634" s="693"/>
      <c r="G634" s="693"/>
      <c r="H634" s="693"/>
      <c r="I634" s="693"/>
      <c r="J634" s="694"/>
    </row>
    <row r="635" spans="1:11" s="680" customFormat="1" ht="11.25" customHeight="1" x14ac:dyDescent="0.25">
      <c r="A635" s="695"/>
    </row>
    <row r="636" spans="1:11" s="680" customFormat="1" x14ac:dyDescent="0.25">
      <c r="A636" s="2579" t="s">
        <v>705</v>
      </c>
      <c r="B636" s="2579"/>
      <c r="C636" s="2579"/>
      <c r="D636" s="2579"/>
      <c r="E636" s="2579"/>
      <c r="F636" s="2579"/>
      <c r="G636" s="696"/>
      <c r="H636" s="697"/>
      <c r="I636" s="698"/>
      <c r="J636" s="697" t="s">
        <v>733</v>
      </c>
    </row>
    <row r="637" spans="1:11" s="680" customFormat="1" x14ac:dyDescent="0.25">
      <c r="A637" s="2570"/>
      <c r="B637" s="2570"/>
      <c r="C637" s="2570"/>
      <c r="D637" s="2570"/>
      <c r="E637" s="2570"/>
      <c r="F637" s="2570"/>
      <c r="G637" s="699"/>
      <c r="H637" s="697"/>
      <c r="I637" s="698"/>
      <c r="J637" s="697"/>
    </row>
    <row r="638" spans="1:11" s="680" customFormat="1" x14ac:dyDescent="0.25">
      <c r="A638" s="2571" t="s">
        <v>156</v>
      </c>
      <c r="B638" s="2571"/>
      <c r="C638" s="2571"/>
      <c r="D638" s="2571"/>
      <c r="E638" s="2571"/>
      <c r="F638" s="2571"/>
      <c r="G638" s="696"/>
      <c r="H638" s="697"/>
      <c r="I638" s="698"/>
      <c r="J638" s="697" t="s">
        <v>729</v>
      </c>
    </row>
    <row r="639" spans="1:11" s="680" customFormat="1" ht="11.25" customHeight="1" x14ac:dyDescent="0.25">
      <c r="A639" s="695"/>
    </row>
    <row r="640" spans="1:11" s="680" customFormat="1" ht="11.25" customHeight="1" x14ac:dyDescent="0.25">
      <c r="A640" s="695"/>
    </row>
    <row r="641" spans="1:11" s="680" customFormat="1" ht="18.75" x14ac:dyDescent="0.25">
      <c r="A641" s="2542" t="s">
        <v>1268</v>
      </c>
      <c r="B641" s="2542"/>
      <c r="C641" s="2542"/>
      <c r="D641" s="2542"/>
      <c r="E641" s="2542"/>
      <c r="F641" s="2542"/>
      <c r="G641" s="2542"/>
      <c r="H641" s="2542"/>
      <c r="I641" s="2542"/>
      <c r="J641" s="2542"/>
    </row>
    <row r="642" spans="1:11" s="680" customFormat="1" ht="18.75" x14ac:dyDescent="0.25">
      <c r="A642" s="2542" t="s">
        <v>611</v>
      </c>
      <c r="B642" s="2542"/>
      <c r="C642" s="2542"/>
      <c r="D642" s="2542"/>
      <c r="E642" s="2542"/>
      <c r="F642" s="2542"/>
      <c r="G642" s="2542"/>
      <c r="H642" s="2542"/>
      <c r="I642" s="2542"/>
      <c r="J642" s="2542"/>
    </row>
    <row r="643" spans="1:11" s="680" customFormat="1" x14ac:dyDescent="0.25">
      <c r="A643" s="2569"/>
      <c r="B643" s="2569"/>
      <c r="C643" s="2569"/>
      <c r="D643" s="2569"/>
      <c r="E643" s="2569"/>
      <c r="F643" s="2569"/>
      <c r="G643" s="2569"/>
      <c r="H643" s="2569"/>
      <c r="I643" s="2569"/>
      <c r="J643" s="2569"/>
    </row>
    <row r="644" spans="1:11" s="680" customFormat="1" ht="77.25" customHeight="1" x14ac:dyDescent="0.25">
      <c r="A644" s="703" t="s">
        <v>406</v>
      </c>
      <c r="B644" s="682" t="s">
        <v>235</v>
      </c>
      <c r="C644" s="682" t="s">
        <v>234</v>
      </c>
      <c r="D644" s="703" t="s">
        <v>305</v>
      </c>
      <c r="E644" s="682" t="s">
        <v>1095</v>
      </c>
      <c r="F644" s="682" t="s">
        <v>35</v>
      </c>
      <c r="G644" s="682" t="s">
        <v>1096</v>
      </c>
      <c r="H644" s="682" t="s">
        <v>491</v>
      </c>
      <c r="I644" s="682" t="s">
        <v>492</v>
      </c>
      <c r="J644" s="682" t="s">
        <v>1097</v>
      </c>
    </row>
    <row r="645" spans="1:11" s="680" customFormat="1" x14ac:dyDescent="0.25">
      <c r="A645" s="2545" t="s">
        <v>493</v>
      </c>
      <c r="B645" s="2545"/>
      <c r="C645" s="2545"/>
      <c r="D645" s="2545"/>
      <c r="E645" s="2545"/>
      <c r="F645" s="2545"/>
      <c r="G645" s="2545"/>
      <c r="H645" s="2545"/>
      <c r="I645" s="2545"/>
      <c r="J645" s="2545"/>
    </row>
    <row r="646" spans="1:11" s="680" customFormat="1" x14ac:dyDescent="0.25">
      <c r="A646" s="700"/>
      <c r="B646" s="2562" t="s">
        <v>503</v>
      </c>
      <c r="C646" s="2572"/>
      <c r="D646" s="2572"/>
      <c r="E646" s="2572"/>
      <c r="F646" s="2572"/>
      <c r="G646" s="2572"/>
      <c r="H646" s="2572"/>
      <c r="I646" s="2572"/>
      <c r="J646" s="2573"/>
    </row>
    <row r="647" spans="1:11" s="680" customFormat="1" ht="135" x14ac:dyDescent="0.25">
      <c r="A647" s="683" t="s">
        <v>109</v>
      </c>
      <c r="B647" s="703" t="s">
        <v>626</v>
      </c>
      <c r="C647" s="684" t="s">
        <v>67</v>
      </c>
      <c r="D647" s="703">
        <v>244</v>
      </c>
      <c r="E647" s="703">
        <v>310</v>
      </c>
      <c r="F647" s="685" t="s">
        <v>1259</v>
      </c>
      <c r="G647" s="686">
        <v>26678618.370000001</v>
      </c>
      <c r="H647" s="686">
        <v>25446242.850000001</v>
      </c>
      <c r="I647" s="686">
        <f>H647-G647</f>
        <v>-1232375.52</v>
      </c>
      <c r="J647" s="707" t="s">
        <v>1261</v>
      </c>
    </row>
    <row r="648" spans="1:11" s="680" customFormat="1" ht="135" x14ac:dyDescent="0.25">
      <c r="A648" s="683" t="s">
        <v>109</v>
      </c>
      <c r="B648" s="703" t="s">
        <v>626</v>
      </c>
      <c r="C648" s="684" t="s">
        <v>67</v>
      </c>
      <c r="D648" s="703">
        <v>244</v>
      </c>
      <c r="E648" s="703">
        <v>346</v>
      </c>
      <c r="F648" s="685" t="s">
        <v>1260</v>
      </c>
      <c r="G648" s="686">
        <v>8023335.75</v>
      </c>
      <c r="H648" s="686">
        <v>9255711.2699999996</v>
      </c>
      <c r="I648" s="686">
        <f>H648-G648</f>
        <v>1232375.52</v>
      </c>
      <c r="J648" s="707" t="s">
        <v>1262</v>
      </c>
    </row>
    <row r="649" spans="1:11" s="680" customFormat="1" x14ac:dyDescent="0.25">
      <c r="A649" s="2574" t="s">
        <v>1098</v>
      </c>
      <c r="B649" s="2575"/>
      <c r="C649" s="2575"/>
      <c r="D649" s="2575"/>
      <c r="E649" s="2575"/>
      <c r="F649" s="2576"/>
      <c r="G649" s="687">
        <f>SUM(G647:G648)</f>
        <v>34701954.119999997</v>
      </c>
      <c r="H649" s="687">
        <f>SUM(H647:H648)</f>
        <v>34701954.119999997</v>
      </c>
      <c r="I649" s="687">
        <f>SUM(I647:I648)</f>
        <v>0</v>
      </c>
      <c r="J649" s="701" t="s">
        <v>82</v>
      </c>
    </row>
    <row r="650" spans="1:11" s="680" customFormat="1" x14ac:dyDescent="0.25">
      <c r="A650" s="2550" t="s">
        <v>496</v>
      </c>
      <c r="B650" s="2550"/>
      <c r="C650" s="2550"/>
      <c r="D650" s="2550"/>
      <c r="E650" s="2550"/>
      <c r="F650" s="2550"/>
      <c r="G650" s="2550"/>
      <c r="H650" s="2550"/>
      <c r="I650" s="2550"/>
      <c r="J650" s="2550"/>
    </row>
    <row r="651" spans="1:11" s="680" customFormat="1" ht="75" x14ac:dyDescent="0.25">
      <c r="A651" s="683" t="s">
        <v>109</v>
      </c>
      <c r="B651" s="703" t="s">
        <v>624</v>
      </c>
      <c r="C651" s="530" t="s">
        <v>706</v>
      </c>
      <c r="D651" s="708">
        <v>247</v>
      </c>
      <c r="E651" s="708">
        <v>223</v>
      </c>
      <c r="F651" s="685" t="s">
        <v>456</v>
      </c>
      <c r="G651" s="686">
        <v>2535294.52</v>
      </c>
      <c r="H651" s="686">
        <f>G651-99808.66</f>
        <v>2435485.86</v>
      </c>
      <c r="I651" s="686">
        <f>H651-G651</f>
        <v>-99808.66</v>
      </c>
      <c r="J651" s="685" t="s">
        <v>1129</v>
      </c>
      <c r="K651" s="709"/>
    </row>
    <row r="652" spans="1:11" s="680" customFormat="1" ht="75" x14ac:dyDescent="0.25">
      <c r="A652" s="683" t="s">
        <v>109</v>
      </c>
      <c r="B652" s="744" t="s">
        <v>624</v>
      </c>
      <c r="C652" s="530" t="s">
        <v>706</v>
      </c>
      <c r="D652" s="708">
        <v>244</v>
      </c>
      <c r="E652" s="708">
        <v>223</v>
      </c>
      <c r="F652" s="685" t="s">
        <v>456</v>
      </c>
      <c r="G652" s="686">
        <v>1166893.8600000001</v>
      </c>
      <c r="H652" s="686">
        <v>1144690.5</v>
      </c>
      <c r="I652" s="686">
        <f>H652-G652</f>
        <v>-22203.360000000001</v>
      </c>
      <c r="J652" s="685" t="s">
        <v>1129</v>
      </c>
      <c r="K652" s="709"/>
    </row>
    <row r="653" spans="1:11" s="680" customFormat="1" ht="75" x14ac:dyDescent="0.25">
      <c r="A653" s="683" t="s">
        <v>109</v>
      </c>
      <c r="B653" s="703" t="s">
        <v>624</v>
      </c>
      <c r="C653" s="530" t="s">
        <v>706</v>
      </c>
      <c r="D653" s="708">
        <v>244</v>
      </c>
      <c r="E653" s="708">
        <v>226</v>
      </c>
      <c r="F653" s="685" t="s">
        <v>460</v>
      </c>
      <c r="G653" s="686">
        <v>230004</v>
      </c>
      <c r="H653" s="686">
        <f>G653+99808.66+22203.36+19953.65+11319</f>
        <v>383288.67</v>
      </c>
      <c r="I653" s="686">
        <f>H653-G653</f>
        <v>153284.67000000001</v>
      </c>
      <c r="J653" s="685" t="s">
        <v>1130</v>
      </c>
      <c r="K653" s="709"/>
    </row>
    <row r="654" spans="1:11" s="680" customFormat="1" ht="75" x14ac:dyDescent="0.25">
      <c r="A654" s="683" t="s">
        <v>109</v>
      </c>
      <c r="B654" s="744" t="s">
        <v>624</v>
      </c>
      <c r="C654" s="530" t="s">
        <v>706</v>
      </c>
      <c r="D654" s="708">
        <v>244</v>
      </c>
      <c r="E654" s="708">
        <v>221</v>
      </c>
      <c r="F654" s="685" t="s">
        <v>497</v>
      </c>
      <c r="G654" s="686">
        <v>92703.2</v>
      </c>
      <c r="H654" s="686">
        <v>72749.55</v>
      </c>
      <c r="I654" s="686">
        <f>H654-G654</f>
        <v>-19953.650000000001</v>
      </c>
      <c r="J654" s="685" t="s">
        <v>1234</v>
      </c>
      <c r="K654" s="709"/>
    </row>
    <row r="655" spans="1:11" s="680" customFormat="1" ht="75" x14ac:dyDescent="0.25">
      <c r="A655" s="683" t="s">
        <v>109</v>
      </c>
      <c r="B655" s="744" t="s">
        <v>624</v>
      </c>
      <c r="C655" s="530" t="s">
        <v>706</v>
      </c>
      <c r="D655" s="708">
        <v>244</v>
      </c>
      <c r="E655" s="708">
        <v>343</v>
      </c>
      <c r="F655" s="685" t="s">
        <v>1235</v>
      </c>
      <c r="G655" s="686">
        <v>75754.62</v>
      </c>
      <c r="H655" s="686">
        <v>64435.62</v>
      </c>
      <c r="I655" s="686">
        <f>H655-G655</f>
        <v>-11319</v>
      </c>
      <c r="J655" s="685" t="s">
        <v>1282</v>
      </c>
      <c r="K655" s="709"/>
    </row>
    <row r="656" spans="1:11" s="680" customFormat="1" x14ac:dyDescent="0.25">
      <c r="A656" s="702"/>
      <c r="B656" s="2537" t="s">
        <v>1117</v>
      </c>
      <c r="C656" s="2537"/>
      <c r="D656" s="2537"/>
      <c r="E656" s="2537"/>
      <c r="F656" s="2537"/>
      <c r="G656" s="687">
        <f>SUM(G651:G655)</f>
        <v>4100650.2</v>
      </c>
      <c r="H656" s="687">
        <f>SUM(H651:H655)</f>
        <v>4100650.2</v>
      </c>
      <c r="I656" s="687">
        <f>SUM(I651:I655)</f>
        <v>0</v>
      </c>
      <c r="J656" s="682" t="s">
        <v>82</v>
      </c>
    </row>
    <row r="657" spans="1:11" s="680" customFormat="1" x14ac:dyDescent="0.25">
      <c r="A657" s="2550" t="s">
        <v>155</v>
      </c>
      <c r="B657" s="2550"/>
      <c r="C657" s="2550"/>
      <c r="D657" s="2550"/>
      <c r="E657" s="2550"/>
      <c r="F657" s="2550"/>
      <c r="G657" s="2550"/>
      <c r="H657" s="2550"/>
      <c r="I657" s="2550"/>
      <c r="J657" s="2550"/>
    </row>
    <row r="658" spans="1:11" s="680" customFormat="1" ht="135" x14ac:dyDescent="0.25">
      <c r="A658" s="703"/>
      <c r="B658" s="703"/>
      <c r="C658" s="684" t="s">
        <v>137</v>
      </c>
      <c r="D658" s="684" t="s">
        <v>495</v>
      </c>
      <c r="E658" s="684" t="s">
        <v>537</v>
      </c>
      <c r="F658" s="685" t="s">
        <v>499</v>
      </c>
      <c r="G658" s="686">
        <v>13912560</v>
      </c>
      <c r="H658" s="686">
        <f>G658-4739688</f>
        <v>9172872</v>
      </c>
      <c r="I658" s="686">
        <f t="shared" ref="I658:I665" si="53">H658-G658</f>
        <v>-4739688</v>
      </c>
      <c r="J658" s="685" t="s">
        <v>1131</v>
      </c>
    </row>
    <row r="659" spans="1:11" s="680" customFormat="1" ht="30" x14ac:dyDescent="0.25">
      <c r="A659" s="683" t="s">
        <v>109</v>
      </c>
      <c r="B659" s="744"/>
      <c r="C659" s="684" t="s">
        <v>34</v>
      </c>
      <c r="D659" s="708">
        <v>111</v>
      </c>
      <c r="E659" s="708">
        <v>211</v>
      </c>
      <c r="F659" s="685" t="s">
        <v>179</v>
      </c>
      <c r="G659" s="686">
        <v>3447857.88</v>
      </c>
      <c r="H659" s="686">
        <v>2390126.77</v>
      </c>
      <c r="I659" s="686">
        <f>H659-G659</f>
        <v>-1057731.1100000001</v>
      </c>
      <c r="J659" s="685" t="s">
        <v>1236</v>
      </c>
      <c r="K659" s="709"/>
    </row>
    <row r="660" spans="1:11" s="680" customFormat="1" ht="45" x14ac:dyDescent="0.25">
      <c r="A660" s="683" t="s">
        <v>109</v>
      </c>
      <c r="B660" s="744"/>
      <c r="C660" s="684" t="s">
        <v>34</v>
      </c>
      <c r="D660" s="708">
        <v>119</v>
      </c>
      <c r="E660" s="708">
        <v>213</v>
      </c>
      <c r="F660" s="685" t="s">
        <v>494</v>
      </c>
      <c r="G660" s="686">
        <v>976153.08</v>
      </c>
      <c r="H660" s="686">
        <v>721818.28</v>
      </c>
      <c r="I660" s="686">
        <f>H660-G660</f>
        <v>-254334.8</v>
      </c>
      <c r="J660" s="685" t="s">
        <v>1237</v>
      </c>
      <c r="K660" s="709"/>
    </row>
    <row r="661" spans="1:11" s="680" customFormat="1" ht="30" x14ac:dyDescent="0.25">
      <c r="A661" s="683" t="s">
        <v>109</v>
      </c>
      <c r="B661" s="746"/>
      <c r="C661" s="684" t="s">
        <v>34</v>
      </c>
      <c r="D661" s="708">
        <v>244</v>
      </c>
      <c r="E661" s="708">
        <v>221</v>
      </c>
      <c r="F661" s="685" t="s">
        <v>497</v>
      </c>
      <c r="G661" s="686">
        <v>43057.7</v>
      </c>
      <c r="H661" s="686">
        <v>42057.7</v>
      </c>
      <c r="I661" s="686">
        <f>H661-G661</f>
        <v>-1000</v>
      </c>
      <c r="J661" s="685" t="s">
        <v>1234</v>
      </c>
      <c r="K661" s="709"/>
    </row>
    <row r="662" spans="1:11" s="680" customFormat="1" ht="30" x14ac:dyDescent="0.25">
      <c r="A662" s="683" t="s">
        <v>109</v>
      </c>
      <c r="B662" s="703"/>
      <c r="C662" s="684" t="s">
        <v>34</v>
      </c>
      <c r="D662" s="708">
        <v>247</v>
      </c>
      <c r="E662" s="708">
        <v>223</v>
      </c>
      <c r="F662" s="685" t="s">
        <v>456</v>
      </c>
      <c r="G662" s="686">
        <v>4999143.66</v>
      </c>
      <c r="H662" s="686">
        <v>3144706.24</v>
      </c>
      <c r="I662" s="686">
        <f t="shared" si="53"/>
        <v>-1854437.42</v>
      </c>
      <c r="J662" s="685" t="s">
        <v>1257</v>
      </c>
      <c r="K662" s="709"/>
    </row>
    <row r="663" spans="1:11" s="680" customFormat="1" ht="33" customHeight="1" x14ac:dyDescent="0.25">
      <c r="A663" s="683" t="s">
        <v>109</v>
      </c>
      <c r="B663" s="703"/>
      <c r="C663" s="684" t="s">
        <v>34</v>
      </c>
      <c r="D663" s="708">
        <v>244</v>
      </c>
      <c r="E663" s="708">
        <v>225</v>
      </c>
      <c r="F663" s="710" t="s">
        <v>457</v>
      </c>
      <c r="G663" s="686">
        <v>1466917.85</v>
      </c>
      <c r="H663" s="686">
        <v>1100451.1000000001</v>
      </c>
      <c r="I663" s="686">
        <f t="shared" si="53"/>
        <v>-366466.75</v>
      </c>
      <c r="J663" s="685" t="s">
        <v>1249</v>
      </c>
      <c r="K663" s="709"/>
    </row>
    <row r="664" spans="1:11" s="680" customFormat="1" ht="45" x14ac:dyDescent="0.25">
      <c r="A664" s="683" t="s">
        <v>109</v>
      </c>
      <c r="B664" s="703"/>
      <c r="C664" s="684" t="s">
        <v>34</v>
      </c>
      <c r="D664" s="708">
        <v>244</v>
      </c>
      <c r="E664" s="708">
        <v>226</v>
      </c>
      <c r="F664" s="685" t="s">
        <v>460</v>
      </c>
      <c r="G664" s="686">
        <v>2913540</v>
      </c>
      <c r="H664" s="686">
        <v>2418846.34</v>
      </c>
      <c r="I664" s="686">
        <f t="shared" si="53"/>
        <v>-494693.66</v>
      </c>
      <c r="J664" s="685" t="s">
        <v>1250</v>
      </c>
      <c r="K664" s="709"/>
    </row>
    <row r="665" spans="1:11" s="680" customFormat="1" ht="28.5" customHeight="1" x14ac:dyDescent="0.25">
      <c r="A665" s="683" t="s">
        <v>109</v>
      </c>
      <c r="B665" s="703"/>
      <c r="C665" s="684" t="s">
        <v>34</v>
      </c>
      <c r="D665" s="708">
        <v>244</v>
      </c>
      <c r="E665" s="708">
        <v>310</v>
      </c>
      <c r="F665" s="685" t="s">
        <v>458</v>
      </c>
      <c r="G665" s="686">
        <v>804811.76</v>
      </c>
      <c r="H665" s="686">
        <v>100000</v>
      </c>
      <c r="I665" s="686">
        <f t="shared" si="53"/>
        <v>-704811.76</v>
      </c>
      <c r="J665" s="685" t="s">
        <v>1132</v>
      </c>
      <c r="K665" s="709"/>
    </row>
    <row r="666" spans="1:11" s="680" customFormat="1" ht="75" x14ac:dyDescent="0.25">
      <c r="A666" s="683" t="s">
        <v>109</v>
      </c>
      <c r="B666" s="746"/>
      <c r="C666" s="684" t="s">
        <v>34</v>
      </c>
      <c r="D666" s="708">
        <v>244</v>
      </c>
      <c r="E666" s="708">
        <v>343</v>
      </c>
      <c r="F666" s="685" t="s">
        <v>449</v>
      </c>
      <c r="G666" s="686">
        <v>20495.38</v>
      </c>
      <c r="H666" s="686">
        <f>G666-6212.5</f>
        <v>14282.88</v>
      </c>
      <c r="I666" s="686">
        <f>H666-G666</f>
        <v>-6212.5</v>
      </c>
      <c r="J666" s="685" t="s">
        <v>1132</v>
      </c>
      <c r="K666" s="709"/>
    </row>
    <row r="667" spans="1:11" s="680" customFormat="1" x14ac:dyDescent="0.25">
      <c r="A667" s="2574" t="s">
        <v>1125</v>
      </c>
      <c r="B667" s="2580"/>
      <c r="C667" s="2580"/>
      <c r="D667" s="2580"/>
      <c r="E667" s="2580"/>
      <c r="F667" s="2576"/>
      <c r="G667" s="687">
        <f>SUM(G659:G666)</f>
        <v>14671977.310000001</v>
      </c>
      <c r="H667" s="687">
        <f>SUM(H659:H666)</f>
        <v>9932289.3100000005</v>
      </c>
      <c r="I667" s="687">
        <f>SUM(I659:I666)</f>
        <v>-4739688</v>
      </c>
      <c r="J667" s="701"/>
    </row>
    <row r="668" spans="1:11" s="680" customFormat="1" x14ac:dyDescent="0.25">
      <c r="A668" s="2577" t="s">
        <v>160</v>
      </c>
      <c r="B668" s="2578"/>
      <c r="C668" s="2578"/>
      <c r="D668" s="2578"/>
      <c r="E668" s="2578"/>
      <c r="F668" s="687" t="s">
        <v>82</v>
      </c>
      <c r="G668" s="687">
        <f>G667+G656</f>
        <v>18772627.510000002</v>
      </c>
      <c r="H668" s="687">
        <f>H667+H656</f>
        <v>14032939.51</v>
      </c>
      <c r="I668" s="687">
        <f>I667+I656</f>
        <v>-4739688</v>
      </c>
      <c r="J668" s="701" t="s">
        <v>82</v>
      </c>
    </row>
    <row r="669" spans="1:11" s="680" customFormat="1" x14ac:dyDescent="0.25">
      <c r="A669" s="691"/>
      <c r="B669" s="692"/>
      <c r="C669" s="692"/>
      <c r="D669" s="692"/>
      <c r="E669" s="692"/>
      <c r="F669" s="693"/>
      <c r="G669" s="693"/>
      <c r="H669" s="693"/>
      <c r="I669" s="693"/>
      <c r="J669" s="694"/>
    </row>
    <row r="670" spans="1:11" s="680" customFormat="1" x14ac:dyDescent="0.25">
      <c r="A670" s="2579" t="s">
        <v>705</v>
      </c>
      <c r="B670" s="2579"/>
      <c r="C670" s="2579"/>
      <c r="D670" s="2579"/>
      <c r="E670" s="2579"/>
      <c r="F670" s="2579"/>
      <c r="G670" s="696"/>
      <c r="H670" s="697"/>
      <c r="I670" s="698"/>
      <c r="J670" s="697" t="s">
        <v>733</v>
      </c>
    </row>
    <row r="671" spans="1:11" s="680" customFormat="1" x14ac:dyDescent="0.25">
      <c r="A671" s="2570"/>
      <c r="B671" s="2570"/>
      <c r="C671" s="2570"/>
      <c r="D671" s="2570"/>
      <c r="E671" s="2570"/>
      <c r="F671" s="2570"/>
      <c r="G671" s="699"/>
      <c r="H671" s="697"/>
      <c r="I671" s="698"/>
      <c r="J671" s="697"/>
    </row>
    <row r="672" spans="1:11" s="680" customFormat="1" x14ac:dyDescent="0.25">
      <c r="A672" s="2571" t="s">
        <v>156</v>
      </c>
      <c r="B672" s="2571"/>
      <c r="C672" s="2571"/>
      <c r="D672" s="2571"/>
      <c r="E672" s="2571"/>
      <c r="F672" s="2571"/>
      <c r="G672" s="696"/>
      <c r="H672" s="697"/>
      <c r="I672" s="698"/>
      <c r="J672" s="697" t="s">
        <v>729</v>
      </c>
    </row>
    <row r="674" spans="1:11" s="680" customFormat="1" ht="18.75" x14ac:dyDescent="0.25">
      <c r="A674" s="2542" t="s">
        <v>1283</v>
      </c>
      <c r="B674" s="2542"/>
      <c r="C674" s="2542"/>
      <c r="D674" s="2542"/>
      <c r="E674" s="2542"/>
      <c r="F674" s="2542"/>
      <c r="G674" s="2542"/>
      <c r="H674" s="2542"/>
      <c r="I674" s="2542"/>
      <c r="J674" s="2542"/>
    </row>
    <row r="675" spans="1:11" s="680" customFormat="1" ht="18.75" x14ac:dyDescent="0.25">
      <c r="A675" s="2542" t="s">
        <v>611</v>
      </c>
      <c r="B675" s="2542"/>
      <c r="C675" s="2542"/>
      <c r="D675" s="2542"/>
      <c r="E675" s="2542"/>
      <c r="F675" s="2542"/>
      <c r="G675" s="2542"/>
      <c r="H675" s="2542"/>
      <c r="I675" s="2542"/>
      <c r="J675" s="2542"/>
    </row>
    <row r="676" spans="1:11" s="680" customFormat="1" x14ac:dyDescent="0.25">
      <c r="A676" s="2569"/>
      <c r="B676" s="2569"/>
      <c r="C676" s="2569"/>
      <c r="D676" s="2569"/>
      <c r="E676" s="2569"/>
      <c r="F676" s="2569"/>
      <c r="G676" s="2569"/>
      <c r="H676" s="2569"/>
      <c r="I676" s="2569"/>
      <c r="J676" s="2569"/>
    </row>
    <row r="677" spans="1:11" s="680" customFormat="1" ht="77.25" customHeight="1" x14ac:dyDescent="0.25">
      <c r="A677" s="819" t="s">
        <v>406</v>
      </c>
      <c r="B677" s="682" t="s">
        <v>235</v>
      </c>
      <c r="C677" s="682" t="s">
        <v>234</v>
      </c>
      <c r="D677" s="819" t="s">
        <v>305</v>
      </c>
      <c r="E677" s="682" t="s">
        <v>1095</v>
      </c>
      <c r="F677" s="682" t="s">
        <v>35</v>
      </c>
      <c r="G677" s="682" t="s">
        <v>1096</v>
      </c>
      <c r="H677" s="682" t="s">
        <v>491</v>
      </c>
      <c r="I677" s="682" t="s">
        <v>492</v>
      </c>
      <c r="J677" s="682" t="s">
        <v>1097</v>
      </c>
    </row>
    <row r="678" spans="1:11" s="680" customFormat="1" x14ac:dyDescent="0.25">
      <c r="A678" s="2545" t="s">
        <v>493</v>
      </c>
      <c r="B678" s="2545"/>
      <c r="C678" s="2545"/>
      <c r="D678" s="2545"/>
      <c r="E678" s="2545"/>
      <c r="F678" s="2545"/>
      <c r="G678" s="2545"/>
      <c r="H678" s="2545"/>
      <c r="I678" s="2545"/>
      <c r="J678" s="2545"/>
    </row>
    <row r="679" spans="1:11" s="680" customFormat="1" x14ac:dyDescent="0.25">
      <c r="A679" s="2550" t="s">
        <v>496</v>
      </c>
      <c r="B679" s="2550"/>
      <c r="C679" s="2550"/>
      <c r="D679" s="2550"/>
      <c r="E679" s="2550"/>
      <c r="F679" s="2550"/>
      <c r="G679" s="2550"/>
      <c r="H679" s="2550"/>
      <c r="I679" s="2550"/>
      <c r="J679" s="2550"/>
    </row>
    <row r="680" spans="1:11" s="680" customFormat="1" ht="75" x14ac:dyDescent="0.25">
      <c r="A680" s="683" t="s">
        <v>109</v>
      </c>
      <c r="B680" s="819" t="s">
        <v>624</v>
      </c>
      <c r="C680" s="538" t="s">
        <v>706</v>
      </c>
      <c r="D680" s="708">
        <v>247</v>
      </c>
      <c r="E680" s="708">
        <v>223</v>
      </c>
      <c r="F680" s="685" t="s">
        <v>456</v>
      </c>
      <c r="G680" s="686">
        <v>2435485.86</v>
      </c>
      <c r="H680" s="686">
        <f>G680+200000</f>
        <v>2635485.86</v>
      </c>
      <c r="I680" s="686">
        <f>H680-G680</f>
        <v>200000</v>
      </c>
      <c r="J680" s="685" t="s">
        <v>1276</v>
      </c>
      <c r="K680" s="709"/>
    </row>
    <row r="681" spans="1:11" s="680" customFormat="1" ht="75" x14ac:dyDescent="0.25">
      <c r="A681" s="683" t="s">
        <v>109</v>
      </c>
      <c r="B681" s="819" t="s">
        <v>624</v>
      </c>
      <c r="C681" s="538" t="s">
        <v>706</v>
      </c>
      <c r="D681" s="708">
        <v>244</v>
      </c>
      <c r="E681" s="708">
        <v>223</v>
      </c>
      <c r="F681" s="685" t="s">
        <v>456</v>
      </c>
      <c r="G681" s="686">
        <v>1144690.5</v>
      </c>
      <c r="H681" s="686">
        <f>G681-200000</f>
        <v>944690.5</v>
      </c>
      <c r="I681" s="686">
        <f>H681-G681</f>
        <v>-200000</v>
      </c>
      <c r="J681" s="685" t="s">
        <v>1277</v>
      </c>
      <c r="K681" s="709"/>
    </row>
    <row r="682" spans="1:11" s="680" customFormat="1" x14ac:dyDescent="0.25">
      <c r="A682" s="818"/>
      <c r="B682" s="2537" t="s">
        <v>1117</v>
      </c>
      <c r="C682" s="2537"/>
      <c r="D682" s="2537"/>
      <c r="E682" s="2537"/>
      <c r="F682" s="2537"/>
      <c r="G682" s="687">
        <f>SUM(G680:G681)</f>
        <v>3580176.36</v>
      </c>
      <c r="H682" s="687">
        <f>SUM(H680:H681)</f>
        <v>3580176.36</v>
      </c>
      <c r="I682" s="687">
        <f>SUM(I680:I681)</f>
        <v>0</v>
      </c>
      <c r="J682" s="682" t="s">
        <v>82</v>
      </c>
    </row>
    <row r="683" spans="1:11" s="680" customFormat="1" x14ac:dyDescent="0.25">
      <c r="A683" s="2550" t="s">
        <v>155</v>
      </c>
      <c r="B683" s="2550"/>
      <c r="C683" s="2550"/>
      <c r="D683" s="2550"/>
      <c r="E683" s="2550"/>
      <c r="F683" s="2550"/>
      <c r="G683" s="2550"/>
      <c r="H683" s="2550"/>
      <c r="I683" s="2550"/>
      <c r="J683" s="2550"/>
    </row>
    <row r="684" spans="1:11" s="823" customFormat="1" ht="75" x14ac:dyDescent="0.25">
      <c r="A684" s="537" t="s">
        <v>422</v>
      </c>
      <c r="B684" s="529" t="s">
        <v>33</v>
      </c>
      <c r="C684" s="530" t="s">
        <v>500</v>
      </c>
      <c r="D684" s="532">
        <v>112</v>
      </c>
      <c r="E684" s="532">
        <v>226</v>
      </c>
      <c r="F684" s="547" t="s">
        <v>713</v>
      </c>
      <c r="G684" s="546">
        <v>60000</v>
      </c>
      <c r="H684" s="546">
        <f>60000+3000</f>
        <v>63000</v>
      </c>
      <c r="I684" s="535">
        <f>H684-G684</f>
        <v>3000</v>
      </c>
      <c r="J684" s="816" t="s">
        <v>1278</v>
      </c>
      <c r="K684" s="824"/>
    </row>
    <row r="685" spans="1:11" s="823" customFormat="1" ht="90" x14ac:dyDescent="0.25">
      <c r="A685" s="542" t="s">
        <v>422</v>
      </c>
      <c r="B685" s="541" t="s">
        <v>33</v>
      </c>
      <c r="C685" s="817" t="s">
        <v>500</v>
      </c>
      <c r="D685" s="545">
        <v>119</v>
      </c>
      <c r="E685" s="545">
        <v>226</v>
      </c>
      <c r="F685" s="544" t="s">
        <v>121</v>
      </c>
      <c r="G685" s="543">
        <v>15100</v>
      </c>
      <c r="H685" s="543">
        <f>15100-3000</f>
        <v>12100</v>
      </c>
      <c r="I685" s="686">
        <f>H685-G685</f>
        <v>-3000</v>
      </c>
      <c r="J685" s="816" t="s">
        <v>1279</v>
      </c>
      <c r="K685" s="824"/>
    </row>
    <row r="686" spans="1:11" s="680" customFormat="1" x14ac:dyDescent="0.25">
      <c r="A686" s="2574" t="s">
        <v>1125</v>
      </c>
      <c r="B686" s="2580"/>
      <c r="C686" s="2580"/>
      <c r="D686" s="2580"/>
      <c r="E686" s="2580"/>
      <c r="F686" s="2576"/>
      <c r="G686" s="687">
        <f>SUM(G684:G685)</f>
        <v>75100</v>
      </c>
      <c r="H686" s="687">
        <f>SUM(H684:H685)</f>
        <v>75100</v>
      </c>
      <c r="I686" s="687">
        <f>SUM(I684:I685)</f>
        <v>0</v>
      </c>
      <c r="J686" s="820"/>
    </row>
    <row r="687" spans="1:11" s="680" customFormat="1" x14ac:dyDescent="0.25">
      <c r="A687" s="2550" t="s">
        <v>1099</v>
      </c>
      <c r="B687" s="2550"/>
      <c r="C687" s="2550"/>
      <c r="D687" s="2550"/>
      <c r="E687" s="2550"/>
      <c r="F687" s="2550"/>
      <c r="G687" s="2550"/>
      <c r="H687" s="2550"/>
      <c r="I687" s="2550"/>
      <c r="J687" s="2550"/>
    </row>
    <row r="688" spans="1:11" s="680" customFormat="1" ht="60" x14ac:dyDescent="0.25">
      <c r="A688" s="819"/>
      <c r="B688" s="819"/>
      <c r="C688" s="684" t="s">
        <v>136</v>
      </c>
      <c r="D688" s="684" t="s">
        <v>495</v>
      </c>
      <c r="E688" s="684" t="s">
        <v>537</v>
      </c>
      <c r="F688" s="685" t="s">
        <v>1100</v>
      </c>
      <c r="G688" s="686">
        <v>7055907.8399999999</v>
      </c>
      <c r="H688" s="686">
        <f>G688+500000</f>
        <v>7555907.8399999999</v>
      </c>
      <c r="I688" s="686">
        <f>H688-G688</f>
        <v>500000</v>
      </c>
      <c r="J688" s="685" t="s">
        <v>1101</v>
      </c>
    </row>
    <row r="689" spans="1:11" s="680" customFormat="1" ht="45" x14ac:dyDescent="0.25">
      <c r="A689" s="683" t="s">
        <v>109</v>
      </c>
      <c r="B689" s="819"/>
      <c r="C689" s="684" t="s">
        <v>142</v>
      </c>
      <c r="D689" s="708">
        <v>244</v>
      </c>
      <c r="E689" s="708">
        <v>223</v>
      </c>
      <c r="F689" s="685" t="s">
        <v>456</v>
      </c>
      <c r="G689" s="686">
        <v>588681</v>
      </c>
      <c r="H689" s="686">
        <f>G689+500000</f>
        <v>1088681</v>
      </c>
      <c r="I689" s="686">
        <f>H689-G689</f>
        <v>500000</v>
      </c>
      <c r="J689" s="685" t="s">
        <v>1126</v>
      </c>
      <c r="K689" s="709"/>
    </row>
    <row r="690" spans="1:11" s="680" customFormat="1" x14ac:dyDescent="0.25">
      <c r="A690" s="2574" t="s">
        <v>1104</v>
      </c>
      <c r="B690" s="2580"/>
      <c r="C690" s="2580"/>
      <c r="D690" s="2580"/>
      <c r="E690" s="2580"/>
      <c r="F690" s="2576"/>
      <c r="G690" s="687">
        <f>SUM(G689:G689)</f>
        <v>588681</v>
      </c>
      <c r="H690" s="687">
        <f>SUM(H689:H689)</f>
        <v>1088681</v>
      </c>
      <c r="I690" s="687">
        <f>SUM(I689:I689)</f>
        <v>500000</v>
      </c>
      <c r="J690" s="820"/>
    </row>
    <row r="691" spans="1:11" s="680" customFormat="1" x14ac:dyDescent="0.25">
      <c r="A691" s="2577" t="s">
        <v>160</v>
      </c>
      <c r="B691" s="2578"/>
      <c r="C691" s="2578"/>
      <c r="D691" s="2578"/>
      <c r="E691" s="2578"/>
      <c r="F691" s="687" t="s">
        <v>82</v>
      </c>
      <c r="G691" s="687">
        <f>G686+G682+G690</f>
        <v>4243957.3600000003</v>
      </c>
      <c r="H691" s="687">
        <f>H686+H682+H690</f>
        <v>4743957.3600000003</v>
      </c>
      <c r="I691" s="687">
        <f>I686+I682+I690</f>
        <v>500000</v>
      </c>
      <c r="J691" s="820" t="s">
        <v>82</v>
      </c>
    </row>
    <row r="692" spans="1:11" s="680" customFormat="1" x14ac:dyDescent="0.25">
      <c r="A692" s="691"/>
      <c r="B692" s="692"/>
      <c r="C692" s="692"/>
      <c r="D692" s="692"/>
      <c r="E692" s="692"/>
      <c r="F692" s="693"/>
      <c r="G692" s="693"/>
      <c r="H692" s="693"/>
      <c r="I692" s="693"/>
      <c r="J692" s="694"/>
    </row>
    <row r="693" spans="1:11" s="680" customFormat="1" x14ac:dyDescent="0.25">
      <c r="A693" s="2579" t="s">
        <v>705</v>
      </c>
      <c r="B693" s="2579"/>
      <c r="C693" s="2579"/>
      <c r="D693" s="2579"/>
      <c r="E693" s="2579"/>
      <c r="F693" s="2579"/>
      <c r="G693" s="696"/>
      <c r="H693" s="697"/>
      <c r="I693" s="698"/>
      <c r="J693" s="697" t="s">
        <v>733</v>
      </c>
    </row>
    <row r="694" spans="1:11" s="680" customFormat="1" x14ac:dyDescent="0.25">
      <c r="A694" s="2570"/>
      <c r="B694" s="2570"/>
      <c r="C694" s="2570"/>
      <c r="D694" s="2570"/>
      <c r="E694" s="2570"/>
      <c r="F694" s="2570"/>
      <c r="G694" s="699"/>
      <c r="H694" s="697"/>
      <c r="I694" s="698"/>
      <c r="J694" s="697"/>
    </row>
    <row r="695" spans="1:11" s="680" customFormat="1" x14ac:dyDescent="0.25">
      <c r="A695" s="2571" t="s">
        <v>156</v>
      </c>
      <c r="B695" s="2571"/>
      <c r="C695" s="2571"/>
      <c r="D695" s="2571"/>
      <c r="E695" s="2571"/>
      <c r="F695" s="2571"/>
      <c r="G695" s="696"/>
      <c r="H695" s="697"/>
      <c r="I695" s="698"/>
      <c r="J695" s="697" t="s">
        <v>729</v>
      </c>
    </row>
    <row r="697" spans="1:11" s="680" customFormat="1" ht="18.75" x14ac:dyDescent="0.25">
      <c r="A697" s="2542" t="s">
        <v>1289</v>
      </c>
      <c r="B697" s="2542"/>
      <c r="C697" s="2542"/>
      <c r="D697" s="2542"/>
      <c r="E697" s="2542"/>
      <c r="F697" s="2542"/>
      <c r="G697" s="2542"/>
      <c r="H697" s="2542"/>
      <c r="I697" s="2542"/>
      <c r="J697" s="2542"/>
    </row>
    <row r="698" spans="1:11" s="680" customFormat="1" ht="18.75" x14ac:dyDescent="0.25">
      <c r="A698" s="2542" t="s">
        <v>611</v>
      </c>
      <c r="B698" s="2542"/>
      <c r="C698" s="2542"/>
      <c r="D698" s="2542"/>
      <c r="E698" s="2542"/>
      <c r="F698" s="2542"/>
      <c r="G698" s="2542"/>
      <c r="H698" s="2542"/>
      <c r="I698" s="2542"/>
      <c r="J698" s="2542"/>
    </row>
    <row r="699" spans="1:11" s="680" customFormat="1" x14ac:dyDescent="0.25">
      <c r="A699" s="2569"/>
      <c r="B699" s="2569"/>
      <c r="C699" s="2569"/>
      <c r="D699" s="2569"/>
      <c r="E699" s="2569"/>
      <c r="F699" s="2569"/>
      <c r="G699" s="2569"/>
      <c r="H699" s="2569"/>
      <c r="I699" s="2569"/>
      <c r="J699" s="2569"/>
    </row>
    <row r="700" spans="1:11" s="680" customFormat="1" ht="77.25" customHeight="1" x14ac:dyDescent="0.25">
      <c r="A700" s="826" t="s">
        <v>406</v>
      </c>
      <c r="B700" s="682" t="s">
        <v>235</v>
      </c>
      <c r="C700" s="682" t="s">
        <v>234</v>
      </c>
      <c r="D700" s="826" t="s">
        <v>305</v>
      </c>
      <c r="E700" s="682" t="s">
        <v>1095</v>
      </c>
      <c r="F700" s="682" t="s">
        <v>35</v>
      </c>
      <c r="G700" s="682" t="s">
        <v>1096</v>
      </c>
      <c r="H700" s="682" t="s">
        <v>491</v>
      </c>
      <c r="I700" s="682" t="s">
        <v>492</v>
      </c>
      <c r="J700" s="682" t="s">
        <v>1097</v>
      </c>
    </row>
    <row r="701" spans="1:11" s="680" customFormat="1" x14ac:dyDescent="0.25">
      <c r="A701" s="2550" t="s">
        <v>155</v>
      </c>
      <c r="B701" s="2550"/>
      <c r="C701" s="2550"/>
      <c r="D701" s="2550"/>
      <c r="E701" s="2550"/>
      <c r="F701" s="2550"/>
      <c r="G701" s="2550"/>
      <c r="H701" s="2550"/>
      <c r="I701" s="2550"/>
      <c r="J701" s="2550"/>
    </row>
    <row r="702" spans="1:11" s="680" customFormat="1" ht="135" x14ac:dyDescent="0.25">
      <c r="A702" s="826"/>
      <c r="B702" s="826"/>
      <c r="C702" s="684" t="s">
        <v>137</v>
      </c>
      <c r="D702" s="684" t="s">
        <v>495</v>
      </c>
      <c r="E702" s="684" t="s">
        <v>537</v>
      </c>
      <c r="F702" s="685" t="s">
        <v>499</v>
      </c>
      <c r="G702" s="686">
        <v>9172872</v>
      </c>
      <c r="H702" s="686">
        <f>G702-312762.67-11237.33+47500+7000+500</f>
        <v>8903872</v>
      </c>
      <c r="I702" s="686">
        <f>H702-G702</f>
        <v>-269000</v>
      </c>
      <c r="J702" s="685" t="s">
        <v>1131</v>
      </c>
    </row>
    <row r="703" spans="1:11" s="823" customFormat="1" ht="90" x14ac:dyDescent="0.25">
      <c r="A703" s="542" t="s">
        <v>422</v>
      </c>
      <c r="B703" s="541" t="s">
        <v>33</v>
      </c>
      <c r="C703" s="831" t="s">
        <v>500</v>
      </c>
      <c r="D703" s="545">
        <v>119</v>
      </c>
      <c r="E703" s="545">
        <v>226</v>
      </c>
      <c r="F703" s="544" t="s">
        <v>121</v>
      </c>
      <c r="G703" s="543">
        <v>12100</v>
      </c>
      <c r="H703" s="543">
        <f>G703+7000</f>
        <v>19100</v>
      </c>
      <c r="I703" s="686">
        <f>H703-G703</f>
        <v>7000</v>
      </c>
      <c r="J703" s="830" t="s">
        <v>1279</v>
      </c>
      <c r="K703" s="824"/>
    </row>
    <row r="704" spans="1:11" s="680" customFormat="1" ht="45" x14ac:dyDescent="0.25">
      <c r="A704" s="683" t="s">
        <v>109</v>
      </c>
      <c r="B704" s="529" t="s">
        <v>33</v>
      </c>
      <c r="C704" s="684" t="s">
        <v>34</v>
      </c>
      <c r="D704" s="708">
        <v>244</v>
      </c>
      <c r="E704" s="708">
        <v>226</v>
      </c>
      <c r="F704" s="685" t="s">
        <v>460</v>
      </c>
      <c r="G704" s="686">
        <v>2418846.34</v>
      </c>
      <c r="H704" s="686">
        <f>G704-312762.67-11237.33+47500+500</f>
        <v>2142846.34</v>
      </c>
      <c r="I704" s="686">
        <f>H704-G704</f>
        <v>-276000</v>
      </c>
      <c r="J704" s="685" t="s">
        <v>1250</v>
      </c>
      <c r="K704" s="709"/>
    </row>
    <row r="705" spans="1:11" s="680" customFormat="1" ht="45" x14ac:dyDescent="0.25">
      <c r="A705" s="683" t="s">
        <v>109</v>
      </c>
      <c r="B705" s="541" t="s">
        <v>33</v>
      </c>
      <c r="C705" s="684" t="s">
        <v>34</v>
      </c>
      <c r="D705" s="708">
        <v>244</v>
      </c>
      <c r="E705" s="708">
        <v>223</v>
      </c>
      <c r="F705" s="685" t="s">
        <v>456</v>
      </c>
      <c r="G705" s="686">
        <v>199236.84</v>
      </c>
      <c r="H705" s="686">
        <f>G705+40000</f>
        <v>239236.84</v>
      </c>
      <c r="I705" s="686">
        <f>H705-G705</f>
        <v>40000</v>
      </c>
      <c r="J705" s="685" t="s">
        <v>1126</v>
      </c>
      <c r="K705" s="709"/>
    </row>
    <row r="706" spans="1:11" s="680" customFormat="1" ht="30" x14ac:dyDescent="0.25">
      <c r="A706" s="683" t="s">
        <v>109</v>
      </c>
      <c r="B706" s="541" t="s">
        <v>33</v>
      </c>
      <c r="C706" s="684" t="s">
        <v>34</v>
      </c>
      <c r="D706" s="708">
        <v>247</v>
      </c>
      <c r="E706" s="708">
        <v>223</v>
      </c>
      <c r="F706" s="685" t="s">
        <v>456</v>
      </c>
      <c r="G706" s="686">
        <v>3144706.24</v>
      </c>
      <c r="H706" s="686">
        <f>G706-40000</f>
        <v>3104706.24</v>
      </c>
      <c r="I706" s="686">
        <f>H706-G706</f>
        <v>-40000</v>
      </c>
      <c r="J706" s="685" t="s">
        <v>1257</v>
      </c>
      <c r="K706" s="709"/>
    </row>
    <row r="707" spans="1:11" s="680" customFormat="1" x14ac:dyDescent="0.25">
      <c r="A707" s="2574" t="s">
        <v>1125</v>
      </c>
      <c r="B707" s="2580"/>
      <c r="C707" s="2580"/>
      <c r="D707" s="2580"/>
      <c r="E707" s="2580"/>
      <c r="F707" s="2576"/>
      <c r="G707" s="687">
        <f>SUM(G703:G706)</f>
        <v>5774889.4199999999</v>
      </c>
      <c r="H707" s="687">
        <f>SUM(H703:H706)</f>
        <v>5505889.4199999999</v>
      </c>
      <c r="I707" s="687">
        <f>SUM(I703:I706)</f>
        <v>-269000</v>
      </c>
      <c r="J707" s="827"/>
    </row>
    <row r="708" spans="1:11" s="680" customFormat="1" x14ac:dyDescent="0.25">
      <c r="A708" s="2550" t="s">
        <v>1099</v>
      </c>
      <c r="B708" s="2550"/>
      <c r="C708" s="2550"/>
      <c r="D708" s="2550"/>
      <c r="E708" s="2550"/>
      <c r="F708" s="2550"/>
      <c r="G708" s="2550"/>
      <c r="H708" s="2550"/>
      <c r="I708" s="2550"/>
      <c r="J708" s="2550"/>
    </row>
    <row r="709" spans="1:11" s="680" customFormat="1" ht="45" x14ac:dyDescent="0.25">
      <c r="A709" s="683" t="s">
        <v>109</v>
      </c>
      <c r="B709" s="541" t="s">
        <v>33</v>
      </c>
      <c r="C709" s="684" t="s">
        <v>142</v>
      </c>
      <c r="D709" s="708">
        <v>244</v>
      </c>
      <c r="E709" s="708">
        <v>223</v>
      </c>
      <c r="F709" s="685" t="s">
        <v>456</v>
      </c>
      <c r="G709" s="686">
        <v>1088681</v>
      </c>
      <c r="H709" s="686">
        <f>G709+110000</f>
        <v>1198681</v>
      </c>
      <c r="I709" s="686">
        <f>H709-G709</f>
        <v>110000</v>
      </c>
      <c r="J709" s="685" t="s">
        <v>1126</v>
      </c>
      <c r="K709" s="709"/>
    </row>
    <row r="710" spans="1:11" s="680" customFormat="1" ht="30" x14ac:dyDescent="0.25">
      <c r="A710" s="683" t="s">
        <v>109</v>
      </c>
      <c r="B710" s="541" t="s">
        <v>33</v>
      </c>
      <c r="C710" s="684" t="s">
        <v>142</v>
      </c>
      <c r="D710" s="708">
        <v>247</v>
      </c>
      <c r="E710" s="708">
        <v>223</v>
      </c>
      <c r="F710" s="685" t="s">
        <v>456</v>
      </c>
      <c r="G710" s="686">
        <v>6281434.5899999999</v>
      </c>
      <c r="H710" s="686">
        <f>G710-110000</f>
        <v>6171434.5899999999</v>
      </c>
      <c r="I710" s="686">
        <f>H710-G710</f>
        <v>-110000</v>
      </c>
      <c r="J710" s="685" t="s">
        <v>1257</v>
      </c>
      <c r="K710" s="709"/>
    </row>
    <row r="711" spans="1:11" s="680" customFormat="1" x14ac:dyDescent="0.25">
      <c r="A711" s="2574" t="s">
        <v>1104</v>
      </c>
      <c r="B711" s="2580"/>
      <c r="C711" s="2580"/>
      <c r="D711" s="2580"/>
      <c r="E711" s="2580"/>
      <c r="F711" s="2576"/>
      <c r="G711" s="687">
        <f>SUM(G709:G710)</f>
        <v>7370115.5899999999</v>
      </c>
      <c r="H711" s="687">
        <f>SUM(H709:H710)</f>
        <v>7370115.5899999999</v>
      </c>
      <c r="I711" s="687">
        <f>SUM(I709:I710)</f>
        <v>0</v>
      </c>
      <c r="J711" s="834"/>
    </row>
    <row r="712" spans="1:11" s="680" customFormat="1" x14ac:dyDescent="0.25">
      <c r="A712" s="2577" t="s">
        <v>160</v>
      </c>
      <c r="B712" s="2578"/>
      <c r="C712" s="2578"/>
      <c r="D712" s="2578"/>
      <c r="E712" s="2578"/>
      <c r="F712" s="687" t="s">
        <v>82</v>
      </c>
      <c r="G712" s="687">
        <f>G707+G711</f>
        <v>13145005.01</v>
      </c>
      <c r="H712" s="687">
        <f>H707+H711</f>
        <v>12876005.01</v>
      </c>
      <c r="I712" s="687">
        <f>I707+I711</f>
        <v>-269000</v>
      </c>
      <c r="J712" s="827" t="s">
        <v>82</v>
      </c>
    </row>
    <row r="713" spans="1:11" s="680" customFormat="1" x14ac:dyDescent="0.25">
      <c r="A713" s="691"/>
      <c r="B713" s="692"/>
      <c r="C713" s="692"/>
      <c r="D713" s="692"/>
      <c r="E713" s="692"/>
      <c r="F713" s="693"/>
      <c r="G713" s="693"/>
      <c r="H713" s="693"/>
      <c r="I713" s="693"/>
      <c r="J713" s="694"/>
    </row>
    <row r="714" spans="1:11" s="680" customFormat="1" x14ac:dyDescent="0.25">
      <c r="A714" s="2579" t="s">
        <v>705</v>
      </c>
      <c r="B714" s="2579"/>
      <c r="C714" s="2579"/>
      <c r="D714" s="2579"/>
      <c r="E714" s="2579"/>
      <c r="F714" s="2579"/>
      <c r="G714" s="696"/>
      <c r="H714" s="697"/>
      <c r="I714" s="698"/>
      <c r="J714" s="697" t="s">
        <v>733</v>
      </c>
    </row>
    <row r="715" spans="1:11" s="680" customFormat="1" x14ac:dyDescent="0.25">
      <c r="A715" s="2570"/>
      <c r="B715" s="2570"/>
      <c r="C715" s="2570"/>
      <c r="D715" s="2570"/>
      <c r="E715" s="2570"/>
      <c r="F715" s="2570"/>
      <c r="G715" s="699"/>
      <c r="H715" s="697"/>
      <c r="I715" s="698"/>
      <c r="J715" s="697"/>
    </row>
    <row r="716" spans="1:11" s="680" customFormat="1" x14ac:dyDescent="0.25">
      <c r="A716" s="2571" t="s">
        <v>156</v>
      </c>
      <c r="B716" s="2571"/>
      <c r="C716" s="2571"/>
      <c r="D716" s="2571"/>
      <c r="E716" s="2571"/>
      <c r="F716" s="2571"/>
      <c r="G716" s="696"/>
      <c r="H716" s="697"/>
      <c r="I716" s="698"/>
      <c r="J716" s="697" t="s">
        <v>729</v>
      </c>
    </row>
    <row r="718" spans="1:11" s="680" customFormat="1" ht="18.75" x14ac:dyDescent="0.25">
      <c r="A718" s="2542" t="s">
        <v>1296</v>
      </c>
      <c r="B718" s="2542"/>
      <c r="C718" s="2542"/>
      <c r="D718" s="2542"/>
      <c r="E718" s="2542"/>
      <c r="F718" s="2542"/>
      <c r="G718" s="2542"/>
      <c r="H718" s="2542"/>
      <c r="I718" s="2542"/>
      <c r="J718" s="2542"/>
    </row>
    <row r="719" spans="1:11" s="680" customFormat="1" ht="18.75" x14ac:dyDescent="0.25">
      <c r="A719" s="2542" t="s">
        <v>611</v>
      </c>
      <c r="B719" s="2542"/>
      <c r="C719" s="2542"/>
      <c r="D719" s="2542"/>
      <c r="E719" s="2542"/>
      <c r="F719" s="2542"/>
      <c r="G719" s="2542"/>
      <c r="H719" s="2542"/>
      <c r="I719" s="2542"/>
      <c r="J719" s="2542"/>
    </row>
    <row r="720" spans="1:11" s="680" customFormat="1" x14ac:dyDescent="0.25">
      <c r="A720" s="2569"/>
      <c r="B720" s="2569"/>
      <c r="C720" s="2569"/>
      <c r="D720" s="2569"/>
      <c r="E720" s="2569"/>
      <c r="F720" s="2569"/>
      <c r="G720" s="2569"/>
      <c r="H720" s="2569"/>
      <c r="I720" s="2569"/>
      <c r="J720" s="2569"/>
    </row>
    <row r="721" spans="1:13" s="680" customFormat="1" ht="77.25" customHeight="1" x14ac:dyDescent="0.25">
      <c r="A721" s="832" t="s">
        <v>406</v>
      </c>
      <c r="B721" s="682" t="s">
        <v>235</v>
      </c>
      <c r="C721" s="682" t="s">
        <v>234</v>
      </c>
      <c r="D721" s="832" t="s">
        <v>305</v>
      </c>
      <c r="E721" s="682" t="s">
        <v>1095</v>
      </c>
      <c r="F721" s="682" t="s">
        <v>35</v>
      </c>
      <c r="G721" s="682" t="s">
        <v>1096</v>
      </c>
      <c r="H721" s="682" t="s">
        <v>491</v>
      </c>
      <c r="I721" s="682" t="s">
        <v>492</v>
      </c>
      <c r="J721" s="682" t="s">
        <v>1097</v>
      </c>
    </row>
    <row r="722" spans="1:13" s="680" customFormat="1" x14ac:dyDescent="0.25">
      <c r="A722" s="2545" t="s">
        <v>493</v>
      </c>
      <c r="B722" s="2545"/>
      <c r="C722" s="2545"/>
      <c r="D722" s="2545"/>
      <c r="E722" s="2545"/>
      <c r="F722" s="2545"/>
      <c r="G722" s="2545"/>
      <c r="H722" s="2545"/>
      <c r="I722" s="2545"/>
      <c r="J722" s="2545"/>
    </row>
    <row r="723" spans="1:13" s="680" customFormat="1" x14ac:dyDescent="0.25">
      <c r="A723" s="833"/>
      <c r="B723" s="2562" t="s">
        <v>503</v>
      </c>
      <c r="C723" s="2572"/>
      <c r="D723" s="2572"/>
      <c r="E723" s="2572"/>
      <c r="F723" s="2572"/>
      <c r="G723" s="2572"/>
      <c r="H723" s="2572"/>
      <c r="I723" s="2572"/>
      <c r="J723" s="2573"/>
    </row>
    <row r="724" spans="1:13" s="680" customFormat="1" ht="45.75" customHeight="1" x14ac:dyDescent="0.25">
      <c r="A724" s="683" t="s">
        <v>109</v>
      </c>
      <c r="B724" s="840" t="s">
        <v>626</v>
      </c>
      <c r="C724" s="684" t="s">
        <v>67</v>
      </c>
      <c r="D724" s="840">
        <v>111</v>
      </c>
      <c r="E724" s="840">
        <v>211</v>
      </c>
      <c r="F724" s="685" t="s">
        <v>179</v>
      </c>
      <c r="G724" s="686">
        <v>144533927.69999999</v>
      </c>
      <c r="H724" s="686">
        <f>G724-6349680.19</f>
        <v>138184247.50999999</v>
      </c>
      <c r="I724" s="686">
        <f t="shared" ref="I724:I730" si="54">H724-G724</f>
        <v>-6349680.1900000004</v>
      </c>
      <c r="J724" s="2581" t="s">
        <v>1299</v>
      </c>
      <c r="K724" s="842">
        <f>6731267.66+202477</f>
        <v>6933744.6600000001</v>
      </c>
      <c r="L724" s="842">
        <f>(H724+H726)*100/130.2</f>
        <v>138184247.50999999</v>
      </c>
      <c r="M724" s="842">
        <f>G724-L724</f>
        <v>6349680.1900000004</v>
      </c>
    </row>
    <row r="725" spans="1:13" s="680" customFormat="1" ht="135" x14ac:dyDescent="0.25">
      <c r="A725" s="683" t="s">
        <v>109</v>
      </c>
      <c r="B725" s="841" t="s">
        <v>626</v>
      </c>
      <c r="C725" s="684" t="s">
        <v>67</v>
      </c>
      <c r="D725" s="841">
        <v>321</v>
      </c>
      <c r="E725" s="841">
        <v>264</v>
      </c>
      <c r="F725" s="685" t="s">
        <v>1107</v>
      </c>
      <c r="G725" s="686">
        <v>5136.45</v>
      </c>
      <c r="H725" s="686">
        <f>5136.45+20000</f>
        <v>25136.45</v>
      </c>
      <c r="I725" s="686">
        <f t="shared" si="54"/>
        <v>20000</v>
      </c>
      <c r="J725" s="2582"/>
      <c r="L725" s="842">
        <f>L724*30.2%</f>
        <v>41731642.75</v>
      </c>
      <c r="M725" s="842">
        <f>G726-L725</f>
        <v>604064.47</v>
      </c>
    </row>
    <row r="726" spans="1:13" s="680" customFormat="1" ht="43.5" customHeight="1" x14ac:dyDescent="0.25">
      <c r="A726" s="683" t="s">
        <v>109</v>
      </c>
      <c r="B726" s="840" t="s">
        <v>626</v>
      </c>
      <c r="C726" s="684" t="s">
        <v>67</v>
      </c>
      <c r="D726" s="840">
        <v>119</v>
      </c>
      <c r="E726" s="840">
        <v>213</v>
      </c>
      <c r="F726" s="685" t="s">
        <v>494</v>
      </c>
      <c r="G726" s="686">
        <v>42335707.219999999</v>
      </c>
      <c r="H726" s="686">
        <f>G726-604064.47</f>
        <v>41731642.75</v>
      </c>
      <c r="I726" s="686">
        <f t="shared" si="54"/>
        <v>-604064.47</v>
      </c>
      <c r="J726" s="2583"/>
      <c r="L726" s="842"/>
    </row>
    <row r="727" spans="1:13" s="823" customFormat="1" ht="135" x14ac:dyDescent="0.25">
      <c r="A727" s="683" t="s">
        <v>109</v>
      </c>
      <c r="B727" s="841" t="s">
        <v>626</v>
      </c>
      <c r="C727" s="684" t="s">
        <v>67</v>
      </c>
      <c r="D727" s="841">
        <v>244</v>
      </c>
      <c r="E727" s="841">
        <v>310</v>
      </c>
      <c r="F727" s="685" t="s">
        <v>1259</v>
      </c>
      <c r="G727" s="686">
        <v>25446242.850000001</v>
      </c>
      <c r="H727" s="686">
        <f>25446242.85+202477+153796+5444087.66-65270</f>
        <v>31181333.510000002</v>
      </c>
      <c r="I727" s="686">
        <f t="shared" si="54"/>
        <v>5735090.6600000001</v>
      </c>
      <c r="J727" s="707" t="s">
        <v>1306</v>
      </c>
    </row>
    <row r="728" spans="1:13" s="823" customFormat="1" ht="135" x14ac:dyDescent="0.25">
      <c r="A728" s="683" t="s">
        <v>109</v>
      </c>
      <c r="B728" s="841" t="s">
        <v>626</v>
      </c>
      <c r="C728" s="684" t="s">
        <v>67</v>
      </c>
      <c r="D728" s="841">
        <v>244</v>
      </c>
      <c r="E728" s="841">
        <v>346</v>
      </c>
      <c r="F728" s="685" t="s">
        <v>1260</v>
      </c>
      <c r="G728" s="686">
        <v>9255711.2699999996</v>
      </c>
      <c r="H728" s="686">
        <f>9255711.27+1287180</f>
        <v>10542891.27</v>
      </c>
      <c r="I728" s="686">
        <f t="shared" si="54"/>
        <v>1287180</v>
      </c>
      <c r="J728" s="707" t="s">
        <v>1262</v>
      </c>
    </row>
    <row r="729" spans="1:13" s="680" customFormat="1" ht="120" x14ac:dyDescent="0.25">
      <c r="A729" s="683" t="s">
        <v>109</v>
      </c>
      <c r="B729" s="841" t="s">
        <v>626</v>
      </c>
      <c r="C729" s="684" t="s">
        <v>67</v>
      </c>
      <c r="D729" s="841">
        <v>244</v>
      </c>
      <c r="E729" s="841">
        <v>226</v>
      </c>
      <c r="F729" s="685" t="s">
        <v>1300</v>
      </c>
      <c r="G729" s="686">
        <v>151000</v>
      </c>
      <c r="H729" s="686">
        <f>G729+300000+65270</f>
        <v>516270</v>
      </c>
      <c r="I729" s="686">
        <f t="shared" si="54"/>
        <v>365270</v>
      </c>
      <c r="J729" s="707" t="s">
        <v>1301</v>
      </c>
    </row>
    <row r="730" spans="1:13" s="680" customFormat="1" ht="60" x14ac:dyDescent="0.25">
      <c r="A730" s="683" t="s">
        <v>109</v>
      </c>
      <c r="B730" s="840" t="s">
        <v>626</v>
      </c>
      <c r="C730" s="684" t="s">
        <v>67</v>
      </c>
      <c r="D730" s="840">
        <v>244</v>
      </c>
      <c r="E730" s="840">
        <v>345</v>
      </c>
      <c r="F730" s="685" t="s">
        <v>1311</v>
      </c>
      <c r="G730" s="686">
        <v>487500</v>
      </c>
      <c r="H730" s="686">
        <v>33704</v>
      </c>
      <c r="I730" s="686">
        <f t="shared" si="54"/>
        <v>-453796</v>
      </c>
      <c r="J730" s="707" t="s">
        <v>1312</v>
      </c>
    </row>
    <row r="731" spans="1:13" s="680" customFormat="1" x14ac:dyDescent="0.25">
      <c r="A731" s="2574" t="s">
        <v>1098</v>
      </c>
      <c r="B731" s="2575"/>
      <c r="C731" s="2575"/>
      <c r="D731" s="2575"/>
      <c r="E731" s="2575"/>
      <c r="F731" s="2576"/>
      <c r="G731" s="687">
        <f>SUM(G724:G730)</f>
        <v>222215225.49000001</v>
      </c>
      <c r="H731" s="687">
        <f>SUM(H724:H730)</f>
        <v>222215225.49000001</v>
      </c>
      <c r="I731" s="687">
        <f>SUM(I724:I730)</f>
        <v>0</v>
      </c>
      <c r="J731" s="834" t="s">
        <v>82</v>
      </c>
    </row>
    <row r="732" spans="1:13" s="680" customFormat="1" x14ac:dyDescent="0.25">
      <c r="A732" s="2550" t="s">
        <v>496</v>
      </c>
      <c r="B732" s="2550"/>
      <c r="C732" s="2550"/>
      <c r="D732" s="2550"/>
      <c r="E732" s="2550"/>
      <c r="F732" s="2550"/>
      <c r="G732" s="2550"/>
      <c r="H732" s="2550"/>
      <c r="I732" s="2550"/>
      <c r="J732" s="2550"/>
    </row>
    <row r="733" spans="1:13" s="680" customFormat="1" ht="75" x14ac:dyDescent="0.25">
      <c r="A733" s="683" t="s">
        <v>109</v>
      </c>
      <c r="B733" s="843" t="s">
        <v>624</v>
      </c>
      <c r="C733" s="530" t="s">
        <v>706</v>
      </c>
      <c r="D733" s="708">
        <v>244</v>
      </c>
      <c r="E733" s="708">
        <v>227</v>
      </c>
      <c r="F733" s="685" t="s">
        <v>1315</v>
      </c>
      <c r="G733" s="686">
        <v>11071.16</v>
      </c>
      <c r="H733" s="686">
        <v>0</v>
      </c>
      <c r="I733" s="686">
        <f>H733-G733</f>
        <v>-11071.16</v>
      </c>
      <c r="J733" s="685" t="s">
        <v>1316</v>
      </c>
      <c r="K733" s="709"/>
    </row>
    <row r="734" spans="1:13" s="680" customFormat="1" ht="75" x14ac:dyDescent="0.25">
      <c r="A734" s="683" t="s">
        <v>109</v>
      </c>
      <c r="B734" s="843" t="s">
        <v>624</v>
      </c>
      <c r="C734" s="530" t="s">
        <v>706</v>
      </c>
      <c r="D734" s="708">
        <v>247</v>
      </c>
      <c r="E734" s="708">
        <v>223</v>
      </c>
      <c r="F734" s="685" t="s">
        <v>456</v>
      </c>
      <c r="G734" s="686">
        <v>2635485.86</v>
      </c>
      <c r="H734" s="686">
        <f>G734+11071.16</f>
        <v>2646557.02</v>
      </c>
      <c r="I734" s="686">
        <f>H734-G734</f>
        <v>11071.16</v>
      </c>
      <c r="J734" s="685" t="s">
        <v>1127</v>
      </c>
      <c r="K734" s="709"/>
    </row>
    <row r="735" spans="1:13" s="680" customFormat="1" x14ac:dyDescent="0.25">
      <c r="A735" s="844"/>
      <c r="B735" s="2537" t="s">
        <v>1117</v>
      </c>
      <c r="C735" s="2537"/>
      <c r="D735" s="2537"/>
      <c r="E735" s="2537"/>
      <c r="F735" s="2537"/>
      <c r="G735" s="687">
        <f>SUM(G733:G734)</f>
        <v>2646557.02</v>
      </c>
      <c r="H735" s="687">
        <f>SUM(H733:H734)</f>
        <v>2646557.02</v>
      </c>
      <c r="I735" s="687">
        <f>SUM(I733:I734)</f>
        <v>0</v>
      </c>
      <c r="J735" s="682" t="s">
        <v>82</v>
      </c>
    </row>
    <row r="736" spans="1:13" s="680" customFormat="1" x14ac:dyDescent="0.25">
      <c r="A736" s="2550" t="s">
        <v>155</v>
      </c>
      <c r="B736" s="2550"/>
      <c r="C736" s="2550"/>
      <c r="D736" s="2550"/>
      <c r="E736" s="2550"/>
      <c r="F736" s="2550"/>
      <c r="G736" s="2550"/>
      <c r="H736" s="2550"/>
      <c r="I736" s="2550"/>
      <c r="J736" s="2550"/>
    </row>
    <row r="737" spans="1:11" s="680" customFormat="1" ht="45" x14ac:dyDescent="0.25">
      <c r="A737" s="683" t="s">
        <v>109</v>
      </c>
      <c r="B737" s="541" t="s">
        <v>1298</v>
      </c>
      <c r="C737" s="684" t="s">
        <v>34</v>
      </c>
      <c r="D737" s="708">
        <v>244</v>
      </c>
      <c r="E737" s="708">
        <v>226</v>
      </c>
      <c r="F737" s="685" t="s">
        <v>460</v>
      </c>
      <c r="G737" s="686">
        <v>2142846.34</v>
      </c>
      <c r="H737" s="686">
        <f>G737-30000</f>
        <v>2112846.34</v>
      </c>
      <c r="I737" s="686">
        <f>H737-G737</f>
        <v>-30000</v>
      </c>
      <c r="J737" s="685" t="s">
        <v>1313</v>
      </c>
      <c r="K737" s="709"/>
    </row>
    <row r="738" spans="1:11" s="680" customFormat="1" ht="45" x14ac:dyDescent="0.25">
      <c r="A738" s="683" t="s">
        <v>109</v>
      </c>
      <c r="B738" s="541" t="s">
        <v>1298</v>
      </c>
      <c r="C738" s="684" t="s">
        <v>34</v>
      </c>
      <c r="D738" s="708">
        <v>853</v>
      </c>
      <c r="E738" s="708">
        <v>295</v>
      </c>
      <c r="F738" s="685" t="s">
        <v>1294</v>
      </c>
      <c r="G738" s="686">
        <v>0</v>
      </c>
      <c r="H738" s="686">
        <v>30000</v>
      </c>
      <c r="I738" s="686">
        <f>H738-G738</f>
        <v>30000</v>
      </c>
      <c r="J738" s="685" t="s">
        <v>1297</v>
      </c>
      <c r="K738" s="709"/>
    </row>
    <row r="739" spans="1:11" s="680" customFormat="1" x14ac:dyDescent="0.25">
      <c r="A739" s="2574" t="s">
        <v>1125</v>
      </c>
      <c r="B739" s="2580"/>
      <c r="C739" s="2580"/>
      <c r="D739" s="2580"/>
      <c r="E739" s="2580"/>
      <c r="F739" s="2576"/>
      <c r="G739" s="687">
        <f>SUM(G737:G738)</f>
        <v>2142846.34</v>
      </c>
      <c r="H739" s="687">
        <f>SUM(H737:H738)</f>
        <v>2142846.34</v>
      </c>
      <c r="I739" s="687">
        <f>SUM(I737:I738)</f>
        <v>0</v>
      </c>
      <c r="J739" s="834"/>
    </row>
    <row r="740" spans="1:11" s="680" customFormat="1" x14ac:dyDescent="0.25">
      <c r="A740" s="2550" t="s">
        <v>1099</v>
      </c>
      <c r="B740" s="2550"/>
      <c r="C740" s="2550"/>
      <c r="D740" s="2550"/>
      <c r="E740" s="2550"/>
      <c r="F740" s="2550"/>
      <c r="G740" s="2550"/>
      <c r="H740" s="2550"/>
      <c r="I740" s="2550"/>
      <c r="J740" s="2550"/>
    </row>
    <row r="741" spans="1:11" s="680" customFormat="1" ht="60" x14ac:dyDescent="0.25">
      <c r="A741" s="683" t="s">
        <v>109</v>
      </c>
      <c r="B741" s="541" t="s">
        <v>1298</v>
      </c>
      <c r="C741" s="684" t="s">
        <v>142</v>
      </c>
      <c r="D741" s="708">
        <v>244</v>
      </c>
      <c r="E741" s="708">
        <v>226</v>
      </c>
      <c r="F741" s="685" t="s">
        <v>460</v>
      </c>
      <c r="G741" s="686">
        <v>174473.25</v>
      </c>
      <c r="H741" s="686">
        <v>0</v>
      </c>
      <c r="I741" s="686">
        <f>H741-G741</f>
        <v>-174473.25</v>
      </c>
      <c r="J741" s="685" t="s">
        <v>1314</v>
      </c>
      <c r="K741" s="709"/>
    </row>
    <row r="742" spans="1:11" s="680" customFormat="1" ht="30" x14ac:dyDescent="0.25">
      <c r="A742" s="683" t="s">
        <v>109</v>
      </c>
      <c r="B742" s="541" t="s">
        <v>1298</v>
      </c>
      <c r="C742" s="684" t="s">
        <v>142</v>
      </c>
      <c r="D742" s="708">
        <v>247</v>
      </c>
      <c r="E742" s="708">
        <v>223</v>
      </c>
      <c r="F742" s="685" t="s">
        <v>456</v>
      </c>
      <c r="G742" s="686">
        <v>6171434.5899999999</v>
      </c>
      <c r="H742" s="686">
        <f>G742+174473.25</f>
        <v>6345907.8399999999</v>
      </c>
      <c r="I742" s="686">
        <f>H742-G742</f>
        <v>174473.25</v>
      </c>
      <c r="J742" s="685" t="s">
        <v>1127</v>
      </c>
      <c r="K742" s="709"/>
    </row>
    <row r="743" spans="1:11" s="680" customFormat="1" x14ac:dyDescent="0.25">
      <c r="A743" s="2574" t="s">
        <v>1104</v>
      </c>
      <c r="B743" s="2580"/>
      <c r="C743" s="2580"/>
      <c r="D743" s="2580"/>
      <c r="E743" s="2580"/>
      <c r="F743" s="2576"/>
      <c r="G743" s="687">
        <f>SUM(G741:G742)</f>
        <v>6345907.8399999999</v>
      </c>
      <c r="H743" s="687">
        <f>SUM(H741:H742)</f>
        <v>6345907.8399999999</v>
      </c>
      <c r="I743" s="687">
        <f>SUM(I741:I742)</f>
        <v>0</v>
      </c>
      <c r="J743" s="839"/>
    </row>
    <row r="744" spans="1:11" s="680" customFormat="1" x14ac:dyDescent="0.25">
      <c r="A744" s="2577" t="s">
        <v>160</v>
      </c>
      <c r="B744" s="2578"/>
      <c r="C744" s="2578"/>
      <c r="D744" s="2578"/>
      <c r="E744" s="2578"/>
      <c r="F744" s="687" t="s">
        <v>82</v>
      </c>
      <c r="G744" s="687">
        <f>G731+G739+G743+G735</f>
        <v>233350536.69</v>
      </c>
      <c r="H744" s="687">
        <f>H731+H739+H743+H735</f>
        <v>233350536.69</v>
      </c>
      <c r="I744" s="687">
        <f>I731+I739+I743+I735</f>
        <v>0</v>
      </c>
      <c r="J744" s="834" t="s">
        <v>82</v>
      </c>
    </row>
    <row r="745" spans="1:11" s="680" customFormat="1" x14ac:dyDescent="0.25">
      <c r="A745" s="691"/>
      <c r="B745" s="692"/>
      <c r="C745" s="692"/>
      <c r="D745" s="692"/>
      <c r="E745" s="692"/>
      <c r="F745" s="693"/>
      <c r="G745" s="693"/>
      <c r="H745" s="693"/>
      <c r="I745" s="693"/>
      <c r="J745" s="694"/>
    </row>
    <row r="746" spans="1:11" s="680" customFormat="1" x14ac:dyDescent="0.25">
      <c r="A746" s="2579" t="s">
        <v>705</v>
      </c>
      <c r="B746" s="2579"/>
      <c r="C746" s="2579"/>
      <c r="D746" s="2579"/>
      <c r="E746" s="2579"/>
      <c r="F746" s="2579"/>
      <c r="G746" s="696"/>
      <c r="H746" s="697"/>
      <c r="I746" s="698"/>
      <c r="J746" s="697" t="s">
        <v>733</v>
      </c>
    </row>
    <row r="747" spans="1:11" s="680" customFormat="1" x14ac:dyDescent="0.25">
      <c r="A747" s="2570"/>
      <c r="B747" s="2570"/>
      <c r="C747" s="2570"/>
      <c r="D747" s="2570"/>
      <c r="E747" s="2570"/>
      <c r="F747" s="2570"/>
      <c r="G747" s="699"/>
      <c r="H747" s="697"/>
      <c r="I747" s="698"/>
      <c r="J747" s="697"/>
    </row>
    <row r="748" spans="1:11" s="680" customFormat="1" x14ac:dyDescent="0.25">
      <c r="A748" s="2571" t="s">
        <v>156</v>
      </c>
      <c r="B748" s="2571"/>
      <c r="C748" s="2571"/>
      <c r="D748" s="2571"/>
      <c r="E748" s="2571"/>
      <c r="F748" s="2571"/>
      <c r="G748" s="696"/>
      <c r="H748" s="697"/>
      <c r="I748" s="698"/>
      <c r="J748" s="697" t="s">
        <v>729</v>
      </c>
    </row>
    <row r="750" spans="1:11" s="680" customFormat="1" ht="18.75" x14ac:dyDescent="0.25">
      <c r="A750" s="2542" t="s">
        <v>1321</v>
      </c>
      <c r="B750" s="2542"/>
      <c r="C750" s="2542"/>
      <c r="D750" s="2542"/>
      <c r="E750" s="2542"/>
      <c r="F750" s="2542"/>
      <c r="G750" s="2542"/>
      <c r="H750" s="2542"/>
      <c r="I750" s="2542"/>
      <c r="J750" s="2542"/>
    </row>
    <row r="751" spans="1:11" s="680" customFormat="1" ht="18.75" x14ac:dyDescent="0.25">
      <c r="A751" s="2542" t="s">
        <v>1317</v>
      </c>
      <c r="B751" s="2542"/>
      <c r="C751" s="2542"/>
      <c r="D751" s="2542"/>
      <c r="E751" s="2542"/>
      <c r="F751" s="2542"/>
      <c r="G751" s="2542"/>
      <c r="H751" s="2542"/>
      <c r="I751" s="2542"/>
      <c r="J751" s="2542"/>
    </row>
    <row r="752" spans="1:11" s="680" customFormat="1" ht="18.75" x14ac:dyDescent="0.25">
      <c r="A752" s="2542" t="s">
        <v>611</v>
      </c>
      <c r="B752" s="2542"/>
      <c r="C752" s="2542"/>
      <c r="D752" s="2542"/>
      <c r="E752" s="2542"/>
      <c r="F752" s="2542"/>
      <c r="G752" s="2542"/>
      <c r="H752" s="2542"/>
      <c r="I752" s="2542"/>
      <c r="J752" s="2542"/>
    </row>
    <row r="753" spans="1:10" s="680" customFormat="1" x14ac:dyDescent="0.25">
      <c r="A753" s="2569"/>
      <c r="B753" s="2569"/>
      <c r="C753" s="2569"/>
      <c r="D753" s="2569"/>
      <c r="E753" s="2569"/>
      <c r="F753" s="2569"/>
      <c r="G753" s="2569"/>
      <c r="H753" s="2569"/>
      <c r="I753" s="2569"/>
      <c r="J753" s="2569"/>
    </row>
    <row r="754" spans="1:10" s="680" customFormat="1" ht="77.25" customHeight="1" x14ac:dyDescent="0.25">
      <c r="A754" s="846" t="s">
        <v>406</v>
      </c>
      <c r="B754" s="682" t="s">
        <v>235</v>
      </c>
      <c r="C754" s="682" t="s">
        <v>234</v>
      </c>
      <c r="D754" s="846" t="s">
        <v>305</v>
      </c>
      <c r="E754" s="682" t="s">
        <v>1095</v>
      </c>
      <c r="F754" s="682" t="s">
        <v>35</v>
      </c>
      <c r="G754" s="682" t="s">
        <v>1096</v>
      </c>
      <c r="H754" s="682" t="s">
        <v>491</v>
      </c>
      <c r="I754" s="682" t="s">
        <v>492</v>
      </c>
      <c r="J754" s="682" t="s">
        <v>1097</v>
      </c>
    </row>
    <row r="755" spans="1:10" s="680" customFormat="1" x14ac:dyDescent="0.25">
      <c r="A755" s="2545" t="s">
        <v>493</v>
      </c>
      <c r="B755" s="2545"/>
      <c r="C755" s="2545"/>
      <c r="D755" s="2545"/>
      <c r="E755" s="2545"/>
      <c r="F755" s="2545"/>
      <c r="G755" s="2545"/>
      <c r="H755" s="2545"/>
      <c r="I755" s="2545"/>
      <c r="J755" s="2545"/>
    </row>
    <row r="756" spans="1:10" x14ac:dyDescent="0.25">
      <c r="A756" s="2550" t="s">
        <v>496</v>
      </c>
      <c r="B756" s="2550"/>
      <c r="C756" s="2550"/>
      <c r="D756" s="2550"/>
      <c r="E756" s="2550"/>
      <c r="F756" s="2550"/>
      <c r="G756" s="2550"/>
      <c r="H756" s="2550"/>
      <c r="I756" s="2550"/>
      <c r="J756" s="2550"/>
    </row>
    <row r="757" spans="1:10" ht="45" x14ac:dyDescent="0.25">
      <c r="A757" s="683" t="s">
        <v>109</v>
      </c>
      <c r="B757" s="846" t="s">
        <v>624</v>
      </c>
      <c r="C757" s="684" t="s">
        <v>91</v>
      </c>
      <c r="D757" s="708">
        <v>851</v>
      </c>
      <c r="E757" s="708">
        <v>291</v>
      </c>
      <c r="F757" s="685" t="s">
        <v>1319</v>
      </c>
      <c r="G757" s="686">
        <v>25730701.210000001</v>
      </c>
      <c r="H757" s="686">
        <f>G757-838959.21</f>
        <v>24891742</v>
      </c>
      <c r="I757" s="686">
        <f>H757-G757</f>
        <v>-838959.21</v>
      </c>
      <c r="J757" s="685" t="s">
        <v>1320</v>
      </c>
    </row>
    <row r="758" spans="1:10" s="848" customFormat="1" ht="105" x14ac:dyDescent="0.25">
      <c r="A758" s="683" t="s">
        <v>109</v>
      </c>
      <c r="B758" s="846" t="s">
        <v>624</v>
      </c>
      <c r="C758" s="684" t="s">
        <v>91</v>
      </c>
      <c r="D758" s="708">
        <v>244</v>
      </c>
      <c r="E758" s="708">
        <v>226</v>
      </c>
      <c r="F758" s="685" t="s">
        <v>1318</v>
      </c>
      <c r="G758" s="686">
        <v>383288.67</v>
      </c>
      <c r="H758" s="686">
        <f>G758+15453.33</f>
        <v>398742</v>
      </c>
      <c r="I758" s="686">
        <f>H758-G758</f>
        <v>15453.33</v>
      </c>
      <c r="J758" s="685" t="s">
        <v>1322</v>
      </c>
    </row>
    <row r="759" spans="1:10" ht="75" x14ac:dyDescent="0.25">
      <c r="A759" s="683" t="s">
        <v>109</v>
      </c>
      <c r="B759" s="846" t="s">
        <v>624</v>
      </c>
      <c r="C759" s="530" t="s">
        <v>706</v>
      </c>
      <c r="D759" s="708">
        <v>247</v>
      </c>
      <c r="E759" s="708">
        <v>223</v>
      </c>
      <c r="F759" s="685" t="s">
        <v>456</v>
      </c>
      <c r="G759" s="686">
        <v>2646557.02</v>
      </c>
      <c r="H759" s="686">
        <f>G759+823505.88</f>
        <v>3470062.9</v>
      </c>
      <c r="I759" s="686">
        <f>H759-G759</f>
        <v>823505.88</v>
      </c>
      <c r="J759" s="685" t="s">
        <v>1127</v>
      </c>
    </row>
    <row r="760" spans="1:10" x14ac:dyDescent="0.25">
      <c r="A760" s="847"/>
      <c r="B760" s="2537" t="s">
        <v>1117</v>
      </c>
      <c r="C760" s="2537"/>
      <c r="D760" s="2537"/>
      <c r="E760" s="2537"/>
      <c r="F760" s="2537"/>
      <c r="G760" s="687">
        <f>SUM(G757:G759)</f>
        <v>28760546.899999999</v>
      </c>
      <c r="H760" s="687">
        <f>SUM(H757:H759)</f>
        <v>28760546.899999999</v>
      </c>
      <c r="I760" s="687">
        <f>SUM(I757:I759)</f>
        <v>0</v>
      </c>
      <c r="J760" s="682" t="s">
        <v>82</v>
      </c>
    </row>
    <row r="761" spans="1:10" x14ac:dyDescent="0.25">
      <c r="A761" s="2577" t="s">
        <v>160</v>
      </c>
      <c r="B761" s="2578"/>
      <c r="C761" s="2578"/>
      <c r="D761" s="2578"/>
      <c r="E761" s="2578"/>
      <c r="F761" s="687" t="s">
        <v>82</v>
      </c>
      <c r="G761" s="687">
        <f>G746+G755+G760+G750</f>
        <v>28760546.899999999</v>
      </c>
      <c r="H761" s="687">
        <f>H746+H755+H760+H750</f>
        <v>28760546.899999999</v>
      </c>
      <c r="I761" s="687">
        <f>I746+I755+I760+I750</f>
        <v>0</v>
      </c>
      <c r="J761" s="845" t="s">
        <v>82</v>
      </c>
    </row>
    <row r="763" spans="1:10" x14ac:dyDescent="0.25">
      <c r="A763" s="2579" t="s">
        <v>705</v>
      </c>
      <c r="B763" s="2579"/>
      <c r="C763" s="2579"/>
      <c r="D763" s="2579"/>
      <c r="E763" s="2579"/>
      <c r="F763" s="2579"/>
      <c r="G763" s="696"/>
      <c r="H763" s="697"/>
      <c r="I763" s="698"/>
      <c r="J763" s="697" t="s">
        <v>733</v>
      </c>
    </row>
    <row r="764" spans="1:10" x14ac:dyDescent="0.25">
      <c r="A764" s="2570"/>
      <c r="B764" s="2570"/>
      <c r="C764" s="2570"/>
      <c r="D764" s="2570"/>
      <c r="E764" s="2570"/>
      <c r="F764" s="2570"/>
      <c r="G764" s="699"/>
      <c r="H764" s="697"/>
      <c r="I764" s="698"/>
      <c r="J764" s="697"/>
    </row>
    <row r="765" spans="1:10" x14ac:dyDescent="0.25">
      <c r="A765" s="2571" t="s">
        <v>156</v>
      </c>
      <c r="B765" s="2571"/>
      <c r="C765" s="2571"/>
      <c r="D765" s="2571"/>
      <c r="E765" s="2571"/>
      <c r="F765" s="2571"/>
      <c r="G765" s="696"/>
      <c r="H765" s="697"/>
      <c r="I765" s="698"/>
      <c r="J765" s="697" t="s">
        <v>729</v>
      </c>
    </row>
    <row r="767" spans="1:10" s="680" customFormat="1" ht="18.75" x14ac:dyDescent="0.25">
      <c r="A767" s="2542" t="s">
        <v>1331</v>
      </c>
      <c r="B767" s="2542"/>
      <c r="C767" s="2542"/>
      <c r="D767" s="2542"/>
      <c r="E767" s="2542"/>
      <c r="F767" s="2542"/>
      <c r="G767" s="2542"/>
      <c r="H767" s="2542"/>
      <c r="I767" s="2542"/>
      <c r="J767" s="2542"/>
    </row>
    <row r="768" spans="1:10" s="680" customFormat="1" ht="18.75" x14ac:dyDescent="0.25">
      <c r="A768" s="2542" t="s">
        <v>1317</v>
      </c>
      <c r="B768" s="2542"/>
      <c r="C768" s="2542"/>
      <c r="D768" s="2542"/>
      <c r="E768" s="2542"/>
      <c r="F768" s="2542"/>
      <c r="G768" s="2542"/>
      <c r="H768" s="2542"/>
      <c r="I768" s="2542"/>
      <c r="J768" s="2542"/>
    </row>
    <row r="769" spans="1:11" s="680" customFormat="1" ht="18.75" x14ac:dyDescent="0.25">
      <c r="A769" s="2542" t="s">
        <v>611</v>
      </c>
      <c r="B769" s="2542"/>
      <c r="C769" s="2542"/>
      <c r="D769" s="2542"/>
      <c r="E769" s="2542"/>
      <c r="F769" s="2542"/>
      <c r="G769" s="2542"/>
      <c r="H769" s="2542"/>
      <c r="I769" s="2542"/>
      <c r="J769" s="2542"/>
    </row>
    <row r="770" spans="1:11" s="680" customFormat="1" x14ac:dyDescent="0.25">
      <c r="A770" s="2569"/>
      <c r="B770" s="2569"/>
      <c r="C770" s="2569"/>
      <c r="D770" s="2569"/>
      <c r="E770" s="2569"/>
      <c r="F770" s="2569"/>
      <c r="G770" s="2569"/>
      <c r="H770" s="2569"/>
      <c r="I770" s="2569"/>
      <c r="J770" s="2569"/>
    </row>
    <row r="771" spans="1:11" s="680" customFormat="1" ht="77.25" customHeight="1" x14ac:dyDescent="0.25">
      <c r="A771" s="851" t="s">
        <v>406</v>
      </c>
      <c r="B771" s="682" t="s">
        <v>235</v>
      </c>
      <c r="C771" s="682" t="s">
        <v>234</v>
      </c>
      <c r="D771" s="851" t="s">
        <v>305</v>
      </c>
      <c r="E771" s="682" t="s">
        <v>1095</v>
      </c>
      <c r="F771" s="682" t="s">
        <v>35</v>
      </c>
      <c r="G771" s="682" t="s">
        <v>1096</v>
      </c>
      <c r="H771" s="682" t="s">
        <v>491</v>
      </c>
      <c r="I771" s="682" t="s">
        <v>492</v>
      </c>
      <c r="J771" s="682" t="s">
        <v>1097</v>
      </c>
    </row>
    <row r="772" spans="1:11" s="680" customFormat="1" x14ac:dyDescent="0.25">
      <c r="A772" s="2545" t="s">
        <v>493</v>
      </c>
      <c r="B772" s="2545"/>
      <c r="C772" s="2545"/>
      <c r="D772" s="2545"/>
      <c r="E772" s="2545"/>
      <c r="F772" s="2545"/>
      <c r="G772" s="2545"/>
      <c r="H772" s="2545"/>
      <c r="I772" s="2545"/>
      <c r="J772" s="2545"/>
    </row>
    <row r="773" spans="1:11" s="853" customFormat="1" x14ac:dyDescent="0.25">
      <c r="A773" s="2550" t="s">
        <v>496</v>
      </c>
      <c r="B773" s="2550"/>
      <c r="C773" s="2550"/>
      <c r="D773" s="2550"/>
      <c r="E773" s="2550"/>
      <c r="F773" s="2550"/>
      <c r="G773" s="2550"/>
      <c r="H773" s="2550"/>
      <c r="I773" s="2550"/>
      <c r="J773" s="2550"/>
    </row>
    <row r="774" spans="1:11" s="853" customFormat="1" ht="45" x14ac:dyDescent="0.25">
      <c r="A774" s="683" t="s">
        <v>109</v>
      </c>
      <c r="B774" s="856" t="s">
        <v>624</v>
      </c>
      <c r="C774" s="684" t="s">
        <v>91</v>
      </c>
      <c r="D774" s="708">
        <v>851</v>
      </c>
      <c r="E774" s="708">
        <v>291</v>
      </c>
      <c r="F774" s="685" t="s">
        <v>1319</v>
      </c>
      <c r="G774" s="686">
        <v>24891742</v>
      </c>
      <c r="H774" s="686">
        <f>G774-1667041-32959</f>
        <v>23191742</v>
      </c>
      <c r="I774" s="686">
        <f>H774-G774</f>
        <v>-1700000</v>
      </c>
      <c r="J774" s="685" t="s">
        <v>1320</v>
      </c>
    </row>
    <row r="775" spans="1:11" s="853" customFormat="1" ht="64.5" customHeight="1" x14ac:dyDescent="0.25">
      <c r="A775" s="683" t="s">
        <v>109</v>
      </c>
      <c r="B775" s="851" t="s">
        <v>624</v>
      </c>
      <c r="C775" s="684" t="s">
        <v>91</v>
      </c>
      <c r="D775" s="708">
        <v>244</v>
      </c>
      <c r="E775" s="708">
        <v>223</v>
      </c>
      <c r="F775" s="685" t="s">
        <v>456</v>
      </c>
      <c r="G775" s="686">
        <v>944690.5</v>
      </c>
      <c r="H775" s="686">
        <f>G775+71640.73+208183.46+0.31</f>
        <v>1224515</v>
      </c>
      <c r="I775" s="686">
        <f>H775-G775</f>
        <v>279824.5</v>
      </c>
      <c r="J775" s="685" t="s">
        <v>1329</v>
      </c>
    </row>
    <row r="776" spans="1:11" s="853" customFormat="1" ht="34.5" customHeight="1" x14ac:dyDescent="0.25">
      <c r="A776" s="683" t="s">
        <v>109</v>
      </c>
      <c r="B776" s="851" t="s">
        <v>624</v>
      </c>
      <c r="C776" s="530" t="s">
        <v>706</v>
      </c>
      <c r="D776" s="708">
        <v>247</v>
      </c>
      <c r="E776" s="708">
        <v>223</v>
      </c>
      <c r="F776" s="685" t="s">
        <v>456</v>
      </c>
      <c r="G776" s="686">
        <v>3470062.9</v>
      </c>
      <c r="H776" s="686">
        <f>G776+81694.13+945409.19+360113.08+0.1+32959</f>
        <v>4890238.4000000004</v>
      </c>
      <c r="I776" s="686">
        <f>H776-G776</f>
        <v>1420175.5</v>
      </c>
      <c r="J776" s="685" t="s">
        <v>1330</v>
      </c>
    </row>
    <row r="777" spans="1:11" s="853" customFormat="1" x14ac:dyDescent="0.25">
      <c r="A777" s="852"/>
      <c r="B777" s="2537" t="s">
        <v>1117</v>
      </c>
      <c r="C777" s="2537"/>
      <c r="D777" s="2537"/>
      <c r="E777" s="2537"/>
      <c r="F777" s="2537"/>
      <c r="G777" s="687">
        <f>SUM(G774:G776)</f>
        <v>29306495.399999999</v>
      </c>
      <c r="H777" s="687">
        <f>SUM(H774:H776)</f>
        <v>29306495.399999999</v>
      </c>
      <c r="I777" s="687">
        <f>SUM(I774:I776)</f>
        <v>0</v>
      </c>
      <c r="J777" s="682" t="s">
        <v>82</v>
      </c>
    </row>
    <row r="778" spans="1:11" s="680" customFormat="1" x14ac:dyDescent="0.25">
      <c r="A778" s="2550" t="s">
        <v>155</v>
      </c>
      <c r="B778" s="2550"/>
      <c r="C778" s="2550"/>
      <c r="D778" s="2550"/>
      <c r="E778" s="2550"/>
      <c r="F778" s="2550"/>
      <c r="G778" s="2550"/>
      <c r="H778" s="2550"/>
      <c r="I778" s="2550"/>
      <c r="J778" s="2550"/>
    </row>
    <row r="779" spans="1:11" s="680" customFormat="1" ht="60" x14ac:dyDescent="0.25">
      <c r="A779" s="683" t="s">
        <v>109</v>
      </c>
      <c r="B779" s="541" t="s">
        <v>1298</v>
      </c>
      <c r="C779" s="684" t="s">
        <v>34</v>
      </c>
      <c r="D779" s="708">
        <v>244</v>
      </c>
      <c r="E779" s="708">
        <v>225</v>
      </c>
      <c r="F779" s="685" t="s">
        <v>457</v>
      </c>
      <c r="G779" s="686">
        <v>1100451.1000000001</v>
      </c>
      <c r="H779" s="686">
        <f>G779+92008</f>
        <v>1192459.1000000001</v>
      </c>
      <c r="I779" s="686">
        <f>H779-G779</f>
        <v>92008</v>
      </c>
      <c r="J779" s="685" t="s">
        <v>1323</v>
      </c>
      <c r="K779" s="709"/>
    </row>
    <row r="780" spans="1:11" s="680" customFormat="1" ht="60" x14ac:dyDescent="0.25">
      <c r="A780" s="683" t="s">
        <v>109</v>
      </c>
      <c r="B780" s="541" t="s">
        <v>1298</v>
      </c>
      <c r="C780" s="684" t="s">
        <v>34</v>
      </c>
      <c r="D780" s="708">
        <v>244</v>
      </c>
      <c r="E780" s="708">
        <v>310</v>
      </c>
      <c r="F780" s="685" t="s">
        <v>458</v>
      </c>
      <c r="G780" s="686">
        <v>100000</v>
      </c>
      <c r="H780" s="686">
        <f>G780-92008</f>
        <v>7992</v>
      </c>
      <c r="I780" s="686">
        <f>H780-G780</f>
        <v>-92008</v>
      </c>
      <c r="J780" s="685" t="s">
        <v>1132</v>
      </c>
      <c r="K780" s="709"/>
    </row>
    <row r="781" spans="1:11" s="680" customFormat="1" x14ac:dyDescent="0.25">
      <c r="A781" s="2574" t="s">
        <v>1125</v>
      </c>
      <c r="B781" s="2580"/>
      <c r="C781" s="2580"/>
      <c r="D781" s="2580"/>
      <c r="E781" s="2580"/>
      <c r="F781" s="2576"/>
      <c r="G781" s="687">
        <f>SUM(G779:G780)</f>
        <v>1200451.1000000001</v>
      </c>
      <c r="H781" s="687">
        <f>SUM(H779:H780)</f>
        <v>1200451.1000000001</v>
      </c>
      <c r="I781" s="687">
        <f>SUM(I779:I780)</f>
        <v>0</v>
      </c>
      <c r="J781" s="850"/>
    </row>
    <row r="782" spans="1:11" s="853" customFormat="1" x14ac:dyDescent="0.25">
      <c r="A782" s="2550" t="s">
        <v>1099</v>
      </c>
      <c r="B782" s="2550"/>
      <c r="C782" s="2550"/>
      <c r="D782" s="2550"/>
      <c r="E782" s="2550"/>
      <c r="F782" s="2550"/>
      <c r="G782" s="2550"/>
      <c r="H782" s="2550"/>
      <c r="I782" s="2550"/>
      <c r="J782" s="2550"/>
    </row>
    <row r="783" spans="1:11" s="853" customFormat="1" ht="75" x14ac:dyDescent="0.25">
      <c r="A783" s="683" t="s">
        <v>109</v>
      </c>
      <c r="B783" s="541" t="s">
        <v>1298</v>
      </c>
      <c r="C783" s="684" t="s">
        <v>142</v>
      </c>
      <c r="D783" s="708">
        <v>244</v>
      </c>
      <c r="E783" s="708">
        <v>343</v>
      </c>
      <c r="F783" s="685" t="s">
        <v>449</v>
      </c>
      <c r="G783" s="686">
        <v>11319</v>
      </c>
      <c r="H783" s="686">
        <v>26619.87</v>
      </c>
      <c r="I783" s="686">
        <f>H783-G783</f>
        <v>15300.87</v>
      </c>
      <c r="J783" s="685" t="s">
        <v>1128</v>
      </c>
    </row>
    <row r="784" spans="1:11" s="853" customFormat="1" ht="30" x14ac:dyDescent="0.25">
      <c r="A784" s="683" t="s">
        <v>109</v>
      </c>
      <c r="B784" s="541" t="s">
        <v>1298</v>
      </c>
      <c r="C784" s="684" t="s">
        <v>142</v>
      </c>
      <c r="D784" s="708">
        <v>247</v>
      </c>
      <c r="E784" s="708">
        <v>223</v>
      </c>
      <c r="F784" s="685" t="s">
        <v>456</v>
      </c>
      <c r="G784" s="686">
        <v>6345907.8399999999</v>
      </c>
      <c r="H784" s="686">
        <f>G784-15300.87</f>
        <v>6330606.9699999997</v>
      </c>
      <c r="I784" s="686">
        <f>H784-G784</f>
        <v>-15300.87</v>
      </c>
      <c r="J784" s="685" t="s">
        <v>1324</v>
      </c>
    </row>
    <row r="785" spans="1:10" s="853" customFormat="1" x14ac:dyDescent="0.25">
      <c r="A785" s="2574" t="s">
        <v>1104</v>
      </c>
      <c r="B785" s="2580"/>
      <c r="C785" s="2580"/>
      <c r="D785" s="2580"/>
      <c r="E785" s="2580"/>
      <c r="F785" s="2576"/>
      <c r="G785" s="687">
        <f>SUM(G783:G784)</f>
        <v>6357226.8399999999</v>
      </c>
      <c r="H785" s="687">
        <f>SUM(H783:H784)</f>
        <v>6357226.8399999999</v>
      </c>
      <c r="I785" s="687">
        <f>SUM(I783:I784)</f>
        <v>0</v>
      </c>
      <c r="J785" s="850"/>
    </row>
    <row r="786" spans="1:10" s="853" customFormat="1" x14ac:dyDescent="0.25">
      <c r="A786" s="2577" t="s">
        <v>160</v>
      </c>
      <c r="B786" s="2578"/>
      <c r="C786" s="2578"/>
      <c r="D786" s="2578"/>
      <c r="E786" s="2578"/>
      <c r="F786" s="687" t="s">
        <v>82</v>
      </c>
      <c r="G786" s="687">
        <f>G777+G781+G785</f>
        <v>36864173.340000004</v>
      </c>
      <c r="H786" s="687">
        <f>H777+H781+H785</f>
        <v>36864173.340000004</v>
      </c>
      <c r="I786" s="687">
        <f>I777+I781+I785</f>
        <v>0</v>
      </c>
      <c r="J786" s="850" t="s">
        <v>82</v>
      </c>
    </row>
    <row r="787" spans="1:10" s="853" customFormat="1" x14ac:dyDescent="0.25"/>
    <row r="788" spans="1:10" s="853" customFormat="1" x14ac:dyDescent="0.25">
      <c r="A788" s="2579" t="s">
        <v>705</v>
      </c>
      <c r="B788" s="2579"/>
      <c r="C788" s="2579"/>
      <c r="D788" s="2579"/>
      <c r="E788" s="2579"/>
      <c r="F788" s="2579"/>
      <c r="G788" s="696"/>
      <c r="H788" s="697"/>
      <c r="I788" s="698"/>
      <c r="J788" s="697" t="s">
        <v>733</v>
      </c>
    </row>
    <row r="789" spans="1:10" s="853" customFormat="1" x14ac:dyDescent="0.25">
      <c r="A789" s="2570"/>
      <c r="B789" s="2570"/>
      <c r="C789" s="2570"/>
      <c r="D789" s="2570"/>
      <c r="E789" s="2570"/>
      <c r="F789" s="2570"/>
      <c r="G789" s="699"/>
      <c r="H789" s="697"/>
      <c r="I789" s="698"/>
      <c r="J789" s="697"/>
    </row>
    <row r="790" spans="1:10" s="853" customFormat="1" x14ac:dyDescent="0.25">
      <c r="A790" s="2571" t="s">
        <v>156</v>
      </c>
      <c r="B790" s="2571"/>
      <c r="C790" s="2571"/>
      <c r="D790" s="2571"/>
      <c r="E790" s="2571"/>
      <c r="F790" s="2571"/>
      <c r="G790" s="696"/>
      <c r="H790" s="697"/>
      <c r="I790" s="698"/>
      <c r="J790" s="697" t="s">
        <v>729</v>
      </c>
    </row>
    <row r="792" spans="1:10" s="680" customFormat="1" ht="18.75" x14ac:dyDescent="0.25">
      <c r="A792" s="2542" t="s">
        <v>1341</v>
      </c>
      <c r="B792" s="2542"/>
      <c r="C792" s="2542"/>
      <c r="D792" s="2542"/>
      <c r="E792" s="2542"/>
      <c r="F792" s="2542"/>
      <c r="G792" s="2542"/>
      <c r="H792" s="2542"/>
      <c r="I792" s="2542"/>
      <c r="J792" s="2542"/>
    </row>
    <row r="793" spans="1:10" s="680" customFormat="1" ht="18.75" x14ac:dyDescent="0.25">
      <c r="A793" s="2542" t="s">
        <v>1317</v>
      </c>
      <c r="B793" s="2542"/>
      <c r="C793" s="2542"/>
      <c r="D793" s="2542"/>
      <c r="E793" s="2542"/>
      <c r="F793" s="2542"/>
      <c r="G793" s="2542"/>
      <c r="H793" s="2542"/>
      <c r="I793" s="2542"/>
      <c r="J793" s="2542"/>
    </row>
    <row r="794" spans="1:10" s="680" customFormat="1" ht="18.75" x14ac:dyDescent="0.25">
      <c r="A794" s="2542" t="s">
        <v>611</v>
      </c>
      <c r="B794" s="2542"/>
      <c r="C794" s="2542"/>
      <c r="D794" s="2542"/>
      <c r="E794" s="2542"/>
      <c r="F794" s="2542"/>
      <c r="G794" s="2542"/>
      <c r="H794" s="2542"/>
      <c r="I794" s="2542"/>
      <c r="J794" s="2542"/>
    </row>
    <row r="795" spans="1:10" s="680" customFormat="1" x14ac:dyDescent="0.25">
      <c r="A795" s="2569"/>
      <c r="B795" s="2569"/>
      <c r="C795" s="2569"/>
      <c r="D795" s="2569"/>
      <c r="E795" s="2569"/>
      <c r="F795" s="2569"/>
      <c r="G795" s="2569"/>
      <c r="H795" s="2569"/>
      <c r="I795" s="2569"/>
      <c r="J795" s="2569"/>
    </row>
    <row r="796" spans="1:10" s="680" customFormat="1" ht="77.25" customHeight="1" x14ac:dyDescent="0.25">
      <c r="A796" s="861" t="s">
        <v>406</v>
      </c>
      <c r="B796" s="682" t="s">
        <v>235</v>
      </c>
      <c r="C796" s="682" t="s">
        <v>234</v>
      </c>
      <c r="D796" s="861" t="s">
        <v>305</v>
      </c>
      <c r="E796" s="682" t="s">
        <v>1095</v>
      </c>
      <c r="F796" s="682" t="s">
        <v>35</v>
      </c>
      <c r="G796" s="682" t="s">
        <v>1096</v>
      </c>
      <c r="H796" s="682" t="s">
        <v>491</v>
      </c>
      <c r="I796" s="682" t="s">
        <v>492</v>
      </c>
      <c r="J796" s="682" t="s">
        <v>1097</v>
      </c>
    </row>
    <row r="797" spans="1:10" s="680" customFormat="1" x14ac:dyDescent="0.25">
      <c r="A797" s="2545" t="s">
        <v>493</v>
      </c>
      <c r="B797" s="2545"/>
      <c r="C797" s="2545"/>
      <c r="D797" s="2545"/>
      <c r="E797" s="2545"/>
      <c r="F797" s="2545"/>
      <c r="G797" s="2545"/>
      <c r="H797" s="2545"/>
      <c r="I797" s="2545"/>
      <c r="J797" s="2545"/>
    </row>
    <row r="798" spans="1:10" s="680" customFormat="1" x14ac:dyDescent="0.25">
      <c r="A798" s="2562" t="s">
        <v>503</v>
      </c>
      <c r="B798" s="2589"/>
      <c r="C798" s="2589"/>
      <c r="D798" s="2589"/>
      <c r="E798" s="2589"/>
      <c r="F798" s="2589"/>
      <c r="G798" s="2589"/>
      <c r="H798" s="2589"/>
      <c r="I798" s="2225"/>
      <c r="J798" s="2226"/>
    </row>
    <row r="799" spans="1:10" s="823" customFormat="1" ht="135" x14ac:dyDescent="0.25">
      <c r="A799" s="683" t="s">
        <v>109</v>
      </c>
      <c r="B799" s="873" t="s">
        <v>626</v>
      </c>
      <c r="C799" s="684" t="s">
        <v>67</v>
      </c>
      <c r="D799" s="873">
        <v>244</v>
      </c>
      <c r="E799" s="873">
        <v>310</v>
      </c>
      <c r="F799" s="685" t="s">
        <v>1259</v>
      </c>
      <c r="G799" s="686">
        <v>31181333.510000002</v>
      </c>
      <c r="H799" s="686">
        <v>31408356.350000001</v>
      </c>
      <c r="I799" s="686">
        <f>H799-G799</f>
        <v>227022.84</v>
      </c>
      <c r="J799" s="707" t="s">
        <v>1353</v>
      </c>
    </row>
    <row r="800" spans="1:10" s="823" customFormat="1" ht="135" x14ac:dyDescent="0.25">
      <c r="A800" s="683" t="s">
        <v>109</v>
      </c>
      <c r="B800" s="873" t="s">
        <v>626</v>
      </c>
      <c r="C800" s="684" t="s">
        <v>67</v>
      </c>
      <c r="D800" s="873">
        <v>244</v>
      </c>
      <c r="E800" s="873">
        <v>346</v>
      </c>
      <c r="F800" s="685" t="s">
        <v>1260</v>
      </c>
      <c r="G800" s="686">
        <v>10542891.27</v>
      </c>
      <c r="H800" s="686">
        <v>10315868.43</v>
      </c>
      <c r="I800" s="686">
        <f>H800-G800</f>
        <v>-227022.84</v>
      </c>
      <c r="J800" s="707" t="s">
        <v>1354</v>
      </c>
    </row>
    <row r="801" spans="1:11" s="680" customFormat="1" x14ac:dyDescent="0.25">
      <c r="A801" s="2574" t="s">
        <v>1352</v>
      </c>
      <c r="B801" s="2590"/>
      <c r="C801" s="2590"/>
      <c r="D801" s="2590"/>
      <c r="E801" s="2590"/>
      <c r="F801" s="2591"/>
      <c r="G801" s="687">
        <f>G799+G800</f>
        <v>41724224.780000001</v>
      </c>
      <c r="H801" s="687">
        <f>H799+H800</f>
        <v>41724224.780000001</v>
      </c>
      <c r="I801" s="687">
        <f>I799+I800</f>
        <v>0</v>
      </c>
      <c r="J801" s="872"/>
    </row>
    <row r="802" spans="1:11" s="864" customFormat="1" x14ac:dyDescent="0.25">
      <c r="A802" s="2550" t="s">
        <v>496</v>
      </c>
      <c r="B802" s="2550"/>
      <c r="C802" s="2550"/>
      <c r="D802" s="2550"/>
      <c r="E802" s="2550"/>
      <c r="F802" s="2550"/>
      <c r="G802" s="2550"/>
      <c r="H802" s="2550"/>
      <c r="I802" s="2550"/>
      <c r="J802" s="2550"/>
    </row>
    <row r="803" spans="1:11" s="864" customFormat="1" ht="63.75" customHeight="1" x14ac:dyDescent="0.25">
      <c r="A803" s="531" t="s">
        <v>422</v>
      </c>
      <c r="B803" s="861" t="s">
        <v>624</v>
      </c>
      <c r="C803" s="530" t="s">
        <v>706</v>
      </c>
      <c r="D803" s="533">
        <v>244</v>
      </c>
      <c r="E803" s="529">
        <v>225</v>
      </c>
      <c r="F803" s="860" t="s">
        <v>457</v>
      </c>
      <c r="G803" s="536">
        <v>1217477.8999999999</v>
      </c>
      <c r="H803" s="536">
        <f>G803+26972.07</f>
        <v>1244449.97</v>
      </c>
      <c r="I803" s="539">
        <f>H803-G803</f>
        <v>26972.07</v>
      </c>
      <c r="J803" s="860" t="s">
        <v>1336</v>
      </c>
    </row>
    <row r="804" spans="1:11" s="680" customFormat="1" ht="75" x14ac:dyDescent="0.25">
      <c r="A804" s="683" t="s">
        <v>109</v>
      </c>
      <c r="B804" s="861" t="s">
        <v>624</v>
      </c>
      <c r="C804" s="530" t="s">
        <v>706</v>
      </c>
      <c r="D804" s="708">
        <v>244</v>
      </c>
      <c r="E804" s="708">
        <v>226</v>
      </c>
      <c r="F804" s="685" t="s">
        <v>460</v>
      </c>
      <c r="G804" s="686">
        <v>398742</v>
      </c>
      <c r="H804" s="686">
        <f>G804-11671.2</f>
        <v>387070.8</v>
      </c>
      <c r="I804" s="686">
        <f>H804-G804</f>
        <v>-11671.2</v>
      </c>
      <c r="J804" s="685" t="s">
        <v>1340</v>
      </c>
      <c r="K804" s="709"/>
    </row>
    <row r="805" spans="1:11" s="680" customFormat="1" ht="75" x14ac:dyDescent="0.25">
      <c r="A805" s="683" t="s">
        <v>109</v>
      </c>
      <c r="B805" s="861" t="s">
        <v>624</v>
      </c>
      <c r="C805" s="530" t="s">
        <v>706</v>
      </c>
      <c r="D805" s="708">
        <v>244</v>
      </c>
      <c r="E805" s="708">
        <v>343</v>
      </c>
      <c r="F805" s="685" t="s">
        <v>1235</v>
      </c>
      <c r="G805" s="686">
        <v>64435.62</v>
      </c>
      <c r="H805" s="686">
        <f>G805-15300.87</f>
        <v>49134.75</v>
      </c>
      <c r="I805" s="686">
        <f>H805-G805</f>
        <v>-15300.87</v>
      </c>
      <c r="J805" s="685" t="s">
        <v>1335</v>
      </c>
      <c r="K805" s="709"/>
    </row>
    <row r="806" spans="1:11" s="864" customFormat="1" x14ac:dyDescent="0.25">
      <c r="A806" s="863"/>
      <c r="B806" s="2537" t="s">
        <v>1117</v>
      </c>
      <c r="C806" s="2537"/>
      <c r="D806" s="2537"/>
      <c r="E806" s="2537"/>
      <c r="F806" s="2537"/>
      <c r="G806" s="687">
        <f>SUM(G803:G805)</f>
        <v>1680655.52</v>
      </c>
      <c r="H806" s="687">
        <f>SUM(H803:H805)</f>
        <v>1680655.52</v>
      </c>
      <c r="I806" s="687">
        <f>SUM(I803:I805)</f>
        <v>0</v>
      </c>
      <c r="J806" s="682" t="s">
        <v>82</v>
      </c>
    </row>
    <row r="807" spans="1:11" s="680" customFormat="1" x14ac:dyDescent="0.25">
      <c r="A807" s="2550" t="s">
        <v>155</v>
      </c>
      <c r="B807" s="2550"/>
      <c r="C807" s="2550"/>
      <c r="D807" s="2550"/>
      <c r="E807" s="2550"/>
      <c r="F807" s="2550"/>
      <c r="G807" s="2550"/>
      <c r="H807" s="2550"/>
      <c r="I807" s="2550"/>
      <c r="J807" s="2550"/>
    </row>
    <row r="808" spans="1:11" s="680" customFormat="1" ht="135" x14ac:dyDescent="0.25">
      <c r="A808" s="861"/>
      <c r="B808" s="861"/>
      <c r="C808" s="684" t="s">
        <v>137</v>
      </c>
      <c r="D808" s="684" t="s">
        <v>495</v>
      </c>
      <c r="E808" s="684" t="s">
        <v>537</v>
      </c>
      <c r="F808" s="685" t="s">
        <v>499</v>
      </c>
      <c r="G808" s="686">
        <v>8903872</v>
      </c>
      <c r="H808" s="686">
        <f>G808-460000.12-151.08</f>
        <v>8443720.8000000007</v>
      </c>
      <c r="I808" s="686">
        <f>H808-G808</f>
        <v>-460151.2</v>
      </c>
      <c r="J808" s="685" t="s">
        <v>1131</v>
      </c>
    </row>
    <row r="809" spans="1:11" s="680" customFormat="1" ht="60" x14ac:dyDescent="0.25">
      <c r="A809" s="683" t="s">
        <v>109</v>
      </c>
      <c r="B809" s="541" t="s">
        <v>1298</v>
      </c>
      <c r="C809" s="684" t="s">
        <v>34</v>
      </c>
      <c r="D809" s="708">
        <v>244</v>
      </c>
      <c r="E809" s="708">
        <v>225</v>
      </c>
      <c r="F809" s="860" t="s">
        <v>457</v>
      </c>
      <c r="G809" s="686">
        <v>1192459.1000000001</v>
      </c>
      <c r="H809" s="686">
        <f>G809-151.08</f>
        <v>1192308.02</v>
      </c>
      <c r="I809" s="686">
        <f>H809-G809</f>
        <v>-151.08000000000001</v>
      </c>
      <c r="J809" s="685" t="s">
        <v>1338</v>
      </c>
      <c r="K809" s="709"/>
    </row>
    <row r="810" spans="1:11" s="680" customFormat="1" ht="45" x14ac:dyDescent="0.25">
      <c r="A810" s="683" t="s">
        <v>109</v>
      </c>
      <c r="B810" s="541" t="s">
        <v>1298</v>
      </c>
      <c r="C810" s="684" t="s">
        <v>34</v>
      </c>
      <c r="D810" s="708">
        <v>244</v>
      </c>
      <c r="E810" s="708">
        <v>221</v>
      </c>
      <c r="F810" s="685" t="s">
        <v>497</v>
      </c>
      <c r="G810" s="686">
        <v>42057.7</v>
      </c>
      <c r="H810" s="686">
        <v>42057.58</v>
      </c>
      <c r="I810" s="686">
        <f>H810-G810</f>
        <v>-0.12</v>
      </c>
      <c r="J810" s="685" t="s">
        <v>1339</v>
      </c>
      <c r="K810" s="709"/>
    </row>
    <row r="811" spans="1:11" s="680" customFormat="1" ht="30" x14ac:dyDescent="0.25">
      <c r="A811" s="683" t="s">
        <v>109</v>
      </c>
      <c r="B811" s="541" t="s">
        <v>33</v>
      </c>
      <c r="C811" s="684" t="s">
        <v>34</v>
      </c>
      <c r="D811" s="708">
        <v>247</v>
      </c>
      <c r="E811" s="708">
        <v>223</v>
      </c>
      <c r="F811" s="685" t="s">
        <v>456</v>
      </c>
      <c r="G811" s="686">
        <v>3104706.24</v>
      </c>
      <c r="H811" s="686">
        <f>G811-460000</f>
        <v>2644706.2400000002</v>
      </c>
      <c r="I811" s="686">
        <f>H811-G811</f>
        <v>-460000</v>
      </c>
      <c r="J811" s="685" t="s">
        <v>1337</v>
      </c>
      <c r="K811" s="709"/>
    </row>
    <row r="812" spans="1:11" s="680" customFormat="1" x14ac:dyDescent="0.25">
      <c r="A812" s="2574" t="s">
        <v>1125</v>
      </c>
      <c r="B812" s="2580"/>
      <c r="C812" s="2580"/>
      <c r="D812" s="2580"/>
      <c r="E812" s="2580"/>
      <c r="F812" s="2576"/>
      <c r="G812" s="687">
        <f>SUM(G809:G811)</f>
        <v>4339223.04</v>
      </c>
      <c r="H812" s="687">
        <f>SUM(H809:H811)</f>
        <v>3879071.84</v>
      </c>
      <c r="I812" s="687">
        <f>SUM(I809:I811)</f>
        <v>-460151.2</v>
      </c>
      <c r="J812" s="862"/>
    </row>
    <row r="813" spans="1:11" s="864" customFormat="1" x14ac:dyDescent="0.25">
      <c r="A813" s="2577" t="s">
        <v>160</v>
      </c>
      <c r="B813" s="2578"/>
      <c r="C813" s="2578"/>
      <c r="D813" s="2578"/>
      <c r="E813" s="2578"/>
      <c r="F813" s="687" t="s">
        <v>82</v>
      </c>
      <c r="G813" s="687">
        <f>G806+G812+G801</f>
        <v>47744103.340000004</v>
      </c>
      <c r="H813" s="687">
        <f>H806+H812+H801</f>
        <v>47283952.140000001</v>
      </c>
      <c r="I813" s="687">
        <f>I806+I812+I801</f>
        <v>-460151.2</v>
      </c>
      <c r="J813" s="862" t="s">
        <v>82</v>
      </c>
    </row>
    <row r="814" spans="1:11" s="864" customFormat="1" x14ac:dyDescent="0.25"/>
    <row r="815" spans="1:11" s="864" customFormat="1" x14ac:dyDescent="0.25">
      <c r="A815" s="2579" t="s">
        <v>705</v>
      </c>
      <c r="B815" s="2579"/>
      <c r="C815" s="2579"/>
      <c r="D815" s="2579"/>
      <c r="E815" s="2579"/>
      <c r="F815" s="2579"/>
      <c r="G815" s="696"/>
      <c r="H815" s="697"/>
      <c r="I815" s="698"/>
      <c r="J815" s="697" t="s">
        <v>733</v>
      </c>
    </row>
    <row r="816" spans="1:11" s="864" customFormat="1" x14ac:dyDescent="0.25">
      <c r="A816" s="2570"/>
      <c r="B816" s="2570"/>
      <c r="C816" s="2570"/>
      <c r="D816" s="2570"/>
      <c r="E816" s="2570"/>
      <c r="F816" s="2570"/>
      <c r="G816" s="699"/>
      <c r="H816" s="697"/>
      <c r="I816" s="698"/>
      <c r="J816" s="697"/>
    </row>
    <row r="817" spans="1:11" s="864" customFormat="1" x14ac:dyDescent="0.25">
      <c r="A817" s="2571" t="s">
        <v>156</v>
      </c>
      <c r="B817" s="2571"/>
      <c r="C817" s="2571"/>
      <c r="D817" s="2571"/>
      <c r="E817" s="2571"/>
      <c r="F817" s="2571"/>
      <c r="G817" s="696"/>
      <c r="H817" s="697"/>
      <c r="I817" s="698"/>
      <c r="J817" s="697" t="s">
        <v>729</v>
      </c>
    </row>
    <row r="819" spans="1:11" s="680" customFormat="1" ht="18.75" x14ac:dyDescent="0.25">
      <c r="A819" s="2542" t="s">
        <v>1355</v>
      </c>
      <c r="B819" s="2542"/>
      <c r="C819" s="2542"/>
      <c r="D819" s="2542"/>
      <c r="E819" s="2542"/>
      <c r="F819" s="2542"/>
      <c r="G819" s="2542"/>
      <c r="H819" s="2542"/>
      <c r="I819" s="2542"/>
      <c r="J819" s="2542"/>
    </row>
    <row r="820" spans="1:11" s="680" customFormat="1" ht="18.75" x14ac:dyDescent="0.25">
      <c r="A820" s="2542" t="s">
        <v>1317</v>
      </c>
      <c r="B820" s="2542"/>
      <c r="C820" s="2542"/>
      <c r="D820" s="2542"/>
      <c r="E820" s="2542"/>
      <c r="F820" s="2542"/>
      <c r="G820" s="2542"/>
      <c r="H820" s="2542"/>
      <c r="I820" s="2542"/>
      <c r="J820" s="2542"/>
    </row>
    <row r="821" spans="1:11" s="680" customFormat="1" ht="18.75" x14ac:dyDescent="0.25">
      <c r="A821" s="2542" t="s">
        <v>611</v>
      </c>
      <c r="B821" s="2542"/>
      <c r="C821" s="2542"/>
      <c r="D821" s="2542"/>
      <c r="E821" s="2542"/>
      <c r="F821" s="2542"/>
      <c r="G821" s="2542"/>
      <c r="H821" s="2542"/>
      <c r="I821" s="2542"/>
      <c r="J821" s="2542"/>
    </row>
    <row r="822" spans="1:11" s="680" customFormat="1" x14ac:dyDescent="0.25">
      <c r="A822" s="2569"/>
      <c r="B822" s="2569"/>
      <c r="C822" s="2569"/>
      <c r="D822" s="2569"/>
      <c r="E822" s="2569"/>
      <c r="F822" s="2569"/>
      <c r="G822" s="2569"/>
      <c r="H822" s="2569"/>
      <c r="I822" s="2569"/>
      <c r="J822" s="2569"/>
    </row>
    <row r="823" spans="1:11" s="680" customFormat="1" ht="77.25" customHeight="1" x14ac:dyDescent="0.25">
      <c r="A823" s="869" t="s">
        <v>406</v>
      </c>
      <c r="B823" s="682" t="s">
        <v>235</v>
      </c>
      <c r="C823" s="682" t="s">
        <v>234</v>
      </c>
      <c r="D823" s="869" t="s">
        <v>305</v>
      </c>
      <c r="E823" s="682" t="s">
        <v>1095</v>
      </c>
      <c r="F823" s="682" t="s">
        <v>35</v>
      </c>
      <c r="G823" s="682" t="s">
        <v>1096</v>
      </c>
      <c r="H823" s="682" t="s">
        <v>491</v>
      </c>
      <c r="I823" s="682" t="s">
        <v>492</v>
      </c>
      <c r="J823" s="682" t="s">
        <v>1097</v>
      </c>
    </row>
    <row r="824" spans="1:11" s="680" customFormat="1" x14ac:dyDescent="0.25">
      <c r="A824" s="2545" t="s">
        <v>493</v>
      </c>
      <c r="B824" s="2545"/>
      <c r="C824" s="2545"/>
      <c r="D824" s="2545"/>
      <c r="E824" s="2545"/>
      <c r="F824" s="2545"/>
      <c r="G824" s="2545"/>
      <c r="H824" s="2545"/>
      <c r="I824" s="2545"/>
      <c r="J824" s="2545"/>
    </row>
    <row r="825" spans="1:11" s="870" customFormat="1" x14ac:dyDescent="0.25">
      <c r="A825" s="2550" t="s">
        <v>496</v>
      </c>
      <c r="B825" s="2550"/>
      <c r="C825" s="2550"/>
      <c r="D825" s="2550"/>
      <c r="E825" s="2550"/>
      <c r="F825" s="2550"/>
      <c r="G825" s="2550"/>
      <c r="H825" s="2550"/>
      <c r="I825" s="2550"/>
      <c r="J825" s="2550"/>
    </row>
    <row r="826" spans="1:11" s="680" customFormat="1" ht="47.25" customHeight="1" x14ac:dyDescent="0.25">
      <c r="A826" s="683" t="s">
        <v>109</v>
      </c>
      <c r="B826" s="869" t="s">
        <v>624</v>
      </c>
      <c r="C826" s="530" t="s">
        <v>706</v>
      </c>
      <c r="D826" s="708">
        <v>244</v>
      </c>
      <c r="E826" s="708">
        <v>221</v>
      </c>
      <c r="F826" s="685" t="s">
        <v>497</v>
      </c>
      <c r="G826" s="686">
        <v>72749.55</v>
      </c>
      <c r="H826" s="686">
        <f>G826+31467.05</f>
        <v>104216.6</v>
      </c>
      <c r="I826" s="686">
        <f t="shared" ref="I826:I832" si="55">H826-G826</f>
        <v>31467.05</v>
      </c>
      <c r="J826" s="685" t="s">
        <v>1356</v>
      </c>
      <c r="K826" s="709"/>
    </row>
    <row r="827" spans="1:11" s="870" customFormat="1" ht="80.25" customHeight="1" x14ac:dyDescent="0.25">
      <c r="A827" s="683" t="s">
        <v>109</v>
      </c>
      <c r="B827" s="869" t="s">
        <v>624</v>
      </c>
      <c r="C827" s="684" t="s">
        <v>91</v>
      </c>
      <c r="D827" s="708">
        <v>244</v>
      </c>
      <c r="E827" s="708">
        <v>223</v>
      </c>
      <c r="F827" s="685" t="s">
        <v>456</v>
      </c>
      <c r="G827" s="686">
        <v>1224515</v>
      </c>
      <c r="H827" s="686">
        <f>G827+567541.4</f>
        <v>1792056.4</v>
      </c>
      <c r="I827" s="686">
        <f t="shared" si="55"/>
        <v>567541.4</v>
      </c>
      <c r="J827" s="685" t="s">
        <v>1357</v>
      </c>
    </row>
    <row r="828" spans="1:11" s="870" customFormat="1" ht="50.25" customHeight="1" x14ac:dyDescent="0.25">
      <c r="A828" s="683" t="s">
        <v>109</v>
      </c>
      <c r="B828" s="869" t="s">
        <v>624</v>
      </c>
      <c r="C828" s="530" t="s">
        <v>706</v>
      </c>
      <c r="D828" s="708">
        <v>247</v>
      </c>
      <c r="E828" s="708">
        <v>223</v>
      </c>
      <c r="F828" s="685" t="s">
        <v>456</v>
      </c>
      <c r="G828" s="686">
        <f>4890238.4</f>
        <v>4890238.4000000004</v>
      </c>
      <c r="H828" s="686">
        <f>G828+2145326.02</f>
        <v>7035564.4199999999</v>
      </c>
      <c r="I828" s="686">
        <f t="shared" si="55"/>
        <v>2145326.02</v>
      </c>
      <c r="J828" s="685" t="s">
        <v>1358</v>
      </c>
    </row>
    <row r="829" spans="1:11" s="870" customFormat="1" ht="83.25" customHeight="1" x14ac:dyDescent="0.25">
      <c r="A829" s="531" t="s">
        <v>422</v>
      </c>
      <c r="B829" s="869" t="s">
        <v>624</v>
      </c>
      <c r="C829" s="530" t="s">
        <v>706</v>
      </c>
      <c r="D829" s="533">
        <v>244</v>
      </c>
      <c r="E829" s="529">
        <v>225</v>
      </c>
      <c r="F829" s="866" t="s">
        <v>457</v>
      </c>
      <c r="G829" s="536">
        <v>1244449.97</v>
      </c>
      <c r="H829" s="536">
        <f>G829+334014.43</f>
        <v>1578464.4</v>
      </c>
      <c r="I829" s="539">
        <f t="shared" si="55"/>
        <v>334014.43</v>
      </c>
      <c r="J829" s="866" t="s">
        <v>1359</v>
      </c>
    </row>
    <row r="830" spans="1:11" s="680" customFormat="1" ht="75" x14ac:dyDescent="0.25">
      <c r="A830" s="683" t="s">
        <v>109</v>
      </c>
      <c r="B830" s="869" t="s">
        <v>624</v>
      </c>
      <c r="C830" s="530" t="s">
        <v>706</v>
      </c>
      <c r="D830" s="708">
        <v>244</v>
      </c>
      <c r="E830" s="708">
        <v>226</v>
      </c>
      <c r="F830" s="685" t="s">
        <v>460</v>
      </c>
      <c r="G830" s="686">
        <v>387070.8</v>
      </c>
      <c r="H830" s="686">
        <f>G830+900485.6</f>
        <v>1287556.3999999999</v>
      </c>
      <c r="I830" s="686">
        <f t="shared" si="55"/>
        <v>900485.6</v>
      </c>
      <c r="J830" s="685" t="s">
        <v>1360</v>
      </c>
      <c r="K830" s="709"/>
    </row>
    <row r="831" spans="1:11" s="680" customFormat="1" ht="90" x14ac:dyDescent="0.25">
      <c r="A831" s="683" t="s">
        <v>109</v>
      </c>
      <c r="B831" s="869" t="s">
        <v>624</v>
      </c>
      <c r="C831" s="530" t="s">
        <v>706</v>
      </c>
      <c r="D831" s="708">
        <v>244</v>
      </c>
      <c r="E831" s="708">
        <v>227</v>
      </c>
      <c r="F831" s="685" t="s">
        <v>441</v>
      </c>
      <c r="G831" s="686">
        <v>0</v>
      </c>
      <c r="H831" s="686">
        <v>1100</v>
      </c>
      <c r="I831" s="686">
        <f t="shared" si="55"/>
        <v>1100</v>
      </c>
      <c r="J831" s="685" t="s">
        <v>1361</v>
      </c>
      <c r="K831" s="709"/>
    </row>
    <row r="832" spans="1:11" s="680" customFormat="1" ht="75" x14ac:dyDescent="0.25">
      <c r="A832" s="683" t="s">
        <v>109</v>
      </c>
      <c r="B832" s="869" t="s">
        <v>624</v>
      </c>
      <c r="C832" s="530" t="s">
        <v>706</v>
      </c>
      <c r="D832" s="708">
        <v>244</v>
      </c>
      <c r="E832" s="708">
        <v>343</v>
      </c>
      <c r="F832" s="685" t="s">
        <v>1235</v>
      </c>
      <c r="G832" s="686">
        <v>49134.75</v>
      </c>
      <c r="H832" s="686">
        <f>G832+20065.5</f>
        <v>69200.25</v>
      </c>
      <c r="I832" s="686">
        <f t="shared" si="55"/>
        <v>20065.5</v>
      </c>
      <c r="J832" s="685" t="s">
        <v>1362</v>
      </c>
      <c r="K832" s="709"/>
    </row>
    <row r="833" spans="1:10" s="870" customFormat="1" x14ac:dyDescent="0.25">
      <c r="A833" s="867"/>
      <c r="B833" s="2537" t="s">
        <v>1117</v>
      </c>
      <c r="C833" s="2537"/>
      <c r="D833" s="2537"/>
      <c r="E833" s="2537"/>
      <c r="F833" s="2537"/>
      <c r="G833" s="687">
        <f>SUM(G826:G832)</f>
        <v>7868158.4699999997</v>
      </c>
      <c r="H833" s="687">
        <f>SUM(H826:H832)</f>
        <v>11868158.470000001</v>
      </c>
      <c r="I833" s="687">
        <f>SUM(I826:I832)</f>
        <v>4000000</v>
      </c>
      <c r="J833" s="682" t="s">
        <v>82</v>
      </c>
    </row>
    <row r="834" spans="1:10" s="870" customFormat="1" x14ac:dyDescent="0.25">
      <c r="A834" s="2577" t="s">
        <v>160</v>
      </c>
      <c r="B834" s="2578"/>
      <c r="C834" s="2578"/>
      <c r="D834" s="2578"/>
      <c r="E834" s="2578"/>
      <c r="F834" s="687" t="s">
        <v>82</v>
      </c>
      <c r="G834" s="687">
        <f>G833</f>
        <v>7868158.4699999997</v>
      </c>
      <c r="H834" s="687">
        <f>H833</f>
        <v>11868158.470000001</v>
      </c>
      <c r="I834" s="687">
        <f>I833</f>
        <v>4000000</v>
      </c>
      <c r="J834" s="868" t="s">
        <v>82</v>
      </c>
    </row>
    <row r="835" spans="1:10" s="870" customFormat="1" x14ac:dyDescent="0.25"/>
    <row r="836" spans="1:10" s="870" customFormat="1" x14ac:dyDescent="0.25">
      <c r="A836" s="2579" t="s">
        <v>705</v>
      </c>
      <c r="B836" s="2579"/>
      <c r="C836" s="2579"/>
      <c r="D836" s="2579"/>
      <c r="E836" s="2579"/>
      <c r="F836" s="2579"/>
      <c r="G836" s="696"/>
      <c r="H836" s="697"/>
      <c r="I836" s="698"/>
      <c r="J836" s="697" t="s">
        <v>733</v>
      </c>
    </row>
    <row r="837" spans="1:10" s="870" customFormat="1" x14ac:dyDescent="0.25">
      <c r="A837" s="2570"/>
      <c r="B837" s="2570"/>
      <c r="C837" s="2570"/>
      <c r="D837" s="2570"/>
      <c r="E837" s="2570"/>
      <c r="F837" s="2570"/>
      <c r="G837" s="699"/>
      <c r="H837" s="697"/>
      <c r="I837" s="698"/>
      <c r="J837" s="697"/>
    </row>
    <row r="838" spans="1:10" s="870" customFormat="1" x14ac:dyDescent="0.25">
      <c r="A838" s="2571" t="s">
        <v>156</v>
      </c>
      <c r="B838" s="2571"/>
      <c r="C838" s="2571"/>
      <c r="D838" s="2571"/>
      <c r="E838" s="2571"/>
      <c r="F838" s="2571"/>
      <c r="G838" s="696"/>
      <c r="H838" s="697"/>
      <c r="I838" s="698"/>
      <c r="J838" s="697" t="s">
        <v>729</v>
      </c>
    </row>
    <row r="840" spans="1:10" s="680" customFormat="1" ht="18.75" x14ac:dyDescent="0.25">
      <c r="A840" s="2542" t="s">
        <v>1374</v>
      </c>
      <c r="B840" s="2542"/>
      <c r="C840" s="2542"/>
      <c r="D840" s="2542"/>
      <c r="E840" s="2542"/>
      <c r="F840" s="2542"/>
      <c r="G840" s="2542"/>
      <c r="H840" s="2542"/>
      <c r="I840" s="2542"/>
      <c r="J840" s="2542"/>
    </row>
    <row r="841" spans="1:10" s="680" customFormat="1" ht="18.75" x14ac:dyDescent="0.25">
      <c r="A841" s="2542" t="s">
        <v>1377</v>
      </c>
      <c r="B841" s="2542"/>
      <c r="C841" s="2542"/>
      <c r="D841" s="2542"/>
      <c r="E841" s="2542"/>
      <c r="F841" s="2542"/>
      <c r="G841" s="2542"/>
      <c r="H841" s="2542"/>
      <c r="I841" s="2542"/>
      <c r="J841" s="2542"/>
    </row>
    <row r="842" spans="1:10" s="680" customFormat="1" ht="18.75" x14ac:dyDescent="0.25">
      <c r="A842" s="2542" t="s">
        <v>611</v>
      </c>
      <c r="B842" s="2542"/>
      <c r="C842" s="2542"/>
      <c r="D842" s="2542"/>
      <c r="E842" s="2542"/>
      <c r="F842" s="2542"/>
      <c r="G842" s="2542"/>
      <c r="H842" s="2542"/>
      <c r="I842" s="2542"/>
      <c r="J842" s="2542"/>
    </row>
    <row r="843" spans="1:10" s="680" customFormat="1" x14ac:dyDescent="0.25">
      <c r="A843" s="2569"/>
      <c r="B843" s="2569"/>
      <c r="C843" s="2569"/>
      <c r="D843" s="2569"/>
      <c r="E843" s="2569"/>
      <c r="F843" s="2569"/>
      <c r="G843" s="2569"/>
      <c r="H843" s="2569"/>
      <c r="I843" s="2569"/>
      <c r="J843" s="2569"/>
    </row>
    <row r="844" spans="1:10" s="680" customFormat="1" ht="59.25" customHeight="1" x14ac:dyDescent="0.25">
      <c r="A844" s="887" t="s">
        <v>406</v>
      </c>
      <c r="B844" s="682" t="s">
        <v>235</v>
      </c>
      <c r="C844" s="682" t="s">
        <v>234</v>
      </c>
      <c r="D844" s="887" t="s">
        <v>305</v>
      </c>
      <c r="E844" s="682" t="s">
        <v>1095</v>
      </c>
      <c r="F844" s="682" t="s">
        <v>35</v>
      </c>
      <c r="G844" s="682" t="s">
        <v>1096</v>
      </c>
      <c r="H844" s="682" t="s">
        <v>491</v>
      </c>
      <c r="I844" s="682" t="s">
        <v>492</v>
      </c>
      <c r="J844" s="682" t="s">
        <v>1097</v>
      </c>
    </row>
    <row r="845" spans="1:10" s="680" customFormat="1" ht="18" customHeight="1" x14ac:dyDescent="0.25">
      <c r="A845" s="2592" t="s">
        <v>1378</v>
      </c>
      <c r="B845" s="2593"/>
      <c r="C845" s="2593"/>
      <c r="D845" s="2593"/>
      <c r="E845" s="2593"/>
      <c r="F845" s="2593"/>
      <c r="G845" s="2593"/>
      <c r="H845" s="2593"/>
      <c r="I845" s="2593"/>
      <c r="J845" s="2594"/>
    </row>
    <row r="846" spans="1:10" s="680" customFormat="1" x14ac:dyDescent="0.25">
      <c r="A846" s="2545" t="s">
        <v>493</v>
      </c>
      <c r="B846" s="2545"/>
      <c r="C846" s="2545"/>
      <c r="D846" s="2545"/>
      <c r="E846" s="2545"/>
      <c r="F846" s="2545"/>
      <c r="G846" s="2545"/>
      <c r="H846" s="2545"/>
      <c r="I846" s="2545"/>
      <c r="J846" s="2545"/>
    </row>
    <row r="847" spans="1:10" s="680" customFormat="1" x14ac:dyDescent="0.25">
      <c r="A847" s="2562" t="s">
        <v>503</v>
      </c>
      <c r="B847" s="2589"/>
      <c r="C847" s="2589"/>
      <c r="D847" s="2589"/>
      <c r="E847" s="2589"/>
      <c r="F847" s="2589"/>
      <c r="G847" s="2589"/>
      <c r="H847" s="2589"/>
      <c r="I847" s="2225"/>
      <c r="J847" s="2226"/>
    </row>
    <row r="848" spans="1:10" s="823" customFormat="1" ht="46.5" customHeight="1" x14ac:dyDescent="0.25">
      <c r="A848" s="683" t="s">
        <v>109</v>
      </c>
      <c r="B848" s="887" t="s">
        <v>626</v>
      </c>
      <c r="C848" s="684" t="s">
        <v>67</v>
      </c>
      <c r="D848" s="887">
        <v>244</v>
      </c>
      <c r="E848" s="887">
        <v>226</v>
      </c>
      <c r="F848" s="685" t="s">
        <v>1300</v>
      </c>
      <c r="G848" s="686">
        <v>516270</v>
      </c>
      <c r="H848" s="686">
        <v>636786.75</v>
      </c>
      <c r="I848" s="686">
        <f>H848-G848</f>
        <v>120516.75</v>
      </c>
      <c r="J848" s="707" t="s">
        <v>1375</v>
      </c>
    </row>
    <row r="849" spans="1:11" s="823" customFormat="1" ht="135" x14ac:dyDescent="0.25">
      <c r="A849" s="683" t="s">
        <v>109</v>
      </c>
      <c r="B849" s="887" t="s">
        <v>626</v>
      </c>
      <c r="C849" s="684" t="s">
        <v>67</v>
      </c>
      <c r="D849" s="887">
        <v>244</v>
      </c>
      <c r="E849" s="887">
        <v>310</v>
      </c>
      <c r="F849" s="685" t="s">
        <v>1259</v>
      </c>
      <c r="G849" s="686">
        <v>31408356.350000001</v>
      </c>
      <c r="H849" s="686">
        <v>31331930.350000001</v>
      </c>
      <c r="I849" s="686">
        <f>H849-G849</f>
        <v>-76426</v>
      </c>
      <c r="J849" s="707" t="s">
        <v>1376</v>
      </c>
    </row>
    <row r="850" spans="1:11" s="823" customFormat="1" ht="135" x14ac:dyDescent="0.25">
      <c r="A850" s="683" t="s">
        <v>109</v>
      </c>
      <c r="B850" s="887" t="s">
        <v>626</v>
      </c>
      <c r="C850" s="684" t="s">
        <v>67</v>
      </c>
      <c r="D850" s="887">
        <v>244</v>
      </c>
      <c r="E850" s="887">
        <v>346</v>
      </c>
      <c r="F850" s="685" t="s">
        <v>1260</v>
      </c>
      <c r="G850" s="686">
        <v>10315868.43</v>
      </c>
      <c r="H850" s="686">
        <v>10271777.68</v>
      </c>
      <c r="I850" s="686">
        <f>H850-G850</f>
        <v>-44090.75</v>
      </c>
      <c r="J850" s="707" t="s">
        <v>1354</v>
      </c>
    </row>
    <row r="851" spans="1:11" s="680" customFormat="1" x14ac:dyDescent="0.25">
      <c r="A851" s="2574" t="s">
        <v>1352</v>
      </c>
      <c r="B851" s="2590"/>
      <c r="C851" s="2590"/>
      <c r="D851" s="2590"/>
      <c r="E851" s="2590"/>
      <c r="F851" s="2591"/>
      <c r="G851" s="687">
        <f>SUM(G848:G850)</f>
        <v>42240494.780000001</v>
      </c>
      <c r="H851" s="687">
        <f>SUM(H848:H850)</f>
        <v>42240494.780000001</v>
      </c>
      <c r="I851" s="687">
        <f>SUM(I848:I850)</f>
        <v>0</v>
      </c>
      <c r="J851" s="886"/>
    </row>
    <row r="852" spans="1:11" s="888" customFormat="1" x14ac:dyDescent="0.25">
      <c r="A852" s="2574" t="s">
        <v>1379</v>
      </c>
      <c r="B852" s="2595"/>
      <c r="C852" s="2595"/>
      <c r="D852" s="2595"/>
      <c r="E852" s="2595"/>
      <c r="F852" s="2591"/>
      <c r="G852" s="687">
        <f>G851</f>
        <v>42240494.780000001</v>
      </c>
      <c r="H852" s="687">
        <f>H851</f>
        <v>42240494.780000001</v>
      </c>
      <c r="I852" s="687">
        <f>I851</f>
        <v>0</v>
      </c>
      <c r="J852" s="886"/>
    </row>
    <row r="853" spans="1:11" s="888" customFormat="1" ht="21" x14ac:dyDescent="0.25">
      <c r="A853" s="2592" t="s">
        <v>1380</v>
      </c>
      <c r="B853" s="2593"/>
      <c r="C853" s="2593"/>
      <c r="D853" s="2593"/>
      <c r="E853" s="2593"/>
      <c r="F853" s="2593"/>
      <c r="G853" s="2593"/>
      <c r="H853" s="2593"/>
      <c r="I853" s="2593"/>
      <c r="J853" s="2594"/>
    </row>
    <row r="854" spans="1:11" s="888" customFormat="1" x14ac:dyDescent="0.25">
      <c r="A854" s="2545" t="s">
        <v>493</v>
      </c>
      <c r="B854" s="2545"/>
      <c r="C854" s="2545"/>
      <c r="D854" s="2545"/>
      <c r="E854" s="2545"/>
      <c r="F854" s="2545"/>
      <c r="G854" s="2545"/>
      <c r="H854" s="2545"/>
      <c r="I854" s="2545"/>
      <c r="J854" s="2545"/>
    </row>
    <row r="855" spans="1:11" s="888" customFormat="1" x14ac:dyDescent="0.25">
      <c r="A855" s="2550" t="s">
        <v>496</v>
      </c>
      <c r="B855" s="2550"/>
      <c r="C855" s="2550"/>
      <c r="D855" s="2550"/>
      <c r="E855" s="2550"/>
      <c r="F855" s="2550"/>
      <c r="G855" s="2550"/>
      <c r="H855" s="2550"/>
      <c r="I855" s="2550"/>
      <c r="J855" s="2550"/>
    </row>
    <row r="856" spans="1:11" s="888" customFormat="1" ht="45" x14ac:dyDescent="0.25">
      <c r="A856" s="683" t="s">
        <v>109</v>
      </c>
      <c r="B856" s="887" t="s">
        <v>624</v>
      </c>
      <c r="C856" s="684" t="s">
        <v>91</v>
      </c>
      <c r="D856" s="892">
        <v>851</v>
      </c>
      <c r="E856" s="892">
        <v>291</v>
      </c>
      <c r="F856" s="685" t="s">
        <v>1319</v>
      </c>
      <c r="G856" s="686">
        <v>23362259</v>
      </c>
      <c r="H856" s="686">
        <v>1200000</v>
      </c>
      <c r="I856" s="686">
        <f>H856-G856</f>
        <v>-22162259</v>
      </c>
      <c r="J856" s="685" t="s">
        <v>1381</v>
      </c>
    </row>
    <row r="857" spans="1:11" s="888" customFormat="1" ht="105" x14ac:dyDescent="0.25">
      <c r="A857" s="683" t="s">
        <v>109</v>
      </c>
      <c r="B857" s="887" t="s">
        <v>624</v>
      </c>
      <c r="C857" s="684" t="s">
        <v>91</v>
      </c>
      <c r="D857" s="892">
        <v>244</v>
      </c>
      <c r="E857" s="892">
        <v>226</v>
      </c>
      <c r="F857" s="685" t="s">
        <v>1318</v>
      </c>
      <c r="G857" s="686">
        <v>230004</v>
      </c>
      <c r="H857" s="686">
        <f>G857+1500000</f>
        <v>1730004</v>
      </c>
      <c r="I857" s="686">
        <f>H857-G857</f>
        <v>1500000</v>
      </c>
      <c r="J857" s="685" t="s">
        <v>1382</v>
      </c>
    </row>
    <row r="858" spans="1:11" s="888" customFormat="1" ht="45" x14ac:dyDescent="0.25">
      <c r="A858" s="683" t="s">
        <v>109</v>
      </c>
      <c r="B858" s="887" t="s">
        <v>624</v>
      </c>
      <c r="C858" s="684" t="s">
        <v>91</v>
      </c>
      <c r="D858" s="892">
        <v>244</v>
      </c>
      <c r="E858" s="892">
        <v>223</v>
      </c>
      <c r="F858" s="685" t="s">
        <v>456</v>
      </c>
      <c r="G858" s="686">
        <v>1266702.52</v>
      </c>
      <c r="H858" s="686">
        <f>G858+1500000</f>
        <v>2766702.52</v>
      </c>
      <c r="I858" s="686">
        <f>H858-G858</f>
        <v>1500000</v>
      </c>
      <c r="J858" s="685" t="s">
        <v>1383</v>
      </c>
    </row>
    <row r="859" spans="1:11" s="888" customFormat="1" ht="75" x14ac:dyDescent="0.25">
      <c r="A859" s="683" t="s">
        <v>109</v>
      </c>
      <c r="B859" s="887" t="s">
        <v>624</v>
      </c>
      <c r="C859" s="530" t="s">
        <v>706</v>
      </c>
      <c r="D859" s="892">
        <v>247</v>
      </c>
      <c r="E859" s="892">
        <v>223</v>
      </c>
      <c r="F859" s="685" t="s">
        <v>456</v>
      </c>
      <c r="G859" s="686">
        <v>2364103.7799999998</v>
      </c>
      <c r="H859" s="686">
        <f>22026362.78-500000</f>
        <v>21526362.780000001</v>
      </c>
      <c r="I859" s="686">
        <f>H859-G859</f>
        <v>19162259</v>
      </c>
      <c r="J859" s="685" t="s">
        <v>1384</v>
      </c>
    </row>
    <row r="860" spans="1:11" s="888" customFormat="1" x14ac:dyDescent="0.25">
      <c r="A860" s="2537" t="s">
        <v>1117</v>
      </c>
      <c r="B860" s="2537"/>
      <c r="C860" s="2537"/>
      <c r="D860" s="2537"/>
      <c r="E860" s="2537"/>
      <c r="F860" s="2537"/>
      <c r="G860" s="687">
        <f>SUM(G856:G859)</f>
        <v>27223069.300000001</v>
      </c>
      <c r="H860" s="687">
        <f>SUM(H856:H859)</f>
        <v>27223069.300000001</v>
      </c>
      <c r="I860" s="687">
        <f>SUM(I856:I859)</f>
        <v>0</v>
      </c>
      <c r="J860" s="682" t="s">
        <v>82</v>
      </c>
    </row>
    <row r="861" spans="1:11" s="888" customFormat="1" x14ac:dyDescent="0.25">
      <c r="A861" s="2537" t="s">
        <v>1385</v>
      </c>
      <c r="B861" s="2537"/>
      <c r="C861" s="2537"/>
      <c r="D861" s="2537"/>
      <c r="E861" s="2537"/>
      <c r="F861" s="2537"/>
      <c r="G861" s="687">
        <f>G860</f>
        <v>27223069.300000001</v>
      </c>
      <c r="H861" s="687">
        <f>H860</f>
        <v>27223069.300000001</v>
      </c>
      <c r="I861" s="687">
        <f>I860</f>
        <v>0</v>
      </c>
      <c r="J861" s="887" t="s">
        <v>82</v>
      </c>
    </row>
    <row r="862" spans="1:11" s="888" customFormat="1" ht="15.75" customHeight="1" x14ac:dyDescent="0.25">
      <c r="A862" s="2596" t="s">
        <v>1390</v>
      </c>
      <c r="B862" s="2596"/>
      <c r="C862" s="2596"/>
      <c r="D862" s="2596"/>
      <c r="E862" s="2596"/>
      <c r="F862" s="2596"/>
      <c r="G862" s="2596"/>
      <c r="H862" s="2596"/>
      <c r="I862" s="2596"/>
      <c r="J862" s="2596"/>
      <c r="K862" s="694"/>
    </row>
    <row r="863" spans="1:11" s="888" customFormat="1" x14ac:dyDescent="0.25">
      <c r="A863" s="2545" t="s">
        <v>493</v>
      </c>
      <c r="B863" s="2545" t="s">
        <v>493</v>
      </c>
      <c r="C863" s="2545"/>
      <c r="D863" s="2545"/>
      <c r="E863" s="2545"/>
      <c r="F863" s="2545"/>
      <c r="G863" s="2545"/>
      <c r="H863" s="2545"/>
      <c r="I863" s="2545"/>
      <c r="J863" s="2545"/>
      <c r="K863" s="893"/>
    </row>
    <row r="864" spans="1:11" s="888" customFormat="1" x14ac:dyDescent="0.25">
      <c r="A864" s="2550" t="s">
        <v>496</v>
      </c>
      <c r="B864" s="2550" t="s">
        <v>496</v>
      </c>
      <c r="C864" s="2550"/>
      <c r="D864" s="2550"/>
      <c r="E864" s="2550"/>
      <c r="F864" s="2550"/>
      <c r="G864" s="2550"/>
      <c r="H864" s="2550"/>
      <c r="I864" s="2550"/>
      <c r="J864" s="2550"/>
      <c r="K864" s="893"/>
    </row>
    <row r="865" spans="1:11" s="888" customFormat="1" ht="45" x14ac:dyDescent="0.25">
      <c r="A865" s="683" t="s">
        <v>109</v>
      </c>
      <c r="B865" s="887" t="s">
        <v>624</v>
      </c>
      <c r="C865" s="684" t="s">
        <v>91</v>
      </c>
      <c r="D865" s="887">
        <v>851</v>
      </c>
      <c r="E865" s="887">
        <v>291</v>
      </c>
      <c r="F865" s="685" t="s">
        <v>1319</v>
      </c>
      <c r="G865" s="686">
        <v>22710560</v>
      </c>
      <c r="H865" s="686">
        <v>800000</v>
      </c>
      <c r="I865" s="686">
        <f>H865-G865</f>
        <v>-21910560</v>
      </c>
      <c r="J865" s="685" t="s">
        <v>1381</v>
      </c>
      <c r="K865" s="894"/>
    </row>
    <row r="866" spans="1:11" s="888" customFormat="1" ht="105" x14ac:dyDescent="0.25">
      <c r="A866" s="683" t="s">
        <v>109</v>
      </c>
      <c r="B866" s="887" t="s">
        <v>624</v>
      </c>
      <c r="C866" s="684" t="s">
        <v>91</v>
      </c>
      <c r="D866" s="887">
        <v>244</v>
      </c>
      <c r="E866" s="887">
        <v>226</v>
      </c>
      <c r="F866" s="685" t="s">
        <v>1318</v>
      </c>
      <c r="G866" s="686">
        <v>230004</v>
      </c>
      <c r="H866" s="686">
        <f>G866+1500000</f>
        <v>1730004</v>
      </c>
      <c r="I866" s="686">
        <f>H866-G866</f>
        <v>1500000</v>
      </c>
      <c r="J866" s="685" t="s">
        <v>1386</v>
      </c>
      <c r="K866" s="894"/>
    </row>
    <row r="867" spans="1:11" s="888" customFormat="1" ht="45" x14ac:dyDescent="0.25">
      <c r="A867" s="683" t="s">
        <v>109</v>
      </c>
      <c r="B867" s="887" t="s">
        <v>624</v>
      </c>
      <c r="C867" s="684" t="s">
        <v>91</v>
      </c>
      <c r="D867" s="887">
        <v>244</v>
      </c>
      <c r="E867" s="887">
        <v>223</v>
      </c>
      <c r="F867" s="685" t="s">
        <v>456</v>
      </c>
      <c r="G867" s="686">
        <v>1266702.52</v>
      </c>
      <c r="H867" s="686">
        <f>G867+1500000</f>
        <v>2766702.52</v>
      </c>
      <c r="I867" s="686">
        <f>H867-G867</f>
        <v>1500000</v>
      </c>
      <c r="J867" s="685" t="s">
        <v>1387</v>
      </c>
      <c r="K867" s="894"/>
    </row>
    <row r="868" spans="1:11" s="888" customFormat="1" ht="75" x14ac:dyDescent="0.25">
      <c r="A868" s="683" t="s">
        <v>109</v>
      </c>
      <c r="B868" s="887" t="s">
        <v>624</v>
      </c>
      <c r="C868" s="530" t="s">
        <v>706</v>
      </c>
      <c r="D868" s="887">
        <v>247</v>
      </c>
      <c r="E868" s="887">
        <v>223</v>
      </c>
      <c r="F868" s="685" t="s">
        <v>456</v>
      </c>
      <c r="G868" s="686">
        <v>2547252.61</v>
      </c>
      <c r="H868" s="686">
        <v>21457812.609999999</v>
      </c>
      <c r="I868" s="686">
        <f>H868-G868</f>
        <v>18910560</v>
      </c>
      <c r="J868" s="685" t="s">
        <v>1388</v>
      </c>
      <c r="K868" s="894"/>
    </row>
    <row r="869" spans="1:11" s="888" customFormat="1" x14ac:dyDescent="0.25">
      <c r="A869" s="2537" t="s">
        <v>1117</v>
      </c>
      <c r="B869" s="2537"/>
      <c r="C869" s="2537"/>
      <c r="D869" s="2537"/>
      <c r="E869" s="2537"/>
      <c r="F869" s="2537"/>
      <c r="G869" s="687">
        <f>SUM(G865:G868)</f>
        <v>26754519.129999999</v>
      </c>
      <c r="H869" s="687">
        <f>SUM(H865:H868)</f>
        <v>26754519.129999999</v>
      </c>
      <c r="I869" s="687">
        <f>SUM(I865:I868)</f>
        <v>0</v>
      </c>
      <c r="J869" s="682" t="s">
        <v>82</v>
      </c>
      <c r="K869" s="895" t="s">
        <v>82</v>
      </c>
    </row>
    <row r="870" spans="1:11" s="888" customFormat="1" x14ac:dyDescent="0.25">
      <c r="A870" s="2537" t="s">
        <v>1389</v>
      </c>
      <c r="B870" s="2537"/>
      <c r="C870" s="2537"/>
      <c r="D870" s="2537"/>
      <c r="E870" s="2537"/>
      <c r="F870" s="2537"/>
      <c r="G870" s="687">
        <f>G869</f>
        <v>26754519.129999999</v>
      </c>
      <c r="H870" s="687">
        <f>H869</f>
        <v>26754519.129999999</v>
      </c>
      <c r="I870" s="687">
        <f>I869</f>
        <v>0</v>
      </c>
      <c r="J870" s="887" t="s">
        <v>82</v>
      </c>
      <c r="K870" s="893" t="s">
        <v>82</v>
      </c>
    </row>
    <row r="871" spans="1:11" s="888" customFormat="1" ht="12.75" customHeight="1" x14ac:dyDescent="0.25">
      <c r="A871" s="691"/>
      <c r="B871" s="692"/>
      <c r="C871" s="692"/>
      <c r="D871" s="692"/>
      <c r="E871" s="692"/>
      <c r="F871" s="693"/>
      <c r="G871" s="693"/>
      <c r="H871" s="693"/>
      <c r="I871" s="693"/>
      <c r="J871" s="694"/>
      <c r="K871" s="894"/>
    </row>
    <row r="872" spans="1:11" s="888" customFormat="1" x14ac:dyDescent="0.25">
      <c r="A872" s="2579" t="s">
        <v>705</v>
      </c>
      <c r="B872" s="2579"/>
      <c r="C872" s="2579"/>
      <c r="D872" s="2579"/>
      <c r="E872" s="2579"/>
      <c r="F872" s="2579"/>
      <c r="G872" s="696"/>
      <c r="H872" s="697"/>
      <c r="I872" s="698"/>
      <c r="J872" s="697" t="s">
        <v>733</v>
      </c>
    </row>
    <row r="873" spans="1:11" s="888" customFormat="1" x14ac:dyDescent="0.25">
      <c r="A873" s="2570"/>
      <c r="B873" s="2570"/>
      <c r="C873" s="2570"/>
      <c r="D873" s="2570"/>
      <c r="E873" s="2570"/>
      <c r="F873" s="2570"/>
      <c r="G873" s="699"/>
      <c r="H873" s="697"/>
      <c r="I873" s="698"/>
      <c r="J873" s="697"/>
    </row>
    <row r="874" spans="1:11" s="888" customFormat="1" x14ac:dyDescent="0.25">
      <c r="A874" s="2571" t="s">
        <v>156</v>
      </c>
      <c r="B874" s="2571"/>
      <c r="C874" s="2571"/>
      <c r="D874" s="2571"/>
      <c r="E874" s="2571"/>
      <c r="F874" s="2571"/>
      <c r="G874" s="696"/>
      <c r="H874" s="697"/>
      <c r="I874" s="698"/>
      <c r="J874" s="697" t="s">
        <v>729</v>
      </c>
    </row>
    <row r="876" spans="1:11" s="680" customFormat="1" ht="18.75" x14ac:dyDescent="0.25">
      <c r="A876" s="2542" t="s">
        <v>1391</v>
      </c>
      <c r="B876" s="2542"/>
      <c r="C876" s="2542"/>
      <c r="D876" s="2542"/>
      <c r="E876" s="2542"/>
      <c r="F876" s="2542"/>
      <c r="G876" s="2542"/>
      <c r="H876" s="2542"/>
      <c r="I876" s="2542"/>
      <c r="J876" s="2542"/>
    </row>
    <row r="877" spans="1:11" s="680" customFormat="1" ht="18.75" x14ac:dyDescent="0.25">
      <c r="A877" s="2542" t="s">
        <v>1317</v>
      </c>
      <c r="B877" s="2542"/>
      <c r="C877" s="2542"/>
      <c r="D877" s="2542"/>
      <c r="E877" s="2542"/>
      <c r="F877" s="2542"/>
      <c r="G877" s="2542"/>
      <c r="H877" s="2542"/>
      <c r="I877" s="2542"/>
      <c r="J877" s="2542"/>
    </row>
    <row r="878" spans="1:11" s="680" customFormat="1" ht="18.75" x14ac:dyDescent="0.25">
      <c r="A878" s="2542" t="s">
        <v>1392</v>
      </c>
      <c r="B878" s="2542"/>
      <c r="C878" s="2542"/>
      <c r="D878" s="2542"/>
      <c r="E878" s="2542"/>
      <c r="F878" s="2542"/>
      <c r="G878" s="2542"/>
      <c r="H878" s="2542"/>
      <c r="I878" s="2542"/>
      <c r="J878" s="2542"/>
    </row>
    <row r="879" spans="1:11" s="680" customFormat="1" x14ac:dyDescent="0.25">
      <c r="A879" s="2569"/>
      <c r="B879" s="2569"/>
      <c r="C879" s="2569"/>
      <c r="D879" s="2569"/>
      <c r="E879" s="2569"/>
      <c r="F879" s="2569"/>
      <c r="G879" s="2569"/>
      <c r="H879" s="2569"/>
      <c r="I879" s="2569"/>
      <c r="J879" s="2569"/>
    </row>
    <row r="880" spans="1:11" s="680" customFormat="1" ht="77.25" customHeight="1" x14ac:dyDescent="0.25">
      <c r="A880" s="898" t="s">
        <v>406</v>
      </c>
      <c r="B880" s="682" t="s">
        <v>235</v>
      </c>
      <c r="C880" s="682" t="s">
        <v>234</v>
      </c>
      <c r="D880" s="898" t="s">
        <v>305</v>
      </c>
      <c r="E880" s="682" t="s">
        <v>1095</v>
      </c>
      <c r="F880" s="682" t="s">
        <v>35</v>
      </c>
      <c r="G880" s="682" t="s">
        <v>1096</v>
      </c>
      <c r="H880" s="682" t="s">
        <v>491</v>
      </c>
      <c r="I880" s="682" t="s">
        <v>492</v>
      </c>
      <c r="J880" s="682" t="s">
        <v>1097</v>
      </c>
    </row>
    <row r="881" spans="1:13" s="680" customFormat="1" x14ac:dyDescent="0.25">
      <c r="A881" s="2545" t="s">
        <v>493</v>
      </c>
      <c r="B881" s="2545"/>
      <c r="C881" s="2545"/>
      <c r="D881" s="2545"/>
      <c r="E881" s="2545"/>
      <c r="F881" s="2545"/>
      <c r="G881" s="2545"/>
      <c r="H881" s="2545"/>
      <c r="I881" s="2545"/>
      <c r="J881" s="2545"/>
    </row>
    <row r="882" spans="1:13" s="680" customFormat="1" x14ac:dyDescent="0.25">
      <c r="A882" s="899"/>
      <c r="B882" s="2562" t="s">
        <v>503</v>
      </c>
      <c r="C882" s="2572"/>
      <c r="D882" s="2572"/>
      <c r="E882" s="2572"/>
      <c r="F882" s="2572"/>
      <c r="G882" s="2572"/>
      <c r="H882" s="2572"/>
      <c r="I882" s="2572"/>
      <c r="J882" s="2573"/>
    </row>
    <row r="883" spans="1:13" s="680" customFormat="1" ht="135" x14ac:dyDescent="0.25">
      <c r="A883" s="683" t="s">
        <v>109</v>
      </c>
      <c r="B883" s="898" t="s">
        <v>626</v>
      </c>
      <c r="C883" s="684" t="s">
        <v>67</v>
      </c>
      <c r="D883" s="898">
        <v>321</v>
      </c>
      <c r="E883" s="898">
        <v>264</v>
      </c>
      <c r="F883" s="685" t="s">
        <v>1107</v>
      </c>
      <c r="G883" s="686">
        <v>226500.01</v>
      </c>
      <c r="H883" s="686">
        <f>G883-42003</f>
        <v>184497.01</v>
      </c>
      <c r="I883" s="686">
        <f>H883-G883</f>
        <v>-42003</v>
      </c>
      <c r="J883" s="707" t="s">
        <v>1393</v>
      </c>
      <c r="L883" s="842"/>
      <c r="M883" s="842"/>
    </row>
    <row r="884" spans="1:13" s="823" customFormat="1" ht="135" x14ac:dyDescent="0.25">
      <c r="A884" s="683" t="s">
        <v>109</v>
      </c>
      <c r="B884" s="898" t="s">
        <v>626</v>
      </c>
      <c r="C884" s="684" t="s">
        <v>67</v>
      </c>
      <c r="D884" s="898">
        <v>244</v>
      </c>
      <c r="E884" s="898">
        <v>310</v>
      </c>
      <c r="F884" s="685" t="s">
        <v>1259</v>
      </c>
      <c r="G884" s="686">
        <v>3836725.75</v>
      </c>
      <c r="H884" s="686">
        <f>G884+42003</f>
        <v>3878728.75</v>
      </c>
      <c r="I884" s="686">
        <f>H884-G884</f>
        <v>42003</v>
      </c>
      <c r="J884" s="707" t="s">
        <v>1394</v>
      </c>
    </row>
    <row r="885" spans="1:13" s="680" customFormat="1" x14ac:dyDescent="0.25">
      <c r="A885" s="2574" t="s">
        <v>1098</v>
      </c>
      <c r="B885" s="2575"/>
      <c r="C885" s="2575"/>
      <c r="D885" s="2575"/>
      <c r="E885" s="2575"/>
      <c r="F885" s="2576"/>
      <c r="G885" s="687">
        <f>SUM(G883:G884)</f>
        <v>4063225.76</v>
      </c>
      <c r="H885" s="687">
        <f>SUM(H883:H884)</f>
        <v>4063225.76</v>
      </c>
      <c r="I885" s="687">
        <f>SUM(I883:I884)</f>
        <v>0</v>
      </c>
      <c r="J885" s="897" t="s">
        <v>82</v>
      </c>
    </row>
    <row r="886" spans="1:13" s="680" customFormat="1" x14ac:dyDescent="0.25">
      <c r="A886" s="2577" t="s">
        <v>160</v>
      </c>
      <c r="B886" s="2578"/>
      <c r="C886" s="2578"/>
      <c r="D886" s="2578"/>
      <c r="E886" s="2578"/>
      <c r="F886" s="687" t="s">
        <v>82</v>
      </c>
      <c r="G886" s="687">
        <f>G885</f>
        <v>4063225.76</v>
      </c>
      <c r="H886" s="687">
        <f>H885</f>
        <v>4063225.76</v>
      </c>
      <c r="I886" s="687">
        <f>I885</f>
        <v>0</v>
      </c>
      <c r="J886" s="897" t="s">
        <v>82</v>
      </c>
    </row>
    <row r="887" spans="1:13" s="680" customFormat="1" x14ac:dyDescent="0.25">
      <c r="A887" s="691"/>
      <c r="B887" s="692"/>
      <c r="C887" s="692"/>
      <c r="D887" s="692"/>
      <c r="E887" s="692"/>
      <c r="F887" s="693"/>
      <c r="G887" s="693"/>
      <c r="H887" s="693"/>
      <c r="I887" s="693"/>
      <c r="J887" s="694"/>
    </row>
    <row r="888" spans="1:13" s="680" customFormat="1" x14ac:dyDescent="0.25">
      <c r="A888" s="2579" t="s">
        <v>1395</v>
      </c>
      <c r="B888" s="2579"/>
      <c r="C888" s="2579"/>
      <c r="D888" s="2579"/>
      <c r="E888" s="2579"/>
      <c r="F888" s="2579"/>
      <c r="G888" s="696"/>
      <c r="H888" s="697"/>
      <c r="I888" s="698"/>
      <c r="J888" s="697" t="s">
        <v>243</v>
      </c>
    </row>
    <row r="889" spans="1:13" s="680" customFormat="1" x14ac:dyDescent="0.25">
      <c r="A889" s="2570"/>
      <c r="B889" s="2570"/>
      <c r="C889" s="2570"/>
      <c r="D889" s="2570"/>
      <c r="E889" s="2570"/>
      <c r="F889" s="2570"/>
      <c r="G889" s="699"/>
      <c r="H889" s="697"/>
      <c r="I889" s="698"/>
      <c r="J889" s="697"/>
    </row>
    <row r="890" spans="1:13" s="680" customFormat="1" x14ac:dyDescent="0.25">
      <c r="A890" s="2571" t="s">
        <v>156</v>
      </c>
      <c r="B890" s="2571"/>
      <c r="C890" s="2571"/>
      <c r="D890" s="2571"/>
      <c r="E890" s="2571"/>
      <c r="F890" s="2571"/>
      <c r="G890" s="696"/>
      <c r="H890" s="697"/>
      <c r="I890" s="698"/>
      <c r="J890" s="697" t="s">
        <v>729</v>
      </c>
    </row>
    <row r="892" spans="1:13" s="680" customFormat="1" ht="18.75" x14ac:dyDescent="0.25">
      <c r="A892" s="2542" t="s">
        <v>1396</v>
      </c>
      <c r="B892" s="2542"/>
      <c r="C892" s="2542"/>
      <c r="D892" s="2542"/>
      <c r="E892" s="2542"/>
      <c r="F892" s="2542"/>
      <c r="G892" s="2542"/>
      <c r="H892" s="2542"/>
      <c r="I892" s="2542"/>
      <c r="J892" s="2542"/>
    </row>
    <row r="893" spans="1:13" s="680" customFormat="1" ht="18.75" x14ac:dyDescent="0.25">
      <c r="A893" s="2542" t="s">
        <v>1317</v>
      </c>
      <c r="B893" s="2542"/>
      <c r="C893" s="2542"/>
      <c r="D893" s="2542"/>
      <c r="E893" s="2542"/>
      <c r="F893" s="2542"/>
      <c r="G893" s="2542"/>
      <c r="H893" s="2542"/>
      <c r="I893" s="2542"/>
      <c r="J893" s="2542"/>
    </row>
    <row r="894" spans="1:13" s="680" customFormat="1" ht="18.75" x14ac:dyDescent="0.25">
      <c r="A894" s="2542" t="s">
        <v>611</v>
      </c>
      <c r="B894" s="2542"/>
      <c r="C894" s="2542"/>
      <c r="D894" s="2542"/>
      <c r="E894" s="2542"/>
      <c r="F894" s="2542"/>
      <c r="G894" s="2542"/>
      <c r="H894" s="2542"/>
      <c r="I894" s="2542"/>
      <c r="J894" s="2542"/>
    </row>
    <row r="895" spans="1:13" s="680" customFormat="1" x14ac:dyDescent="0.25">
      <c r="A895" s="2569"/>
      <c r="B895" s="2569"/>
      <c r="C895" s="2569"/>
      <c r="D895" s="2569"/>
      <c r="E895" s="2569"/>
      <c r="F895" s="2569"/>
      <c r="G895" s="2569"/>
      <c r="H895" s="2569"/>
      <c r="I895" s="2569"/>
      <c r="J895" s="2569"/>
    </row>
    <row r="896" spans="1:13" s="680" customFormat="1" ht="77.25" customHeight="1" x14ac:dyDescent="0.25">
      <c r="A896" s="898" t="s">
        <v>406</v>
      </c>
      <c r="B896" s="682" t="s">
        <v>235</v>
      </c>
      <c r="C896" s="682" t="s">
        <v>234</v>
      </c>
      <c r="D896" s="898" t="s">
        <v>305</v>
      </c>
      <c r="E896" s="682" t="s">
        <v>1095</v>
      </c>
      <c r="F896" s="682" t="s">
        <v>35</v>
      </c>
      <c r="G896" s="682" t="s">
        <v>1096</v>
      </c>
      <c r="H896" s="682" t="s">
        <v>491</v>
      </c>
      <c r="I896" s="682" t="s">
        <v>492</v>
      </c>
      <c r="J896" s="682" t="s">
        <v>1097</v>
      </c>
    </row>
    <row r="897" spans="1:11" s="680" customFormat="1" x14ac:dyDescent="0.25">
      <c r="A897" s="2550" t="s">
        <v>155</v>
      </c>
      <c r="B897" s="2550"/>
      <c r="C897" s="2550"/>
      <c r="D897" s="2550"/>
      <c r="E897" s="2550"/>
      <c r="F897" s="2550"/>
      <c r="G897" s="2550"/>
      <c r="H897" s="2550"/>
      <c r="I897" s="2550"/>
      <c r="J897" s="2550"/>
    </row>
    <row r="898" spans="1:11" s="680" customFormat="1" ht="135" x14ac:dyDescent="0.25">
      <c r="A898" s="898"/>
      <c r="B898" s="898"/>
      <c r="C898" s="684" t="s">
        <v>137</v>
      </c>
      <c r="D898" s="684" t="s">
        <v>495</v>
      </c>
      <c r="E898" s="684" t="s">
        <v>537</v>
      </c>
      <c r="F898" s="685" t="s">
        <v>499</v>
      </c>
      <c r="G898" s="686">
        <v>8443720.8000000007</v>
      </c>
      <c r="H898" s="686">
        <f>G898-1031467.05+52106.25</f>
        <v>7464360</v>
      </c>
      <c r="I898" s="686">
        <f>H898-G898</f>
        <v>-979360.8</v>
      </c>
      <c r="J898" s="685" t="s">
        <v>1131</v>
      </c>
    </row>
    <row r="899" spans="1:11" s="680" customFormat="1" ht="60" x14ac:dyDescent="0.25">
      <c r="A899" s="683" t="s">
        <v>109</v>
      </c>
      <c r="B899" s="541" t="s">
        <v>1298</v>
      </c>
      <c r="C899" s="684" t="s">
        <v>34</v>
      </c>
      <c r="D899" s="708">
        <v>244</v>
      </c>
      <c r="E899" s="708">
        <v>225</v>
      </c>
      <c r="F899" s="896" t="s">
        <v>457</v>
      </c>
      <c r="G899" s="686">
        <v>1182308.02</v>
      </c>
      <c r="H899" s="686">
        <f>G899-400000</f>
        <v>782308.02</v>
      </c>
      <c r="I899" s="686">
        <f>H899-G899</f>
        <v>-400000</v>
      </c>
      <c r="J899" s="685" t="s">
        <v>1338</v>
      </c>
      <c r="K899" s="709"/>
    </row>
    <row r="900" spans="1:11" s="680" customFormat="1" ht="45" x14ac:dyDescent="0.25">
      <c r="A900" s="683" t="s">
        <v>109</v>
      </c>
      <c r="B900" s="541" t="s">
        <v>1298</v>
      </c>
      <c r="C900" s="684" t="s">
        <v>34</v>
      </c>
      <c r="D900" s="708">
        <v>244</v>
      </c>
      <c r="E900" s="708">
        <v>221</v>
      </c>
      <c r="F900" s="685" t="s">
        <v>497</v>
      </c>
      <c r="G900" s="686">
        <v>42057.58</v>
      </c>
      <c r="H900" s="686">
        <f>G900-31467.05</f>
        <v>10590.53</v>
      </c>
      <c r="I900" s="686">
        <f>H900-G900</f>
        <v>-31467.05</v>
      </c>
      <c r="J900" s="685" t="s">
        <v>1339</v>
      </c>
      <c r="K900" s="709"/>
    </row>
    <row r="901" spans="1:11" s="680" customFormat="1" ht="45" x14ac:dyDescent="0.25">
      <c r="A901" s="683" t="s">
        <v>109</v>
      </c>
      <c r="B901" s="541" t="s">
        <v>1298</v>
      </c>
      <c r="C901" s="684" t="s">
        <v>34</v>
      </c>
      <c r="D901" s="708">
        <v>244</v>
      </c>
      <c r="E901" s="708">
        <v>226</v>
      </c>
      <c r="F901" s="685" t="s">
        <v>460</v>
      </c>
      <c r="G901" s="686">
        <v>2112846.34</v>
      </c>
      <c r="H901" s="686">
        <f>G901-600000+52106.25</f>
        <v>1564952.59</v>
      </c>
      <c r="I901" s="686">
        <f>H901-G901</f>
        <v>-547893.75</v>
      </c>
      <c r="J901" s="685" t="s">
        <v>1313</v>
      </c>
      <c r="K901" s="709"/>
    </row>
    <row r="902" spans="1:11" s="680" customFormat="1" x14ac:dyDescent="0.25">
      <c r="A902" s="2574" t="s">
        <v>1125</v>
      </c>
      <c r="B902" s="2580"/>
      <c r="C902" s="2580"/>
      <c r="D902" s="2580"/>
      <c r="E902" s="2580"/>
      <c r="F902" s="2576"/>
      <c r="G902" s="687">
        <f>SUM(G899:G901)</f>
        <v>3337211.94</v>
      </c>
      <c r="H902" s="687">
        <f>SUM(H899:H901)</f>
        <v>2357851.14</v>
      </c>
      <c r="I902" s="687">
        <f>SUM(I899:I901)</f>
        <v>-979360.8</v>
      </c>
      <c r="J902" s="897"/>
    </row>
    <row r="903" spans="1:11" s="900" customFormat="1" x14ac:dyDescent="0.25">
      <c r="A903" s="2577" t="s">
        <v>160</v>
      </c>
      <c r="B903" s="2578"/>
      <c r="C903" s="2578"/>
      <c r="D903" s="2578"/>
      <c r="E903" s="2578"/>
      <c r="F903" s="687" t="s">
        <v>82</v>
      </c>
      <c r="G903" s="687">
        <f>G902</f>
        <v>3337211.94</v>
      </c>
      <c r="H903" s="687">
        <f>H902</f>
        <v>2357851.14</v>
      </c>
      <c r="I903" s="687">
        <f>I902</f>
        <v>-979360.8</v>
      </c>
      <c r="J903" s="897" t="s">
        <v>82</v>
      </c>
    </row>
    <row r="904" spans="1:11" s="900" customFormat="1" x14ac:dyDescent="0.25"/>
    <row r="905" spans="1:11" s="900" customFormat="1" x14ac:dyDescent="0.25">
      <c r="A905" s="2579" t="s">
        <v>1395</v>
      </c>
      <c r="B905" s="2579"/>
      <c r="C905" s="2579"/>
      <c r="D905" s="2579"/>
      <c r="E905" s="2579"/>
      <c r="F905" s="2579"/>
      <c r="G905" s="696"/>
      <c r="H905" s="697"/>
      <c r="I905" s="698"/>
      <c r="J905" s="697" t="s">
        <v>243</v>
      </c>
    </row>
    <row r="906" spans="1:11" s="900" customFormat="1" x14ac:dyDescent="0.25">
      <c r="A906" s="2570"/>
      <c r="B906" s="2570"/>
      <c r="C906" s="2570"/>
      <c r="D906" s="2570"/>
      <c r="E906" s="2570"/>
      <c r="F906" s="2570"/>
      <c r="G906" s="699"/>
      <c r="H906" s="697"/>
      <c r="I906" s="698"/>
      <c r="J906" s="697"/>
    </row>
    <row r="907" spans="1:11" s="900" customFormat="1" x14ac:dyDescent="0.25">
      <c r="A907" s="2571" t="s">
        <v>156</v>
      </c>
      <c r="B907" s="2571"/>
      <c r="C907" s="2571"/>
      <c r="D907" s="2571"/>
      <c r="E907" s="2571"/>
      <c r="F907" s="2571"/>
      <c r="G907" s="696"/>
      <c r="H907" s="697"/>
      <c r="I907" s="698"/>
      <c r="J907" s="697" t="s">
        <v>729</v>
      </c>
    </row>
    <row r="909" spans="1:11" s="680" customFormat="1" ht="18.75" x14ac:dyDescent="0.25">
      <c r="A909" s="2542" t="s">
        <v>1397</v>
      </c>
      <c r="B909" s="2542"/>
      <c r="C909" s="2542"/>
      <c r="D909" s="2542"/>
      <c r="E909" s="2542"/>
      <c r="F909" s="2542"/>
      <c r="G909" s="2542"/>
      <c r="H909" s="2542"/>
      <c r="I909" s="2542"/>
      <c r="J909" s="2542"/>
    </row>
    <row r="910" spans="1:11" s="680" customFormat="1" ht="18.75" x14ac:dyDescent="0.25">
      <c r="A910" s="2542" t="s">
        <v>1317</v>
      </c>
      <c r="B910" s="2542"/>
      <c r="C910" s="2542"/>
      <c r="D910" s="2542"/>
      <c r="E910" s="2542"/>
      <c r="F910" s="2542"/>
      <c r="G910" s="2542"/>
      <c r="H910" s="2542"/>
      <c r="I910" s="2542"/>
      <c r="J910" s="2542"/>
    </row>
    <row r="911" spans="1:11" s="680" customFormat="1" ht="18.75" x14ac:dyDescent="0.25">
      <c r="A911" s="2542" t="s">
        <v>611</v>
      </c>
      <c r="B911" s="2542"/>
      <c r="C911" s="2542"/>
      <c r="D911" s="2542"/>
      <c r="E911" s="2542"/>
      <c r="F911" s="2542"/>
      <c r="G911" s="2542"/>
      <c r="H911" s="2542"/>
      <c r="I911" s="2542"/>
      <c r="J911" s="2542"/>
    </row>
    <row r="912" spans="1:11" s="680" customFormat="1" x14ac:dyDescent="0.25">
      <c r="A912" s="2569"/>
      <c r="B912" s="2569"/>
      <c r="C912" s="2569"/>
      <c r="D912" s="2569"/>
      <c r="E912" s="2569"/>
      <c r="F912" s="2569"/>
      <c r="G912" s="2569"/>
      <c r="H912" s="2569"/>
      <c r="I912" s="2569"/>
      <c r="J912" s="2569"/>
    </row>
    <row r="913" spans="1:11" s="680" customFormat="1" ht="77.25" customHeight="1" x14ac:dyDescent="0.25">
      <c r="A913" s="901" t="s">
        <v>406</v>
      </c>
      <c r="B913" s="682" t="s">
        <v>235</v>
      </c>
      <c r="C913" s="682" t="s">
        <v>234</v>
      </c>
      <c r="D913" s="901" t="s">
        <v>305</v>
      </c>
      <c r="E913" s="682" t="s">
        <v>1095</v>
      </c>
      <c r="F913" s="682" t="s">
        <v>35</v>
      </c>
      <c r="G913" s="682" t="s">
        <v>1096</v>
      </c>
      <c r="H913" s="682" t="s">
        <v>491</v>
      </c>
      <c r="I913" s="682" t="s">
        <v>492</v>
      </c>
      <c r="J913" s="682" t="s">
        <v>1097</v>
      </c>
    </row>
    <row r="914" spans="1:11" s="903" customFormat="1" x14ac:dyDescent="0.25">
      <c r="A914" s="2550" t="s">
        <v>1099</v>
      </c>
      <c r="B914" s="2550"/>
      <c r="C914" s="2550"/>
      <c r="D914" s="2550"/>
      <c r="E914" s="2550"/>
      <c r="F914" s="2550"/>
      <c r="G914" s="2550"/>
      <c r="H914" s="2550"/>
      <c r="I914" s="2550"/>
      <c r="J914" s="2550"/>
    </row>
    <row r="915" spans="1:11" s="680" customFormat="1" ht="60" x14ac:dyDescent="0.25">
      <c r="A915" s="901"/>
      <c r="B915" s="901"/>
      <c r="C915" s="684" t="s">
        <v>136</v>
      </c>
      <c r="D915" s="684" t="s">
        <v>495</v>
      </c>
      <c r="E915" s="684" t="s">
        <v>537</v>
      </c>
      <c r="F915" s="685" t="s">
        <v>1100</v>
      </c>
      <c r="G915" s="686">
        <v>8655907.8399999999</v>
      </c>
      <c r="H915" s="686">
        <f>G915+942560</f>
        <v>9598467.8399999999</v>
      </c>
      <c r="I915" s="686">
        <f>H915-G915</f>
        <v>942560</v>
      </c>
      <c r="J915" s="685" t="s">
        <v>1101</v>
      </c>
    </row>
    <row r="916" spans="1:11" s="680" customFormat="1" ht="45" x14ac:dyDescent="0.25">
      <c r="A916" s="683" t="s">
        <v>109</v>
      </c>
      <c r="B916" s="541" t="s">
        <v>1298</v>
      </c>
      <c r="C916" s="684" t="s">
        <v>142</v>
      </c>
      <c r="D916" s="708">
        <v>244</v>
      </c>
      <c r="E916" s="708">
        <v>226</v>
      </c>
      <c r="F916" s="685" t="s">
        <v>460</v>
      </c>
      <c r="G916" s="686">
        <v>0</v>
      </c>
      <c r="H916" s="686">
        <v>942560</v>
      </c>
      <c r="I916" s="686">
        <f>H916-G916</f>
        <v>942560</v>
      </c>
      <c r="J916" s="685" t="s">
        <v>1398</v>
      </c>
      <c r="K916" s="709"/>
    </row>
    <row r="917" spans="1:11" s="903" customFormat="1" x14ac:dyDescent="0.25">
      <c r="A917" s="2574" t="s">
        <v>1104</v>
      </c>
      <c r="B917" s="2580"/>
      <c r="C917" s="2580"/>
      <c r="D917" s="2580"/>
      <c r="E917" s="2580"/>
      <c r="F917" s="2576"/>
      <c r="G917" s="687">
        <f>SUM(G916:G916)</f>
        <v>0</v>
      </c>
      <c r="H917" s="687">
        <f>SUM(H916:H916)</f>
        <v>942560</v>
      </c>
      <c r="I917" s="687">
        <f>SUM(I916:I916)</f>
        <v>942560</v>
      </c>
      <c r="J917" s="902"/>
    </row>
    <row r="918" spans="1:11" s="903" customFormat="1" x14ac:dyDescent="0.25">
      <c r="A918" s="2577" t="s">
        <v>160</v>
      </c>
      <c r="B918" s="2578"/>
      <c r="C918" s="2578"/>
      <c r="D918" s="2578"/>
      <c r="E918" s="2578"/>
      <c r="F918" s="687" t="s">
        <v>82</v>
      </c>
      <c r="G918" s="687">
        <f>G917</f>
        <v>0</v>
      </c>
      <c r="H918" s="687">
        <f>H917</f>
        <v>942560</v>
      </c>
      <c r="I918" s="687">
        <f>I917</f>
        <v>942560</v>
      </c>
      <c r="J918" s="902" t="s">
        <v>82</v>
      </c>
    </row>
    <row r="919" spans="1:11" s="903" customFormat="1" x14ac:dyDescent="0.25"/>
    <row r="920" spans="1:11" s="903" customFormat="1" x14ac:dyDescent="0.25">
      <c r="A920" s="2579" t="s">
        <v>1395</v>
      </c>
      <c r="B920" s="2579"/>
      <c r="C920" s="2579"/>
      <c r="D920" s="2579"/>
      <c r="E920" s="2579"/>
      <c r="F920" s="2579"/>
      <c r="G920" s="696"/>
      <c r="H920" s="697"/>
      <c r="I920" s="698"/>
      <c r="J920" s="697" t="s">
        <v>243</v>
      </c>
    </row>
    <row r="921" spans="1:11" s="903" customFormat="1" x14ac:dyDescent="0.25">
      <c r="A921" s="2570"/>
      <c r="B921" s="2570"/>
      <c r="C921" s="2570"/>
      <c r="D921" s="2570"/>
      <c r="E921" s="2570"/>
      <c r="F921" s="2570"/>
      <c r="G921" s="699"/>
      <c r="H921" s="697"/>
      <c r="I921" s="698"/>
      <c r="J921" s="697"/>
    </row>
    <row r="922" spans="1:11" s="903" customFormat="1" x14ac:dyDescent="0.25">
      <c r="A922" s="2571" t="s">
        <v>156</v>
      </c>
      <c r="B922" s="2571"/>
      <c r="C922" s="2571"/>
      <c r="D922" s="2571"/>
      <c r="E922" s="2571"/>
      <c r="F922" s="2571"/>
      <c r="G922" s="696"/>
      <c r="H922" s="697"/>
      <c r="I922" s="698"/>
      <c r="J922" s="697" t="s">
        <v>729</v>
      </c>
    </row>
    <row r="924" spans="1:11" s="680" customFormat="1" ht="18.75" x14ac:dyDescent="0.25">
      <c r="A924" s="2542" t="s">
        <v>1399</v>
      </c>
      <c r="B924" s="2542"/>
      <c r="C924" s="2542"/>
      <c r="D924" s="2542"/>
      <c r="E924" s="2542"/>
      <c r="F924" s="2542"/>
      <c r="G924" s="2542"/>
      <c r="H924" s="2542"/>
      <c r="I924" s="2542"/>
      <c r="J924" s="2542"/>
    </row>
    <row r="925" spans="1:11" s="680" customFormat="1" ht="18.75" x14ac:dyDescent="0.25">
      <c r="A925" s="2542" t="s">
        <v>1317</v>
      </c>
      <c r="B925" s="2542"/>
      <c r="C925" s="2542"/>
      <c r="D925" s="2542"/>
      <c r="E925" s="2542"/>
      <c r="F925" s="2542"/>
      <c r="G925" s="2542"/>
      <c r="H925" s="2542"/>
      <c r="I925" s="2542"/>
      <c r="J925" s="2542"/>
    </row>
    <row r="926" spans="1:11" s="680" customFormat="1" ht="18.75" x14ac:dyDescent="0.25">
      <c r="A926" s="2542" t="s">
        <v>611</v>
      </c>
      <c r="B926" s="2542"/>
      <c r="C926" s="2542"/>
      <c r="D926" s="2542"/>
      <c r="E926" s="2542"/>
      <c r="F926" s="2542"/>
      <c r="G926" s="2542"/>
      <c r="H926" s="2542"/>
      <c r="I926" s="2542"/>
      <c r="J926" s="2542"/>
    </row>
    <row r="927" spans="1:11" s="680" customFormat="1" x14ac:dyDescent="0.25">
      <c r="A927" s="2569"/>
      <c r="B927" s="2569"/>
      <c r="C927" s="2569"/>
      <c r="D927" s="2569"/>
      <c r="E927" s="2569"/>
      <c r="F927" s="2569"/>
      <c r="G927" s="2569"/>
      <c r="H927" s="2569"/>
      <c r="I927" s="2569"/>
      <c r="J927" s="2569"/>
    </row>
    <row r="928" spans="1:11" s="680" customFormat="1" ht="77.25" customHeight="1" x14ac:dyDescent="0.25">
      <c r="A928" s="905" t="s">
        <v>406</v>
      </c>
      <c r="B928" s="682" t="s">
        <v>235</v>
      </c>
      <c r="C928" s="682" t="s">
        <v>234</v>
      </c>
      <c r="D928" s="905" t="s">
        <v>305</v>
      </c>
      <c r="E928" s="682" t="s">
        <v>1095</v>
      </c>
      <c r="F928" s="682" t="s">
        <v>35</v>
      </c>
      <c r="G928" s="682" t="s">
        <v>1096</v>
      </c>
      <c r="H928" s="682" t="s">
        <v>491</v>
      </c>
      <c r="I928" s="682" t="s">
        <v>492</v>
      </c>
      <c r="J928" s="682" t="s">
        <v>1097</v>
      </c>
    </row>
    <row r="929" spans="1:11" s="680" customFormat="1" x14ac:dyDescent="0.25">
      <c r="A929" s="2545" t="s">
        <v>493</v>
      </c>
      <c r="B929" s="2545"/>
      <c r="C929" s="2545"/>
      <c r="D929" s="2545"/>
      <c r="E929" s="2545"/>
      <c r="F929" s="2545"/>
      <c r="G929" s="2545"/>
      <c r="H929" s="2545"/>
      <c r="I929" s="2545"/>
      <c r="J929" s="2545"/>
    </row>
    <row r="930" spans="1:11" s="908" customFormat="1" x14ac:dyDescent="0.25">
      <c r="A930" s="2550" t="s">
        <v>496</v>
      </c>
      <c r="B930" s="2550"/>
      <c r="C930" s="2550"/>
      <c r="D930" s="2550"/>
      <c r="E930" s="2550"/>
      <c r="F930" s="2550"/>
      <c r="G930" s="2550"/>
      <c r="H930" s="2550"/>
      <c r="I930" s="2550"/>
      <c r="J930" s="2550"/>
    </row>
    <row r="931" spans="1:11" s="680" customFormat="1" ht="47.25" customHeight="1" x14ac:dyDescent="0.25">
      <c r="A931" s="683" t="s">
        <v>109</v>
      </c>
      <c r="B931" s="905" t="s">
        <v>624</v>
      </c>
      <c r="C931" s="530" t="s">
        <v>706</v>
      </c>
      <c r="D931" s="708">
        <v>244</v>
      </c>
      <c r="E931" s="708">
        <v>221</v>
      </c>
      <c r="F931" s="685" t="s">
        <v>497</v>
      </c>
      <c r="G931" s="686">
        <v>104216.6</v>
      </c>
      <c r="H931" s="686">
        <f>G931+7312.33</f>
        <v>111528.93</v>
      </c>
      <c r="I931" s="686">
        <f>H931-G931</f>
        <v>7312.33</v>
      </c>
      <c r="J931" s="685" t="s">
        <v>1356</v>
      </c>
      <c r="K931" s="709"/>
    </row>
    <row r="932" spans="1:11" s="908" customFormat="1" ht="80.25" customHeight="1" x14ac:dyDescent="0.25">
      <c r="A932" s="683" t="s">
        <v>109</v>
      </c>
      <c r="B932" s="905" t="s">
        <v>624</v>
      </c>
      <c r="C932" s="684" t="s">
        <v>91</v>
      </c>
      <c r="D932" s="708">
        <v>244</v>
      </c>
      <c r="E932" s="708">
        <v>223</v>
      </c>
      <c r="F932" s="685" t="s">
        <v>456</v>
      </c>
      <c r="G932" s="686">
        <v>1659986.06</v>
      </c>
      <c r="H932" s="686">
        <f>G932+620000</f>
        <v>2279986.06</v>
      </c>
      <c r="I932" s="686">
        <f>H932-G932</f>
        <v>620000</v>
      </c>
      <c r="J932" s="685" t="s">
        <v>1357</v>
      </c>
    </row>
    <row r="933" spans="1:11" s="908" customFormat="1" ht="50.25" customHeight="1" x14ac:dyDescent="0.25">
      <c r="A933" s="683" t="s">
        <v>109</v>
      </c>
      <c r="B933" s="905" t="s">
        <v>624</v>
      </c>
      <c r="C933" s="530" t="s">
        <v>706</v>
      </c>
      <c r="D933" s="708">
        <v>247</v>
      </c>
      <c r="E933" s="708">
        <v>223</v>
      </c>
      <c r="F933" s="685" t="s">
        <v>456</v>
      </c>
      <c r="G933" s="686">
        <v>5560111.5999999996</v>
      </c>
      <c r="H933" s="686">
        <f>G933+3435243.94</f>
        <v>8995355.5399999991</v>
      </c>
      <c r="I933" s="686">
        <f>H933-G933</f>
        <v>3435243.94</v>
      </c>
      <c r="J933" s="685" t="s">
        <v>1358</v>
      </c>
    </row>
    <row r="934" spans="1:11" s="908" customFormat="1" ht="83.25" customHeight="1" x14ac:dyDescent="0.25">
      <c r="A934" s="531" t="s">
        <v>422</v>
      </c>
      <c r="B934" s="905" t="s">
        <v>624</v>
      </c>
      <c r="C934" s="530" t="s">
        <v>706</v>
      </c>
      <c r="D934" s="533">
        <v>244</v>
      </c>
      <c r="E934" s="529">
        <v>225</v>
      </c>
      <c r="F934" s="904" t="s">
        <v>457</v>
      </c>
      <c r="G934" s="536">
        <v>1578464.4</v>
      </c>
      <c r="H934" s="536">
        <f>G934+553673.89</f>
        <v>2132138.29</v>
      </c>
      <c r="I934" s="539">
        <f>H934-G934</f>
        <v>553673.89</v>
      </c>
      <c r="J934" s="904" t="s">
        <v>1359</v>
      </c>
    </row>
    <row r="935" spans="1:11" s="680" customFormat="1" ht="75" x14ac:dyDescent="0.25">
      <c r="A935" s="683" t="s">
        <v>109</v>
      </c>
      <c r="B935" s="905" t="s">
        <v>624</v>
      </c>
      <c r="C935" s="530" t="s">
        <v>706</v>
      </c>
      <c r="D935" s="708">
        <v>244</v>
      </c>
      <c r="E935" s="708">
        <v>226</v>
      </c>
      <c r="F935" s="685" t="s">
        <v>460</v>
      </c>
      <c r="G935" s="686">
        <v>1195079.56</v>
      </c>
      <c r="H935" s="686">
        <f>G935+383769.84</f>
        <v>1578849.4</v>
      </c>
      <c r="I935" s="686">
        <f>H935-G935</f>
        <v>383769.84</v>
      </c>
      <c r="J935" s="685" t="s">
        <v>1360</v>
      </c>
      <c r="K935" s="709"/>
    </row>
    <row r="936" spans="1:11" s="908" customFormat="1" x14ac:dyDescent="0.25">
      <c r="A936" s="906"/>
      <c r="B936" s="2537" t="s">
        <v>1117</v>
      </c>
      <c r="C936" s="2537"/>
      <c r="D936" s="2537"/>
      <c r="E936" s="2537"/>
      <c r="F936" s="2537"/>
      <c r="G936" s="687">
        <f>SUM(G931:G935)</f>
        <v>10097858.220000001</v>
      </c>
      <c r="H936" s="687">
        <f>SUM(H931:H935)</f>
        <v>15097858.220000001</v>
      </c>
      <c r="I936" s="687">
        <f>SUM(I931:I935)</f>
        <v>5000000</v>
      </c>
      <c r="J936" s="682" t="s">
        <v>82</v>
      </c>
    </row>
    <row r="937" spans="1:11" s="908" customFormat="1" x14ac:dyDescent="0.25">
      <c r="A937" s="2577" t="s">
        <v>160</v>
      </c>
      <c r="B937" s="2578"/>
      <c r="C937" s="2578"/>
      <c r="D937" s="2578"/>
      <c r="E937" s="2578"/>
      <c r="F937" s="687" t="s">
        <v>82</v>
      </c>
      <c r="G937" s="687">
        <f>G936</f>
        <v>10097858.220000001</v>
      </c>
      <c r="H937" s="687">
        <f>H936</f>
        <v>15097858.220000001</v>
      </c>
      <c r="I937" s="687">
        <f>I936</f>
        <v>5000000</v>
      </c>
      <c r="J937" s="907" t="s">
        <v>82</v>
      </c>
    </row>
    <row r="938" spans="1:11" s="908" customFormat="1" x14ac:dyDescent="0.25"/>
    <row r="939" spans="1:11" s="908" customFormat="1" x14ac:dyDescent="0.25">
      <c r="A939" s="2579" t="s">
        <v>705</v>
      </c>
      <c r="B939" s="2579"/>
      <c r="C939" s="2579"/>
      <c r="D939" s="2579"/>
      <c r="E939" s="2579"/>
      <c r="F939" s="2579"/>
      <c r="G939" s="696"/>
      <c r="H939" s="697"/>
      <c r="I939" s="698"/>
      <c r="J939" s="697" t="s">
        <v>733</v>
      </c>
    </row>
    <row r="940" spans="1:11" s="908" customFormat="1" x14ac:dyDescent="0.25">
      <c r="A940" s="2570"/>
      <c r="B940" s="2570"/>
      <c r="C940" s="2570"/>
      <c r="D940" s="2570"/>
      <c r="E940" s="2570"/>
      <c r="F940" s="2570"/>
      <c r="G940" s="699"/>
      <c r="H940" s="697"/>
      <c r="I940" s="698"/>
      <c r="J940" s="697"/>
    </row>
    <row r="941" spans="1:11" s="908" customFormat="1" x14ac:dyDescent="0.25">
      <c r="A941" s="2571" t="s">
        <v>156</v>
      </c>
      <c r="B941" s="2571"/>
      <c r="C941" s="2571"/>
      <c r="D941" s="2571"/>
      <c r="E941" s="2571"/>
      <c r="F941" s="2571"/>
      <c r="G941" s="696"/>
      <c r="H941" s="697"/>
      <c r="I941" s="698"/>
      <c r="J941" s="697" t="s">
        <v>729</v>
      </c>
    </row>
    <row r="943" spans="1:11" s="680" customFormat="1" ht="18.75" x14ac:dyDescent="0.25">
      <c r="A943" s="2542" t="s">
        <v>1400</v>
      </c>
      <c r="B943" s="2542"/>
      <c r="C943" s="2542"/>
      <c r="D943" s="2542"/>
      <c r="E943" s="2542"/>
      <c r="F943" s="2542"/>
      <c r="G943" s="2542"/>
      <c r="H943" s="2542"/>
      <c r="I943" s="2542"/>
      <c r="J943" s="2542"/>
    </row>
    <row r="944" spans="1:11" s="680" customFormat="1" ht="18.75" x14ac:dyDescent="0.25">
      <c r="A944" s="2542" t="s">
        <v>1317</v>
      </c>
      <c r="B944" s="2542"/>
      <c r="C944" s="2542"/>
      <c r="D944" s="2542"/>
      <c r="E944" s="2542"/>
      <c r="F944" s="2542"/>
      <c r="G944" s="2542"/>
      <c r="H944" s="2542"/>
      <c r="I944" s="2542"/>
      <c r="J944" s="2542"/>
    </row>
    <row r="945" spans="1:13" s="680" customFormat="1" ht="18.75" x14ac:dyDescent="0.25">
      <c r="A945" s="2542" t="s">
        <v>611</v>
      </c>
      <c r="B945" s="2542"/>
      <c r="C945" s="2542"/>
      <c r="D945" s="2542"/>
      <c r="E945" s="2542"/>
      <c r="F945" s="2542"/>
      <c r="G945" s="2542"/>
      <c r="H945" s="2542"/>
      <c r="I945" s="2542"/>
      <c r="J945" s="2542"/>
    </row>
    <row r="946" spans="1:13" s="680" customFormat="1" x14ac:dyDescent="0.25">
      <c r="A946" s="2569"/>
      <c r="B946" s="2569"/>
      <c r="C946" s="2569"/>
      <c r="D946" s="2569"/>
      <c r="E946" s="2569"/>
      <c r="F946" s="2569"/>
      <c r="G946" s="2569"/>
      <c r="H946" s="2569"/>
      <c r="I946" s="2569"/>
      <c r="J946" s="2569"/>
    </row>
    <row r="947" spans="1:13" s="680" customFormat="1" ht="77.25" customHeight="1" x14ac:dyDescent="0.25">
      <c r="A947" s="912" t="s">
        <v>406</v>
      </c>
      <c r="B947" s="682" t="s">
        <v>235</v>
      </c>
      <c r="C947" s="682" t="s">
        <v>234</v>
      </c>
      <c r="D947" s="912" t="s">
        <v>305</v>
      </c>
      <c r="E947" s="682" t="s">
        <v>1095</v>
      </c>
      <c r="F947" s="682" t="s">
        <v>35</v>
      </c>
      <c r="G947" s="682" t="s">
        <v>1096</v>
      </c>
      <c r="H947" s="682" t="s">
        <v>491</v>
      </c>
      <c r="I947" s="682" t="s">
        <v>492</v>
      </c>
      <c r="J947" s="682" t="s">
        <v>1097</v>
      </c>
    </row>
    <row r="948" spans="1:13" s="680" customFormat="1" x14ac:dyDescent="0.25">
      <c r="A948" s="2545" t="s">
        <v>493</v>
      </c>
      <c r="B948" s="2545"/>
      <c r="C948" s="2545"/>
      <c r="D948" s="2545"/>
      <c r="E948" s="2545"/>
      <c r="F948" s="2545"/>
      <c r="G948" s="2545"/>
      <c r="H948" s="2545"/>
      <c r="I948" s="2545"/>
      <c r="J948" s="2545"/>
    </row>
    <row r="949" spans="1:13" s="680" customFormat="1" x14ac:dyDescent="0.25">
      <c r="A949" s="913"/>
      <c r="B949" s="2562" t="s">
        <v>503</v>
      </c>
      <c r="C949" s="2572"/>
      <c r="D949" s="2572"/>
      <c r="E949" s="2572"/>
      <c r="F949" s="2572"/>
      <c r="G949" s="2572"/>
      <c r="H949" s="2572"/>
      <c r="I949" s="2572"/>
      <c r="J949" s="2573"/>
    </row>
    <row r="950" spans="1:13" s="680" customFormat="1" ht="135" x14ac:dyDescent="0.25">
      <c r="A950" s="683" t="s">
        <v>109</v>
      </c>
      <c r="B950" s="912" t="s">
        <v>626</v>
      </c>
      <c r="C950" s="684" t="s">
        <v>67</v>
      </c>
      <c r="D950" s="912">
        <v>321</v>
      </c>
      <c r="E950" s="912">
        <v>264</v>
      </c>
      <c r="F950" s="685" t="s">
        <v>1107</v>
      </c>
      <c r="G950" s="686">
        <v>25136.45</v>
      </c>
      <c r="H950" s="686">
        <f>G950-2508</f>
        <v>22628.45</v>
      </c>
      <c r="I950" s="686">
        <f>H950-G950</f>
        <v>-2508</v>
      </c>
      <c r="J950" s="707" t="s">
        <v>1393</v>
      </c>
      <c r="L950" s="842"/>
      <c r="M950" s="842"/>
    </row>
    <row r="951" spans="1:13" s="823" customFormat="1" ht="135" x14ac:dyDescent="0.25">
      <c r="A951" s="683" t="s">
        <v>109</v>
      </c>
      <c r="B951" s="912" t="s">
        <v>626</v>
      </c>
      <c r="C951" s="684" t="s">
        <v>67</v>
      </c>
      <c r="D951" s="912">
        <v>244</v>
      </c>
      <c r="E951" s="912">
        <v>310</v>
      </c>
      <c r="F951" s="685" t="s">
        <v>1259</v>
      </c>
      <c r="G951" s="686">
        <v>31331930.350000001</v>
      </c>
      <c r="H951" s="686">
        <f>G951+2508</f>
        <v>31334438.350000001</v>
      </c>
      <c r="I951" s="686">
        <f>H951-G951</f>
        <v>2508</v>
      </c>
      <c r="J951" s="707" t="s">
        <v>1401</v>
      </c>
    </row>
    <row r="952" spans="1:13" s="680" customFormat="1" x14ac:dyDescent="0.25">
      <c r="A952" s="2574" t="s">
        <v>1098</v>
      </c>
      <c r="B952" s="2575"/>
      <c r="C952" s="2575"/>
      <c r="D952" s="2575"/>
      <c r="E952" s="2575"/>
      <c r="F952" s="2576"/>
      <c r="G952" s="687">
        <f>SUM(G950:G951)</f>
        <v>31357066.800000001</v>
      </c>
      <c r="H952" s="687">
        <f>SUM(H950:H951)</f>
        <v>31357066.800000001</v>
      </c>
      <c r="I952" s="687">
        <f>SUM(I950:I951)</f>
        <v>0</v>
      </c>
      <c r="J952" s="914" t="s">
        <v>82</v>
      </c>
    </row>
    <row r="953" spans="1:13" s="680" customFormat="1" x14ac:dyDescent="0.25">
      <c r="A953" s="2577" t="s">
        <v>160</v>
      </c>
      <c r="B953" s="2578"/>
      <c r="C953" s="2578"/>
      <c r="D953" s="2578"/>
      <c r="E953" s="2578"/>
      <c r="F953" s="687" t="s">
        <v>82</v>
      </c>
      <c r="G953" s="687">
        <f>G952</f>
        <v>31357066.800000001</v>
      </c>
      <c r="H953" s="687">
        <f>H952</f>
        <v>31357066.800000001</v>
      </c>
      <c r="I953" s="687">
        <f>I952</f>
        <v>0</v>
      </c>
      <c r="J953" s="914" t="s">
        <v>82</v>
      </c>
    </row>
    <row r="954" spans="1:13" s="680" customFormat="1" x14ac:dyDescent="0.25">
      <c r="A954" s="691"/>
      <c r="B954" s="692"/>
      <c r="C954" s="692"/>
      <c r="D954" s="692"/>
      <c r="E954" s="692"/>
      <c r="F954" s="693"/>
      <c r="G954" s="693"/>
      <c r="H954" s="693"/>
      <c r="I954" s="693"/>
      <c r="J954" s="694"/>
    </row>
    <row r="955" spans="1:13" s="680" customFormat="1" x14ac:dyDescent="0.25">
      <c r="A955" s="2579" t="s">
        <v>1395</v>
      </c>
      <c r="B955" s="2579"/>
      <c r="C955" s="2579"/>
      <c r="D955" s="2579"/>
      <c r="E955" s="2579"/>
      <c r="F955" s="2579"/>
      <c r="G955" s="696"/>
      <c r="H955" s="697"/>
      <c r="I955" s="698"/>
      <c r="J955" s="697" t="s">
        <v>243</v>
      </c>
    </row>
    <row r="956" spans="1:13" s="680" customFormat="1" x14ac:dyDescent="0.25">
      <c r="A956" s="2570"/>
      <c r="B956" s="2570"/>
      <c r="C956" s="2570"/>
      <c r="D956" s="2570"/>
      <c r="E956" s="2570"/>
      <c r="F956" s="2570"/>
      <c r="G956" s="699"/>
      <c r="H956" s="697"/>
      <c r="I956" s="698"/>
      <c r="J956" s="697"/>
    </row>
    <row r="957" spans="1:13" s="680" customFormat="1" x14ac:dyDescent="0.25">
      <c r="A957" s="2571" t="s">
        <v>156</v>
      </c>
      <c r="B957" s="2571"/>
      <c r="C957" s="2571"/>
      <c r="D957" s="2571"/>
      <c r="E957" s="2571"/>
      <c r="F957" s="2571"/>
      <c r="G957" s="696"/>
      <c r="H957" s="697"/>
      <c r="I957" s="698"/>
      <c r="J957" s="697" t="s">
        <v>729</v>
      </c>
    </row>
    <row r="959" spans="1:13" s="680" customFormat="1" ht="18.75" x14ac:dyDescent="0.25">
      <c r="A959" s="2542" t="s">
        <v>1419</v>
      </c>
      <c r="B959" s="2542"/>
      <c r="C959" s="2542"/>
      <c r="D959" s="2542"/>
      <c r="E959" s="2542"/>
      <c r="F959" s="2542"/>
      <c r="G959" s="2542"/>
      <c r="H959" s="2542"/>
      <c r="I959" s="2542"/>
      <c r="J959" s="2542"/>
    </row>
    <row r="960" spans="1:13" s="680" customFormat="1" ht="18.75" x14ac:dyDescent="0.25">
      <c r="A960" s="2542" t="s">
        <v>1317</v>
      </c>
      <c r="B960" s="2542"/>
      <c r="C960" s="2542"/>
      <c r="D960" s="2542"/>
      <c r="E960" s="2542"/>
      <c r="F960" s="2542"/>
      <c r="G960" s="2542"/>
      <c r="H960" s="2542"/>
      <c r="I960" s="2542"/>
      <c r="J960" s="2542"/>
    </row>
    <row r="961" spans="1:13" s="680" customFormat="1" ht="18.75" x14ac:dyDescent="0.25">
      <c r="A961" s="2542" t="s">
        <v>611</v>
      </c>
      <c r="B961" s="2542"/>
      <c r="C961" s="2542"/>
      <c r="D961" s="2542"/>
      <c r="E961" s="2542"/>
      <c r="F961" s="2542"/>
      <c r="G961" s="2542"/>
      <c r="H961" s="2542"/>
      <c r="I961" s="2542"/>
      <c r="J961" s="2542"/>
    </row>
    <row r="962" spans="1:13" s="680" customFormat="1" x14ac:dyDescent="0.25">
      <c r="A962" s="2569"/>
      <c r="B962" s="2569"/>
      <c r="C962" s="2569"/>
      <c r="D962" s="2569"/>
      <c r="E962" s="2569"/>
      <c r="F962" s="2569"/>
      <c r="G962" s="2569"/>
      <c r="H962" s="2569"/>
      <c r="I962" s="2569"/>
      <c r="J962" s="2569"/>
    </row>
    <row r="963" spans="1:13" s="680" customFormat="1" ht="77.25" customHeight="1" x14ac:dyDescent="0.25">
      <c r="A963" s="916" t="s">
        <v>406</v>
      </c>
      <c r="B963" s="682" t="s">
        <v>235</v>
      </c>
      <c r="C963" s="682" t="s">
        <v>234</v>
      </c>
      <c r="D963" s="916" t="s">
        <v>305</v>
      </c>
      <c r="E963" s="682" t="s">
        <v>1095</v>
      </c>
      <c r="F963" s="682" t="s">
        <v>35</v>
      </c>
      <c r="G963" s="682" t="s">
        <v>1096</v>
      </c>
      <c r="H963" s="682" t="s">
        <v>491</v>
      </c>
      <c r="I963" s="682" t="s">
        <v>492</v>
      </c>
      <c r="J963" s="682" t="s">
        <v>1097</v>
      </c>
    </row>
    <row r="964" spans="1:13" s="680" customFormat="1" x14ac:dyDescent="0.25">
      <c r="A964" s="2545" t="s">
        <v>493</v>
      </c>
      <c r="B964" s="2545"/>
      <c r="C964" s="2545"/>
      <c r="D964" s="2545"/>
      <c r="E964" s="2545"/>
      <c r="F964" s="2545"/>
      <c r="G964" s="2545"/>
      <c r="H964" s="2545"/>
      <c r="I964" s="2545"/>
      <c r="J964" s="2545"/>
    </row>
    <row r="965" spans="1:13" s="680" customFormat="1" x14ac:dyDescent="0.25">
      <c r="A965" s="920"/>
      <c r="B965" s="2562" t="s">
        <v>503</v>
      </c>
      <c r="C965" s="2572"/>
      <c r="D965" s="2572"/>
      <c r="E965" s="2572"/>
      <c r="F965" s="2572"/>
      <c r="G965" s="2572"/>
      <c r="H965" s="2572"/>
      <c r="I965" s="2572"/>
      <c r="J965" s="2573"/>
    </row>
    <row r="966" spans="1:13" s="823" customFormat="1" ht="46.5" customHeight="1" x14ac:dyDescent="0.25">
      <c r="A966" s="683" t="s">
        <v>109</v>
      </c>
      <c r="B966" s="922" t="s">
        <v>626</v>
      </c>
      <c r="C966" s="684" t="s">
        <v>67</v>
      </c>
      <c r="D966" s="922">
        <v>244</v>
      </c>
      <c r="E966" s="922">
        <v>226</v>
      </c>
      <c r="F966" s="685" t="s">
        <v>1300</v>
      </c>
      <c r="G966" s="686">
        <v>636786.75</v>
      </c>
      <c r="H966" s="686">
        <f>G966-377.81</f>
        <v>636408.93999999994</v>
      </c>
      <c r="I966" s="686">
        <f>H966-G966</f>
        <v>-377.81</v>
      </c>
      <c r="J966" s="707" t="s">
        <v>1404</v>
      </c>
    </row>
    <row r="967" spans="1:13" s="823" customFormat="1" ht="135" x14ac:dyDescent="0.25">
      <c r="A967" s="683" t="s">
        <v>109</v>
      </c>
      <c r="B967" s="922" t="s">
        <v>626</v>
      </c>
      <c r="C967" s="684" t="s">
        <v>67</v>
      </c>
      <c r="D967" s="922">
        <v>244</v>
      </c>
      <c r="E967" s="922">
        <v>346</v>
      </c>
      <c r="F967" s="685" t="s">
        <v>1260</v>
      </c>
      <c r="G967" s="686">
        <v>10271777.68</v>
      </c>
      <c r="H967" s="686">
        <f>G967+377.81</f>
        <v>10272155.49</v>
      </c>
      <c r="I967" s="686">
        <f>H967-G967</f>
        <v>377.81</v>
      </c>
      <c r="J967" s="707" t="s">
        <v>1262</v>
      </c>
    </row>
    <row r="968" spans="1:13" s="680" customFormat="1" x14ac:dyDescent="0.25">
      <c r="A968" s="2574" t="s">
        <v>1098</v>
      </c>
      <c r="B968" s="2575"/>
      <c r="C968" s="2575"/>
      <c r="D968" s="2575"/>
      <c r="E968" s="2575"/>
      <c r="F968" s="2576"/>
      <c r="G968" s="687">
        <f>SUM(G966:G967)</f>
        <v>10908564.43</v>
      </c>
      <c r="H968" s="687">
        <f>SUM(H966:H967)</f>
        <v>10908564.43</v>
      </c>
      <c r="I968" s="687">
        <f>SUM(I966:I967)</f>
        <v>0</v>
      </c>
      <c r="J968" s="921" t="s">
        <v>82</v>
      </c>
    </row>
    <row r="969" spans="1:13" s="918" customFormat="1" x14ac:dyDescent="0.25">
      <c r="A969" s="2550" t="s">
        <v>496</v>
      </c>
      <c r="B969" s="2550"/>
      <c r="C969" s="2550"/>
      <c r="D969" s="2550"/>
      <c r="E969" s="2550"/>
      <c r="F969" s="2550"/>
      <c r="G969" s="2550"/>
      <c r="H969" s="2550"/>
      <c r="I969" s="2550"/>
      <c r="J969" s="2550"/>
    </row>
    <row r="970" spans="1:13" s="680" customFormat="1" ht="45.75" customHeight="1" x14ac:dyDescent="0.25">
      <c r="A970" s="683" t="s">
        <v>109</v>
      </c>
      <c r="B970" s="916" t="s">
        <v>624</v>
      </c>
      <c r="C970" s="684" t="s">
        <v>91</v>
      </c>
      <c r="D970" s="916">
        <v>112</v>
      </c>
      <c r="E970" s="916">
        <v>214</v>
      </c>
      <c r="F970" s="685" t="s">
        <v>101</v>
      </c>
      <c r="G970" s="686">
        <v>1474284.52</v>
      </c>
      <c r="H970" s="686">
        <f>G970-50000</f>
        <v>1424284.52</v>
      </c>
      <c r="I970" s="686">
        <f>H970-G970</f>
        <v>-50000</v>
      </c>
      <c r="J970" s="685" t="s">
        <v>1402</v>
      </c>
      <c r="K970" s="842">
        <f>6731267.66+202477</f>
        <v>6933744.6600000001</v>
      </c>
      <c r="L970" s="842" t="e">
        <f>(H970+#REF!)*100/130.2</f>
        <v>#REF!</v>
      </c>
      <c r="M970" s="842" t="e">
        <f>G970-L970</f>
        <v>#REF!</v>
      </c>
    </row>
    <row r="971" spans="1:13" s="680" customFormat="1" ht="120" x14ac:dyDescent="0.25">
      <c r="A971" s="683" t="s">
        <v>109</v>
      </c>
      <c r="B971" s="916" t="s">
        <v>624</v>
      </c>
      <c r="C971" s="684" t="s">
        <v>91</v>
      </c>
      <c r="D971" s="916">
        <v>119</v>
      </c>
      <c r="E971" s="916">
        <v>213</v>
      </c>
      <c r="F971" s="685" t="s">
        <v>732</v>
      </c>
      <c r="G971" s="686">
        <v>56196.08</v>
      </c>
      <c r="H971" s="686">
        <f>G971+50000</f>
        <v>106196.08</v>
      </c>
      <c r="I971" s="686">
        <f>H971-G971</f>
        <v>50000</v>
      </c>
      <c r="J971" s="685" t="s">
        <v>1403</v>
      </c>
      <c r="L971" s="842" t="e">
        <f>L970*30.2%</f>
        <v>#REF!</v>
      </c>
      <c r="M971" s="842" t="e">
        <f>#REF!-L971</f>
        <v>#REF!</v>
      </c>
    </row>
    <row r="972" spans="1:13" s="918" customFormat="1" x14ac:dyDescent="0.25">
      <c r="A972" s="917"/>
      <c r="B972" s="2537" t="s">
        <v>1117</v>
      </c>
      <c r="C972" s="2537"/>
      <c r="D972" s="2537"/>
      <c r="E972" s="2537"/>
      <c r="F972" s="2537"/>
      <c r="G972" s="687">
        <f>SUM(G970:G971)</f>
        <v>1530480.6</v>
      </c>
      <c r="H972" s="687">
        <f>SUM(H970:H971)</f>
        <v>1530480.6</v>
      </c>
      <c r="I972" s="687">
        <f>SUM(I970:I971)</f>
        <v>0</v>
      </c>
      <c r="J972" s="682" t="s">
        <v>82</v>
      </c>
    </row>
    <row r="973" spans="1:13" s="928" customFormat="1" x14ac:dyDescent="0.25">
      <c r="A973" s="2546" t="s">
        <v>1422</v>
      </c>
      <c r="B973" s="2564"/>
      <c r="C973" s="2564"/>
      <c r="D973" s="2564"/>
      <c r="E973" s="2564"/>
      <c r="F973" s="2564"/>
      <c r="G973" s="2564"/>
      <c r="H973" s="2564"/>
      <c r="I973" s="2564"/>
      <c r="J973" s="2565"/>
    </row>
    <row r="974" spans="1:13" s="928" customFormat="1" ht="60" x14ac:dyDescent="0.25">
      <c r="A974" s="683" t="s">
        <v>1424</v>
      </c>
      <c r="B974" s="926" t="s">
        <v>1369</v>
      </c>
      <c r="C974" s="684" t="s">
        <v>1425</v>
      </c>
      <c r="D974" s="892">
        <v>244</v>
      </c>
      <c r="E974" s="892">
        <v>310</v>
      </c>
      <c r="F974" s="929" t="s">
        <v>458</v>
      </c>
      <c r="G974" s="686">
        <v>0</v>
      </c>
      <c r="H974" s="686">
        <v>30000</v>
      </c>
      <c r="I974" s="686">
        <f>H974-G974</f>
        <v>30000</v>
      </c>
      <c r="J974" s="927" t="s">
        <v>1426</v>
      </c>
    </row>
    <row r="975" spans="1:13" s="928" customFormat="1" ht="75" x14ac:dyDescent="0.25">
      <c r="A975" s="683" t="s">
        <v>1424</v>
      </c>
      <c r="B975" s="926" t="s">
        <v>1369</v>
      </c>
      <c r="C975" s="684" t="s">
        <v>1425</v>
      </c>
      <c r="D975" s="892">
        <v>244</v>
      </c>
      <c r="E975" s="892">
        <v>346</v>
      </c>
      <c r="F975" s="929" t="s">
        <v>1089</v>
      </c>
      <c r="G975" s="686">
        <v>30000</v>
      </c>
      <c r="H975" s="686">
        <v>0</v>
      </c>
      <c r="I975" s="686">
        <f>H975-G975</f>
        <v>-30000</v>
      </c>
      <c r="J975" s="927" t="s">
        <v>1427</v>
      </c>
    </row>
    <row r="976" spans="1:13" s="928" customFormat="1" x14ac:dyDescent="0.25">
      <c r="A976" s="2566" t="s">
        <v>1423</v>
      </c>
      <c r="B976" s="2567"/>
      <c r="C976" s="2567"/>
      <c r="D976" s="2567"/>
      <c r="E976" s="2567"/>
      <c r="F976" s="2568"/>
      <c r="G976" s="687">
        <f>SUM(G974:G975)</f>
        <v>30000</v>
      </c>
      <c r="H976" s="687">
        <f>SUM(H974:H975)</f>
        <v>30000</v>
      </c>
      <c r="I976" s="687">
        <f>SUM(I974:I975)</f>
        <v>0</v>
      </c>
      <c r="J976" s="925" t="s">
        <v>82</v>
      </c>
    </row>
    <row r="977" spans="1:11" s="680" customFormat="1" x14ac:dyDescent="0.25">
      <c r="A977" s="2550" t="s">
        <v>155</v>
      </c>
      <c r="B977" s="2550"/>
      <c r="C977" s="2550"/>
      <c r="D977" s="2550"/>
      <c r="E977" s="2550"/>
      <c r="F977" s="2550"/>
      <c r="G977" s="2550"/>
      <c r="H977" s="2550"/>
      <c r="I977" s="2550"/>
      <c r="J977" s="2550"/>
    </row>
    <row r="978" spans="1:11" s="680" customFormat="1" ht="135" x14ac:dyDescent="0.25">
      <c r="A978" s="922"/>
      <c r="B978" s="922"/>
      <c r="C978" s="684" t="s">
        <v>137</v>
      </c>
      <c r="D978" s="684" t="s">
        <v>495</v>
      </c>
      <c r="E978" s="684" t="s">
        <v>537</v>
      </c>
      <c r="F978" s="685" t="s">
        <v>499</v>
      </c>
      <c r="G978" s="686">
        <v>7464360</v>
      </c>
      <c r="H978" s="686">
        <f>G978-874740</f>
        <v>6589620</v>
      </c>
      <c r="I978" s="686">
        <f t="shared" ref="I978:I985" si="56">H978-G978</f>
        <v>-874740</v>
      </c>
      <c r="J978" s="685" t="s">
        <v>1131</v>
      </c>
    </row>
    <row r="979" spans="1:11" s="680" customFormat="1" ht="90" x14ac:dyDescent="0.25">
      <c r="A979" s="683" t="s">
        <v>109</v>
      </c>
      <c r="B979" s="541" t="s">
        <v>1298</v>
      </c>
      <c r="C979" s="684" t="s">
        <v>34</v>
      </c>
      <c r="D979" s="708">
        <v>112</v>
      </c>
      <c r="E979" s="708">
        <v>212</v>
      </c>
      <c r="F979" s="685" t="s">
        <v>1407</v>
      </c>
      <c r="G979" s="686">
        <v>5000</v>
      </c>
      <c r="H979" s="686">
        <v>5900</v>
      </c>
      <c r="I979" s="686">
        <f t="shared" si="56"/>
        <v>900</v>
      </c>
      <c r="J979" s="685" t="s">
        <v>1408</v>
      </c>
      <c r="K979" s="709"/>
    </row>
    <row r="980" spans="1:11" s="680" customFormat="1" ht="195" x14ac:dyDescent="0.25">
      <c r="A980" s="683" t="s">
        <v>109</v>
      </c>
      <c r="B980" s="541" t="s">
        <v>1298</v>
      </c>
      <c r="C980" s="684" t="s">
        <v>34</v>
      </c>
      <c r="D980" s="708">
        <v>112</v>
      </c>
      <c r="E980" s="708">
        <v>226</v>
      </c>
      <c r="F980" s="547" t="s">
        <v>1411</v>
      </c>
      <c r="G980" s="686">
        <v>63000</v>
      </c>
      <c r="H980" s="686">
        <v>107459.13</v>
      </c>
      <c r="I980" s="686">
        <f t="shared" si="56"/>
        <v>44459.13</v>
      </c>
      <c r="J980" s="685" t="s">
        <v>1412</v>
      </c>
      <c r="K980" s="709"/>
    </row>
    <row r="981" spans="1:11" s="680" customFormat="1" ht="90" x14ac:dyDescent="0.25">
      <c r="A981" s="683" t="s">
        <v>109</v>
      </c>
      <c r="B981" s="541" t="s">
        <v>1298</v>
      </c>
      <c r="C981" s="684" t="s">
        <v>34</v>
      </c>
      <c r="D981" s="708">
        <v>119</v>
      </c>
      <c r="E981" s="708">
        <v>226</v>
      </c>
      <c r="F981" s="544" t="s">
        <v>121</v>
      </c>
      <c r="G981" s="543">
        <v>19100</v>
      </c>
      <c r="H981" s="543">
        <v>22710.400000000001</v>
      </c>
      <c r="I981" s="540">
        <f t="shared" si="56"/>
        <v>3610.4</v>
      </c>
      <c r="J981" s="919" t="s">
        <v>1413</v>
      </c>
      <c r="K981" s="709"/>
    </row>
    <row r="982" spans="1:11" s="680" customFormat="1" ht="45" x14ac:dyDescent="0.25">
      <c r="A982" s="683" t="s">
        <v>109</v>
      </c>
      <c r="B982" s="541" t="s">
        <v>1298</v>
      </c>
      <c r="C982" s="684" t="s">
        <v>34</v>
      </c>
      <c r="D982" s="708">
        <v>853</v>
      </c>
      <c r="E982" s="708">
        <v>295</v>
      </c>
      <c r="F982" s="685" t="s">
        <v>1294</v>
      </c>
      <c r="G982" s="686">
        <v>30000</v>
      </c>
      <c r="H982" s="686">
        <v>15000</v>
      </c>
      <c r="I982" s="686">
        <f t="shared" si="56"/>
        <v>-15000</v>
      </c>
      <c r="J982" s="685" t="s">
        <v>1414</v>
      </c>
      <c r="K982" s="709"/>
    </row>
    <row r="983" spans="1:11" s="680" customFormat="1" ht="45" x14ac:dyDescent="0.25">
      <c r="A983" s="683" t="s">
        <v>109</v>
      </c>
      <c r="B983" s="541" t="s">
        <v>1298</v>
      </c>
      <c r="C983" s="684" t="s">
        <v>34</v>
      </c>
      <c r="D983" s="708">
        <v>244</v>
      </c>
      <c r="E983" s="708">
        <v>221</v>
      </c>
      <c r="F983" s="685" t="s">
        <v>497</v>
      </c>
      <c r="G983" s="686">
        <v>10590.53</v>
      </c>
      <c r="H983" s="686">
        <v>3278.2</v>
      </c>
      <c r="I983" s="686">
        <f t="shared" si="56"/>
        <v>-7312.33</v>
      </c>
      <c r="J983" s="685" t="s">
        <v>1339</v>
      </c>
      <c r="K983" s="709"/>
    </row>
    <row r="984" spans="1:11" s="680" customFormat="1" ht="60" x14ac:dyDescent="0.25">
      <c r="A984" s="683" t="s">
        <v>109</v>
      </c>
      <c r="B984" s="541" t="s">
        <v>1298</v>
      </c>
      <c r="C984" s="684" t="s">
        <v>34</v>
      </c>
      <c r="D984" s="708">
        <v>244</v>
      </c>
      <c r="E984" s="708">
        <v>225</v>
      </c>
      <c r="F984" s="919" t="s">
        <v>457</v>
      </c>
      <c r="G984" s="686">
        <v>782308.02</v>
      </c>
      <c r="H984" s="686">
        <f>G984-500000-1197.2</f>
        <v>281110.82</v>
      </c>
      <c r="I984" s="686">
        <f t="shared" si="56"/>
        <v>-501197.2</v>
      </c>
      <c r="J984" s="685" t="s">
        <v>1338</v>
      </c>
      <c r="K984" s="709"/>
    </row>
    <row r="985" spans="1:11" s="680" customFormat="1" ht="45" x14ac:dyDescent="0.25">
      <c r="A985" s="683" t="s">
        <v>109</v>
      </c>
      <c r="B985" s="541" t="s">
        <v>1298</v>
      </c>
      <c r="C985" s="684" t="s">
        <v>34</v>
      </c>
      <c r="D985" s="708">
        <v>244</v>
      </c>
      <c r="E985" s="708">
        <v>226</v>
      </c>
      <c r="F985" s="685" t="s">
        <v>460</v>
      </c>
      <c r="G985" s="686">
        <v>1564952.59</v>
      </c>
      <c r="H985" s="686">
        <f>1164752.59</f>
        <v>1164752.5900000001</v>
      </c>
      <c r="I985" s="686">
        <f t="shared" si="56"/>
        <v>-400200</v>
      </c>
      <c r="J985" s="685" t="s">
        <v>1313</v>
      </c>
      <c r="K985" s="709"/>
    </row>
    <row r="986" spans="1:11" s="680" customFormat="1" x14ac:dyDescent="0.25">
      <c r="A986" s="2574" t="s">
        <v>1125</v>
      </c>
      <c r="B986" s="2580"/>
      <c r="C986" s="2580"/>
      <c r="D986" s="2580"/>
      <c r="E986" s="2580"/>
      <c r="F986" s="2576"/>
      <c r="G986" s="687">
        <f>SUM(G979:G985)</f>
        <v>2474951.14</v>
      </c>
      <c r="H986" s="687">
        <f>SUM(H979:H985)</f>
        <v>1600211.14</v>
      </c>
      <c r="I986" s="687">
        <f>SUM(I979:I985)</f>
        <v>-874740</v>
      </c>
      <c r="J986" s="921"/>
    </row>
    <row r="987" spans="1:11" s="680" customFormat="1" x14ac:dyDescent="0.25">
      <c r="A987" s="2550" t="s">
        <v>1099</v>
      </c>
      <c r="B987" s="2550"/>
      <c r="C987" s="2550"/>
      <c r="D987" s="2550"/>
      <c r="E987" s="2550"/>
      <c r="F987" s="2550"/>
      <c r="G987" s="2550"/>
      <c r="H987" s="2550"/>
      <c r="I987" s="2550"/>
      <c r="J987" s="2550"/>
    </row>
    <row r="988" spans="1:11" s="680" customFormat="1" ht="60" x14ac:dyDescent="0.25">
      <c r="A988" s="922"/>
      <c r="B988" s="922"/>
      <c r="C988" s="684" t="s">
        <v>136</v>
      </c>
      <c r="D988" s="684" t="s">
        <v>495</v>
      </c>
      <c r="E988" s="684" t="s">
        <v>537</v>
      </c>
      <c r="F988" s="685" t="s">
        <v>1100</v>
      </c>
      <c r="G988" s="686">
        <v>9598467.8399999999</v>
      </c>
      <c r="H988" s="686">
        <f>G988-1198681-599984-20065.5-3707937.05</f>
        <v>4071800.29</v>
      </c>
      <c r="I988" s="686">
        <f>H988-G988</f>
        <v>-5526667.5499999998</v>
      </c>
      <c r="J988" s="685" t="s">
        <v>1405</v>
      </c>
    </row>
    <row r="989" spans="1:11" s="680" customFormat="1" ht="45" x14ac:dyDescent="0.25">
      <c r="A989" s="683" t="s">
        <v>109</v>
      </c>
      <c r="B989" s="541" t="s">
        <v>1298</v>
      </c>
      <c r="C989" s="684" t="s">
        <v>142</v>
      </c>
      <c r="D989" s="708">
        <v>244</v>
      </c>
      <c r="E989" s="708">
        <v>223</v>
      </c>
      <c r="F989" s="685" t="s">
        <v>456</v>
      </c>
      <c r="G989" s="686">
        <v>1198681</v>
      </c>
      <c r="H989" s="686">
        <v>0</v>
      </c>
      <c r="I989" s="686">
        <f>H989-G989</f>
        <v>-1198681</v>
      </c>
      <c r="J989" s="685" t="s">
        <v>1415</v>
      </c>
      <c r="K989" s="709"/>
    </row>
    <row r="990" spans="1:11" s="680" customFormat="1" ht="45" x14ac:dyDescent="0.25">
      <c r="A990" s="683" t="s">
        <v>109</v>
      </c>
      <c r="B990" s="541" t="s">
        <v>1298</v>
      </c>
      <c r="C990" s="684" t="s">
        <v>142</v>
      </c>
      <c r="D990" s="708">
        <v>244</v>
      </c>
      <c r="E990" s="708">
        <v>226</v>
      </c>
      <c r="F990" s="685" t="s">
        <v>460</v>
      </c>
      <c r="G990" s="686">
        <v>942560</v>
      </c>
      <c r="H990" s="686">
        <v>342576</v>
      </c>
      <c r="I990" s="686">
        <f>H990-G990</f>
        <v>-599984</v>
      </c>
      <c r="J990" s="685" t="s">
        <v>1416</v>
      </c>
      <c r="K990" s="709"/>
    </row>
    <row r="991" spans="1:11" s="923" customFormat="1" ht="75" x14ac:dyDescent="0.25">
      <c r="A991" s="683" t="s">
        <v>109</v>
      </c>
      <c r="B991" s="541" t="s">
        <v>1298</v>
      </c>
      <c r="C991" s="684" t="s">
        <v>142</v>
      </c>
      <c r="D991" s="708">
        <v>244</v>
      </c>
      <c r="E991" s="708">
        <v>343</v>
      </c>
      <c r="F991" s="685" t="s">
        <v>449</v>
      </c>
      <c r="G991" s="686">
        <v>26619.87</v>
      </c>
      <c r="H991" s="686">
        <v>6554.37</v>
      </c>
      <c r="I991" s="686">
        <f>H991-G991</f>
        <v>-20065.5</v>
      </c>
      <c r="J991" s="685" t="s">
        <v>1417</v>
      </c>
    </row>
    <row r="992" spans="1:11" s="680" customFormat="1" ht="45" x14ac:dyDescent="0.25">
      <c r="A992" s="683" t="s">
        <v>109</v>
      </c>
      <c r="B992" s="541" t="s">
        <v>1298</v>
      </c>
      <c r="C992" s="684" t="s">
        <v>142</v>
      </c>
      <c r="D992" s="708">
        <v>247</v>
      </c>
      <c r="E992" s="708">
        <v>223</v>
      </c>
      <c r="F992" s="685" t="s">
        <v>456</v>
      </c>
      <c r="G992" s="686">
        <v>7430606.9699999997</v>
      </c>
      <c r="H992" s="686">
        <v>3722669.92</v>
      </c>
      <c r="I992" s="686">
        <f>H992-G992</f>
        <v>-3707937.05</v>
      </c>
      <c r="J992" s="685" t="s">
        <v>1418</v>
      </c>
      <c r="K992" s="709"/>
    </row>
    <row r="993" spans="1:11" s="680" customFormat="1" x14ac:dyDescent="0.25">
      <c r="A993" s="2574" t="s">
        <v>1104</v>
      </c>
      <c r="B993" s="2580"/>
      <c r="C993" s="2580"/>
      <c r="D993" s="2580"/>
      <c r="E993" s="2580"/>
      <c r="F993" s="2576"/>
      <c r="G993" s="687">
        <f>SUM(G989:G992)</f>
        <v>9598467.8399999999</v>
      </c>
      <c r="H993" s="687">
        <f>SUM(H989:H992)</f>
        <v>4071800.29</v>
      </c>
      <c r="I993" s="687">
        <f>SUM(I989:I992)</f>
        <v>-5526667.5499999998</v>
      </c>
      <c r="J993" s="921"/>
    </row>
    <row r="994" spans="1:11" s="918" customFormat="1" x14ac:dyDescent="0.25">
      <c r="A994" s="2577" t="s">
        <v>160</v>
      </c>
      <c r="B994" s="2578"/>
      <c r="C994" s="2578"/>
      <c r="D994" s="2578"/>
      <c r="E994" s="2578"/>
      <c r="F994" s="687" t="s">
        <v>82</v>
      </c>
      <c r="G994" s="687">
        <f>G968+G972+G986+G993+G976</f>
        <v>24542464.010000002</v>
      </c>
      <c r="H994" s="687">
        <f>H968+H972+H986+H993+H976</f>
        <v>18141056.460000001</v>
      </c>
      <c r="I994" s="687">
        <f>I968+I972+I986+I993+I976</f>
        <v>-6401407.5499999998</v>
      </c>
      <c r="J994" s="915" t="s">
        <v>82</v>
      </c>
    </row>
    <row r="995" spans="1:11" s="918" customFormat="1" x14ac:dyDescent="0.25"/>
    <row r="996" spans="1:11" s="918" customFormat="1" x14ac:dyDescent="0.25">
      <c r="A996" s="2579" t="s">
        <v>1395</v>
      </c>
      <c r="B996" s="2579"/>
      <c r="C996" s="2579"/>
      <c r="D996" s="2579"/>
      <c r="E996" s="2579"/>
      <c r="F996" s="2579"/>
      <c r="G996" s="696"/>
      <c r="H996" s="697"/>
      <c r="I996" s="698"/>
      <c r="J996" s="697" t="s">
        <v>243</v>
      </c>
    </row>
    <row r="997" spans="1:11" s="918" customFormat="1" x14ac:dyDescent="0.25">
      <c r="A997" s="2570"/>
      <c r="B997" s="2570"/>
      <c r="C997" s="2570"/>
      <c r="D997" s="2570"/>
      <c r="E997" s="2570"/>
      <c r="F997" s="2570"/>
      <c r="G997" s="699"/>
      <c r="H997" s="697"/>
      <c r="I997" s="698"/>
      <c r="J997" s="697"/>
    </row>
    <row r="998" spans="1:11" s="918" customFormat="1" x14ac:dyDescent="0.25">
      <c r="A998" s="2571" t="s">
        <v>156</v>
      </c>
      <c r="B998" s="2571"/>
      <c r="C998" s="2571"/>
      <c r="D998" s="2571"/>
      <c r="E998" s="2571"/>
      <c r="F998" s="2571"/>
      <c r="G998" s="696"/>
      <c r="H998" s="697"/>
      <c r="I998" s="698"/>
      <c r="J998" s="697" t="s">
        <v>729</v>
      </c>
    </row>
    <row r="1000" spans="1:11" s="680" customFormat="1" ht="18.75" x14ac:dyDescent="0.25">
      <c r="A1000" s="2542" t="s">
        <v>1435</v>
      </c>
      <c r="B1000" s="2542"/>
      <c r="C1000" s="2542"/>
      <c r="D1000" s="2542"/>
      <c r="E1000" s="2542"/>
      <c r="F1000" s="2542"/>
      <c r="G1000" s="2542"/>
      <c r="H1000" s="2542"/>
      <c r="I1000" s="2542"/>
      <c r="J1000" s="2542"/>
    </row>
    <row r="1001" spans="1:11" s="680" customFormat="1" ht="18.75" x14ac:dyDescent="0.25">
      <c r="A1001" s="2542" t="s">
        <v>1317</v>
      </c>
      <c r="B1001" s="2542"/>
      <c r="C1001" s="2542"/>
      <c r="D1001" s="2542"/>
      <c r="E1001" s="2542"/>
      <c r="F1001" s="2542"/>
      <c r="G1001" s="2542"/>
      <c r="H1001" s="2542"/>
      <c r="I1001" s="2542"/>
      <c r="J1001" s="2542"/>
    </row>
    <row r="1002" spans="1:11" s="680" customFormat="1" ht="18.75" x14ac:dyDescent="0.25">
      <c r="A1002" s="2542" t="s">
        <v>611</v>
      </c>
      <c r="B1002" s="2542"/>
      <c r="C1002" s="2542"/>
      <c r="D1002" s="2542"/>
      <c r="E1002" s="2542"/>
      <c r="F1002" s="2542"/>
      <c r="G1002" s="2542"/>
      <c r="H1002" s="2542"/>
      <c r="I1002" s="2542"/>
      <c r="J1002" s="2542"/>
    </row>
    <row r="1003" spans="1:11" s="680" customFormat="1" x14ac:dyDescent="0.25">
      <c r="A1003" s="2569"/>
      <c r="B1003" s="2569"/>
      <c r="C1003" s="2569"/>
      <c r="D1003" s="2569"/>
      <c r="E1003" s="2569"/>
      <c r="F1003" s="2569"/>
      <c r="G1003" s="2569"/>
      <c r="H1003" s="2569"/>
      <c r="I1003" s="2569"/>
      <c r="J1003" s="2569"/>
    </row>
    <row r="1004" spans="1:11" s="680" customFormat="1" ht="77.25" customHeight="1" x14ac:dyDescent="0.25">
      <c r="A1004" s="931" t="s">
        <v>406</v>
      </c>
      <c r="B1004" s="682" t="s">
        <v>235</v>
      </c>
      <c r="C1004" s="682" t="s">
        <v>234</v>
      </c>
      <c r="D1004" s="931" t="s">
        <v>305</v>
      </c>
      <c r="E1004" s="682" t="s">
        <v>1095</v>
      </c>
      <c r="F1004" s="682" t="s">
        <v>35</v>
      </c>
      <c r="G1004" s="682" t="s">
        <v>1096</v>
      </c>
      <c r="H1004" s="682" t="s">
        <v>491</v>
      </c>
      <c r="I1004" s="682" t="s">
        <v>492</v>
      </c>
      <c r="J1004" s="682" t="s">
        <v>1097</v>
      </c>
    </row>
    <row r="1005" spans="1:11" s="680" customFormat="1" x14ac:dyDescent="0.25">
      <c r="A1005" s="2550" t="s">
        <v>155</v>
      </c>
      <c r="B1005" s="2550"/>
      <c r="C1005" s="2550"/>
      <c r="D1005" s="2550"/>
      <c r="E1005" s="2550"/>
      <c r="F1005" s="2550"/>
      <c r="G1005" s="2550"/>
      <c r="H1005" s="2550"/>
      <c r="I1005" s="2550"/>
      <c r="J1005" s="2550"/>
    </row>
    <row r="1006" spans="1:11" s="680" customFormat="1" ht="30" x14ac:dyDescent="0.25">
      <c r="A1006" s="683" t="s">
        <v>109</v>
      </c>
      <c r="B1006" s="541" t="s">
        <v>1298</v>
      </c>
      <c r="C1006" s="684" t="s">
        <v>34</v>
      </c>
      <c r="D1006" s="708">
        <v>111</v>
      </c>
      <c r="E1006" s="708">
        <v>211</v>
      </c>
      <c r="F1006" s="685" t="s">
        <v>179</v>
      </c>
      <c r="G1006" s="686">
        <v>2390126.77</v>
      </c>
      <c r="H1006" s="686">
        <f>G1006-77804.82</f>
        <v>2312321.9500000002</v>
      </c>
      <c r="I1006" s="686">
        <f t="shared" ref="I1006:I1012" si="57">H1006-G1006</f>
        <v>-77804.820000000007</v>
      </c>
      <c r="J1006" s="685" t="s">
        <v>1429</v>
      </c>
      <c r="K1006" s="709"/>
    </row>
    <row r="1007" spans="1:11" s="680" customFormat="1" ht="45" x14ac:dyDescent="0.25">
      <c r="A1007" s="683" t="s">
        <v>109</v>
      </c>
      <c r="B1007" s="541" t="s">
        <v>1298</v>
      </c>
      <c r="C1007" s="684" t="s">
        <v>34</v>
      </c>
      <c r="D1007" s="708">
        <v>119</v>
      </c>
      <c r="E1007" s="708">
        <v>213</v>
      </c>
      <c r="F1007" s="685" t="s">
        <v>1428</v>
      </c>
      <c r="G1007" s="686">
        <v>721818.28</v>
      </c>
      <c r="H1007" s="686">
        <f>G1007-20000</f>
        <v>701818.28</v>
      </c>
      <c r="I1007" s="686">
        <f t="shared" si="57"/>
        <v>-20000</v>
      </c>
      <c r="J1007" s="685" t="s">
        <v>1429</v>
      </c>
      <c r="K1007" s="709"/>
    </row>
    <row r="1008" spans="1:11" s="680" customFormat="1" ht="45" x14ac:dyDescent="0.25">
      <c r="A1008" s="683" t="s">
        <v>109</v>
      </c>
      <c r="B1008" s="541" t="s">
        <v>1298</v>
      </c>
      <c r="C1008" s="684" t="s">
        <v>34</v>
      </c>
      <c r="D1008" s="708">
        <v>244</v>
      </c>
      <c r="E1008" s="708">
        <v>223</v>
      </c>
      <c r="F1008" s="685" t="s">
        <v>456</v>
      </c>
      <c r="G1008" s="686">
        <v>239236.84</v>
      </c>
      <c r="H1008" s="686">
        <f>G1008+151559.61</f>
        <v>390796.45</v>
      </c>
      <c r="I1008" s="686">
        <f t="shared" si="57"/>
        <v>151559.60999999999</v>
      </c>
      <c r="J1008" s="685" t="s">
        <v>1433</v>
      </c>
      <c r="K1008" s="709"/>
    </row>
    <row r="1009" spans="1:11" s="680" customFormat="1" ht="30" x14ac:dyDescent="0.25">
      <c r="A1009" s="683" t="s">
        <v>109</v>
      </c>
      <c r="B1009" s="541" t="s">
        <v>1298</v>
      </c>
      <c r="C1009" s="684" t="s">
        <v>34</v>
      </c>
      <c r="D1009" s="708">
        <v>247</v>
      </c>
      <c r="E1009" s="708">
        <v>223</v>
      </c>
      <c r="F1009" s="685" t="s">
        <v>456</v>
      </c>
      <c r="G1009" s="686">
        <v>2644706.2400000002</v>
      </c>
      <c r="H1009" s="686">
        <f>G1009-151559.61</f>
        <v>2493146.63</v>
      </c>
      <c r="I1009" s="686">
        <f t="shared" si="57"/>
        <v>-151559.60999999999</v>
      </c>
      <c r="J1009" s="685" t="s">
        <v>1434</v>
      </c>
      <c r="K1009" s="709"/>
    </row>
    <row r="1010" spans="1:11" s="680" customFormat="1" ht="18" customHeight="1" x14ac:dyDescent="0.25">
      <c r="A1010" s="683" t="s">
        <v>109</v>
      </c>
      <c r="B1010" s="541" t="s">
        <v>1298</v>
      </c>
      <c r="C1010" s="684" t="s">
        <v>34</v>
      </c>
      <c r="D1010" s="708">
        <v>227</v>
      </c>
      <c r="E1010" s="708">
        <v>227</v>
      </c>
      <c r="F1010" s="547" t="s">
        <v>441</v>
      </c>
      <c r="G1010" s="686">
        <v>0</v>
      </c>
      <c r="H1010" s="686">
        <v>1993.78</v>
      </c>
      <c r="I1010" s="686">
        <f t="shared" si="57"/>
        <v>1993.78</v>
      </c>
      <c r="J1010" s="685" t="s">
        <v>1432</v>
      </c>
      <c r="K1010" s="709"/>
    </row>
    <row r="1011" spans="1:11" s="680" customFormat="1" ht="21" customHeight="1" x14ac:dyDescent="0.25">
      <c r="A1011" s="683" t="s">
        <v>109</v>
      </c>
      <c r="B1011" s="541" t="s">
        <v>1298</v>
      </c>
      <c r="C1011" s="684" t="s">
        <v>34</v>
      </c>
      <c r="D1011" s="892">
        <v>244</v>
      </c>
      <c r="E1011" s="892">
        <v>345</v>
      </c>
      <c r="F1011" s="929" t="s">
        <v>467</v>
      </c>
      <c r="G1011" s="686">
        <v>0</v>
      </c>
      <c r="H1011" s="686">
        <v>70000</v>
      </c>
      <c r="I1011" s="686">
        <f t="shared" si="57"/>
        <v>70000</v>
      </c>
      <c r="J1011" s="685" t="s">
        <v>1431</v>
      </c>
      <c r="K1011" s="709"/>
    </row>
    <row r="1012" spans="1:11" s="680" customFormat="1" ht="75" x14ac:dyDescent="0.25">
      <c r="A1012" s="683" t="s">
        <v>109</v>
      </c>
      <c r="B1012" s="541" t="s">
        <v>1298</v>
      </c>
      <c r="C1012" s="684" t="s">
        <v>34</v>
      </c>
      <c r="D1012" s="892">
        <v>244</v>
      </c>
      <c r="E1012" s="892">
        <v>346</v>
      </c>
      <c r="F1012" s="929" t="s">
        <v>1089</v>
      </c>
      <c r="G1012" s="686">
        <v>300000</v>
      </c>
      <c r="H1012" s="686">
        <f>G1012+25811.04</f>
        <v>325811.03999999998</v>
      </c>
      <c r="I1012" s="686">
        <f t="shared" si="57"/>
        <v>25811.040000000001</v>
      </c>
      <c r="J1012" s="685" t="s">
        <v>1430</v>
      </c>
      <c r="K1012" s="709"/>
    </row>
    <row r="1013" spans="1:11" s="680" customFormat="1" x14ac:dyDescent="0.25">
      <c r="A1013" s="2574" t="s">
        <v>1125</v>
      </c>
      <c r="B1013" s="2580"/>
      <c r="C1013" s="2580"/>
      <c r="D1013" s="2580"/>
      <c r="E1013" s="2580"/>
      <c r="F1013" s="2576"/>
      <c r="G1013" s="687">
        <f>SUM(G1006:G1012)</f>
        <v>6295888.1299999999</v>
      </c>
      <c r="H1013" s="687">
        <f>SUM(H1006:H1012)</f>
        <v>6295888.1299999999</v>
      </c>
      <c r="I1013" s="687">
        <f>SUM(I1006:I1012)</f>
        <v>0</v>
      </c>
      <c r="J1013" s="930"/>
    </row>
    <row r="1014" spans="1:11" s="932" customFormat="1" x14ac:dyDescent="0.25">
      <c r="A1014" s="2577" t="s">
        <v>160</v>
      </c>
      <c r="B1014" s="2578"/>
      <c r="C1014" s="2578"/>
      <c r="D1014" s="2578"/>
      <c r="E1014" s="2578"/>
      <c r="F1014" s="687" t="s">
        <v>82</v>
      </c>
      <c r="G1014" s="687">
        <f>G1013</f>
        <v>6295888.1299999999</v>
      </c>
      <c r="H1014" s="687">
        <f>H1013</f>
        <v>6295888.1299999999</v>
      </c>
      <c r="I1014" s="687">
        <f>I1013</f>
        <v>0</v>
      </c>
      <c r="J1014" s="930" t="s">
        <v>82</v>
      </c>
    </row>
    <row r="1015" spans="1:11" s="932" customFormat="1" x14ac:dyDescent="0.25"/>
    <row r="1016" spans="1:11" s="932" customFormat="1" x14ac:dyDescent="0.25">
      <c r="A1016" s="2579" t="s">
        <v>1436</v>
      </c>
      <c r="B1016" s="2579"/>
      <c r="C1016" s="2579"/>
      <c r="D1016" s="2579"/>
      <c r="E1016" s="2579"/>
      <c r="F1016" s="2579"/>
      <c r="G1016" s="696"/>
      <c r="H1016" s="697"/>
      <c r="I1016" s="698"/>
      <c r="J1016" s="697" t="s">
        <v>1437</v>
      </c>
    </row>
    <row r="1017" spans="1:11" s="932" customFormat="1" x14ac:dyDescent="0.25">
      <c r="A1017" s="2570"/>
      <c r="B1017" s="2570"/>
      <c r="C1017" s="2570"/>
      <c r="D1017" s="2570"/>
      <c r="E1017" s="2570"/>
      <c r="F1017" s="2570"/>
      <c r="G1017" s="699"/>
      <c r="H1017" s="697"/>
      <c r="I1017" s="698"/>
      <c r="J1017" s="697"/>
    </row>
    <row r="1018" spans="1:11" s="932" customFormat="1" x14ac:dyDescent="0.25">
      <c r="A1018" s="2571" t="s">
        <v>156</v>
      </c>
      <c r="B1018" s="2571"/>
      <c r="C1018" s="2571"/>
      <c r="D1018" s="2571"/>
      <c r="E1018" s="2571"/>
      <c r="F1018" s="2571"/>
      <c r="G1018" s="696"/>
      <c r="H1018" s="697"/>
      <c r="I1018" s="698"/>
      <c r="J1018" s="697" t="s">
        <v>729</v>
      </c>
    </row>
    <row r="1020" spans="1:11" s="680" customFormat="1" ht="18.75" x14ac:dyDescent="0.25">
      <c r="A1020" s="2542" t="s">
        <v>1441</v>
      </c>
      <c r="B1020" s="2542"/>
      <c r="C1020" s="2542"/>
      <c r="D1020" s="2542"/>
      <c r="E1020" s="2542"/>
      <c r="F1020" s="2542"/>
      <c r="G1020" s="2542"/>
      <c r="H1020" s="2542"/>
      <c r="I1020" s="2542"/>
      <c r="J1020" s="2542"/>
    </row>
    <row r="1021" spans="1:11" s="680" customFormat="1" ht="18.75" x14ac:dyDescent="0.25">
      <c r="A1021" s="2542" t="s">
        <v>1317</v>
      </c>
      <c r="B1021" s="2542"/>
      <c r="C1021" s="2542"/>
      <c r="D1021" s="2542"/>
      <c r="E1021" s="2542"/>
      <c r="F1021" s="2542"/>
      <c r="G1021" s="2542"/>
      <c r="H1021" s="2542"/>
      <c r="I1021" s="2542"/>
      <c r="J1021" s="2542"/>
    </row>
    <row r="1022" spans="1:11" s="680" customFormat="1" ht="18.75" x14ac:dyDescent="0.25">
      <c r="A1022" s="2542" t="s">
        <v>611</v>
      </c>
      <c r="B1022" s="2542"/>
      <c r="C1022" s="2542"/>
      <c r="D1022" s="2542"/>
      <c r="E1022" s="2542"/>
      <c r="F1022" s="2542"/>
      <c r="G1022" s="2542"/>
      <c r="H1022" s="2542"/>
      <c r="I1022" s="2542"/>
      <c r="J1022" s="2542"/>
    </row>
    <row r="1023" spans="1:11" s="680" customFormat="1" x14ac:dyDescent="0.25">
      <c r="A1023" s="2569"/>
      <c r="B1023" s="2569"/>
      <c r="C1023" s="2569"/>
      <c r="D1023" s="2569"/>
      <c r="E1023" s="2569"/>
      <c r="F1023" s="2569"/>
      <c r="G1023" s="2569"/>
      <c r="H1023" s="2569"/>
      <c r="I1023" s="2569"/>
      <c r="J1023" s="2569"/>
    </row>
    <row r="1024" spans="1:11" s="680" customFormat="1" ht="77.25" customHeight="1" x14ac:dyDescent="0.25">
      <c r="A1024" s="941" t="s">
        <v>406</v>
      </c>
      <c r="B1024" s="682" t="s">
        <v>235</v>
      </c>
      <c r="C1024" s="682" t="s">
        <v>234</v>
      </c>
      <c r="D1024" s="941" t="s">
        <v>305</v>
      </c>
      <c r="E1024" s="682" t="s">
        <v>1095</v>
      </c>
      <c r="F1024" s="682" t="s">
        <v>35</v>
      </c>
      <c r="G1024" s="682" t="s">
        <v>1096</v>
      </c>
      <c r="H1024" s="682" t="s">
        <v>491</v>
      </c>
      <c r="I1024" s="682" t="s">
        <v>492</v>
      </c>
      <c r="J1024" s="682" t="s">
        <v>1097</v>
      </c>
    </row>
    <row r="1025" spans="1:13" s="680" customFormat="1" x14ac:dyDescent="0.25">
      <c r="A1025" s="2545" t="s">
        <v>493</v>
      </c>
      <c r="B1025" s="2545"/>
      <c r="C1025" s="2545"/>
      <c r="D1025" s="2545"/>
      <c r="E1025" s="2545"/>
      <c r="F1025" s="2545"/>
      <c r="G1025" s="2545"/>
      <c r="H1025" s="2545"/>
      <c r="I1025" s="2545"/>
      <c r="J1025" s="2545"/>
    </row>
    <row r="1026" spans="1:13" s="680" customFormat="1" x14ac:dyDescent="0.25">
      <c r="A1026" s="939"/>
      <c r="B1026" s="2562" t="s">
        <v>503</v>
      </c>
      <c r="C1026" s="2572"/>
      <c r="D1026" s="2572"/>
      <c r="E1026" s="2572"/>
      <c r="F1026" s="2572"/>
      <c r="G1026" s="2572"/>
      <c r="H1026" s="2572"/>
      <c r="I1026" s="2572"/>
      <c r="J1026" s="2573"/>
    </row>
    <row r="1027" spans="1:13" s="823" customFormat="1" ht="30" x14ac:dyDescent="0.25">
      <c r="A1027" s="683" t="s">
        <v>109</v>
      </c>
      <c r="B1027" s="941" t="s">
        <v>626</v>
      </c>
      <c r="C1027" s="684" t="s">
        <v>67</v>
      </c>
      <c r="D1027" s="941">
        <v>111</v>
      </c>
      <c r="E1027" s="941">
        <v>211</v>
      </c>
      <c r="F1027" s="685" t="s">
        <v>179</v>
      </c>
      <c r="G1027" s="686">
        <v>138184247.50999999</v>
      </c>
      <c r="H1027" s="686">
        <f>G1027-7395804.25</f>
        <v>130788443.26000001</v>
      </c>
      <c r="I1027" s="686">
        <f>H1027-G1027</f>
        <v>-7395804.25</v>
      </c>
      <c r="J1027" s="707" t="s">
        <v>1429</v>
      </c>
      <c r="K1027" s="943">
        <f>G1027+G1028-9629337.13</f>
        <v>170286553.13</v>
      </c>
      <c r="L1027" s="944">
        <f>K1027*100/130.2</f>
        <v>130788443.26000001</v>
      </c>
      <c r="M1027" s="944">
        <f>G1027-L1027</f>
        <v>7395804.25</v>
      </c>
    </row>
    <row r="1028" spans="1:13" s="823" customFormat="1" ht="45" x14ac:dyDescent="0.25">
      <c r="A1028" s="683" t="s">
        <v>109</v>
      </c>
      <c r="B1028" s="941" t="s">
        <v>626</v>
      </c>
      <c r="C1028" s="684" t="s">
        <v>67</v>
      </c>
      <c r="D1028" s="941">
        <v>119</v>
      </c>
      <c r="E1028" s="941">
        <v>213</v>
      </c>
      <c r="F1028" s="685" t="s">
        <v>494</v>
      </c>
      <c r="G1028" s="686">
        <v>41731642.75</v>
      </c>
      <c r="H1028" s="686">
        <f>G1028-2233532.89</f>
        <v>39498109.859999999</v>
      </c>
      <c r="I1028" s="686">
        <f>H1028-G1028</f>
        <v>-2233532.89</v>
      </c>
      <c r="J1028" s="707" t="s">
        <v>1429</v>
      </c>
      <c r="K1028" s="928"/>
      <c r="L1028" s="944">
        <f>L1027*30.2%</f>
        <v>39498109.859999999</v>
      </c>
      <c r="M1028" s="944">
        <f>G1028-L1028</f>
        <v>2233532.89</v>
      </c>
    </row>
    <row r="1029" spans="1:13" s="823" customFormat="1" ht="42.75" customHeight="1" x14ac:dyDescent="0.25">
      <c r="A1029" s="683" t="s">
        <v>109</v>
      </c>
      <c r="B1029" s="941" t="s">
        <v>626</v>
      </c>
      <c r="C1029" s="684" t="s">
        <v>67</v>
      </c>
      <c r="D1029" s="941">
        <v>244</v>
      </c>
      <c r="E1029" s="941">
        <v>310</v>
      </c>
      <c r="F1029" s="685" t="s">
        <v>1259</v>
      </c>
      <c r="G1029" s="686">
        <v>31334438.350000001</v>
      </c>
      <c r="H1029" s="686">
        <f>G1029+3163479+600000+591196+600000+600000+600000+1500000+410000+600000</f>
        <v>39999113.350000001</v>
      </c>
      <c r="I1029" s="686">
        <f>H1029-G1029</f>
        <v>8664675</v>
      </c>
      <c r="J1029" s="707" t="s">
        <v>1442</v>
      </c>
    </row>
    <row r="1030" spans="1:13" s="823" customFormat="1" ht="135" x14ac:dyDescent="0.25">
      <c r="A1030" s="683" t="s">
        <v>109</v>
      </c>
      <c r="B1030" s="941" t="s">
        <v>626</v>
      </c>
      <c r="C1030" s="684" t="s">
        <v>67</v>
      </c>
      <c r="D1030" s="941">
        <v>244</v>
      </c>
      <c r="E1030" s="941">
        <v>346</v>
      </c>
      <c r="F1030" s="685" t="s">
        <v>1260</v>
      </c>
      <c r="G1030" s="686">
        <v>10272155.49</v>
      </c>
      <c r="H1030" s="686">
        <f>G1030+364662.14+600000</f>
        <v>11236817.630000001</v>
      </c>
      <c r="I1030" s="686">
        <f>H1030-G1030</f>
        <v>964662.14</v>
      </c>
      <c r="J1030" s="707" t="s">
        <v>1442</v>
      </c>
    </row>
    <row r="1031" spans="1:13" s="680" customFormat="1" x14ac:dyDescent="0.25">
      <c r="A1031" s="2574" t="s">
        <v>1098</v>
      </c>
      <c r="B1031" s="2575"/>
      <c r="C1031" s="2575"/>
      <c r="D1031" s="2575"/>
      <c r="E1031" s="2575"/>
      <c r="F1031" s="2576"/>
      <c r="G1031" s="687">
        <f>SUM(G1027:G1030)</f>
        <v>221522484.09999999</v>
      </c>
      <c r="H1031" s="687">
        <f>SUM(H1027:H1030)</f>
        <v>221522484.09999999</v>
      </c>
      <c r="I1031" s="687">
        <f>SUM(I1027:I1030)</f>
        <v>0</v>
      </c>
      <c r="J1031" s="940" t="s">
        <v>82</v>
      </c>
    </row>
    <row r="1032" spans="1:13" s="942" customFormat="1" x14ac:dyDescent="0.25">
      <c r="A1032" s="2577" t="s">
        <v>160</v>
      </c>
      <c r="B1032" s="2578"/>
      <c r="C1032" s="2578"/>
      <c r="D1032" s="2578"/>
      <c r="E1032" s="2578"/>
      <c r="F1032" s="687" t="s">
        <v>82</v>
      </c>
      <c r="G1032" s="687">
        <f>G1031</f>
        <v>221522484.09999999</v>
      </c>
      <c r="H1032" s="687">
        <f>H1031</f>
        <v>221522484.09999999</v>
      </c>
      <c r="I1032" s="687">
        <f>I1031</f>
        <v>0</v>
      </c>
      <c r="J1032" s="940" t="s">
        <v>82</v>
      </c>
    </row>
    <row r="1033" spans="1:13" s="942" customFormat="1" x14ac:dyDescent="0.25"/>
    <row r="1034" spans="1:13" s="942" customFormat="1" x14ac:dyDescent="0.25">
      <c r="A1034" s="2579" t="s">
        <v>1436</v>
      </c>
      <c r="B1034" s="2579"/>
      <c r="C1034" s="2579"/>
      <c r="D1034" s="2579"/>
      <c r="E1034" s="2579"/>
      <c r="F1034" s="2579"/>
      <c r="G1034" s="696"/>
      <c r="H1034" s="697"/>
      <c r="I1034" s="698"/>
      <c r="J1034" s="697" t="s">
        <v>1437</v>
      </c>
    </row>
    <row r="1035" spans="1:13" s="942" customFormat="1" x14ac:dyDescent="0.25">
      <c r="A1035" s="2570"/>
      <c r="B1035" s="2570"/>
      <c r="C1035" s="2570"/>
      <c r="D1035" s="2570"/>
      <c r="E1035" s="2570"/>
      <c r="F1035" s="2570"/>
      <c r="G1035" s="699"/>
      <c r="H1035" s="697"/>
      <c r="I1035" s="698"/>
      <c r="J1035" s="697"/>
    </row>
    <row r="1036" spans="1:13" s="942" customFormat="1" x14ac:dyDescent="0.25">
      <c r="A1036" s="2571" t="s">
        <v>156</v>
      </c>
      <c r="B1036" s="2571"/>
      <c r="C1036" s="2571"/>
      <c r="D1036" s="2571"/>
      <c r="E1036" s="2571"/>
      <c r="F1036" s="2571"/>
      <c r="G1036" s="696"/>
      <c r="H1036" s="697"/>
      <c r="I1036" s="698"/>
      <c r="J1036" s="697" t="s">
        <v>729</v>
      </c>
    </row>
    <row r="1038" spans="1:13" s="680" customFormat="1" ht="18.75" x14ac:dyDescent="0.25">
      <c r="A1038" s="2542" t="s">
        <v>1443</v>
      </c>
      <c r="B1038" s="2542"/>
      <c r="C1038" s="2542"/>
      <c r="D1038" s="2542"/>
      <c r="E1038" s="2542"/>
      <c r="F1038" s="2542"/>
      <c r="G1038" s="2542"/>
      <c r="H1038" s="2542"/>
      <c r="I1038" s="2542"/>
      <c r="J1038" s="2542"/>
    </row>
    <row r="1039" spans="1:13" s="680" customFormat="1" ht="18.75" x14ac:dyDescent="0.25">
      <c r="A1039" s="2542" t="s">
        <v>1317</v>
      </c>
      <c r="B1039" s="2542"/>
      <c r="C1039" s="2542"/>
      <c r="D1039" s="2542"/>
      <c r="E1039" s="2542"/>
      <c r="F1039" s="2542"/>
      <c r="G1039" s="2542"/>
      <c r="H1039" s="2542"/>
      <c r="I1039" s="2542"/>
      <c r="J1039" s="2542"/>
    </row>
    <row r="1040" spans="1:13" s="680" customFormat="1" ht="18.75" x14ac:dyDescent="0.25">
      <c r="A1040" s="2542" t="s">
        <v>611</v>
      </c>
      <c r="B1040" s="2542"/>
      <c r="C1040" s="2542"/>
      <c r="D1040" s="2542"/>
      <c r="E1040" s="2542"/>
      <c r="F1040" s="2542"/>
      <c r="G1040" s="2542"/>
      <c r="H1040" s="2542"/>
      <c r="I1040" s="2542"/>
      <c r="J1040" s="2542"/>
    </row>
    <row r="1041" spans="1:11" s="680" customFormat="1" x14ac:dyDescent="0.25">
      <c r="A1041" s="2569"/>
      <c r="B1041" s="2569"/>
      <c r="C1041" s="2569"/>
      <c r="D1041" s="2569"/>
      <c r="E1041" s="2569"/>
      <c r="F1041" s="2569"/>
      <c r="G1041" s="2569"/>
      <c r="H1041" s="2569"/>
      <c r="I1041" s="2569"/>
      <c r="J1041" s="2569"/>
    </row>
    <row r="1042" spans="1:11" s="680" customFormat="1" ht="77.25" customHeight="1" x14ac:dyDescent="0.25">
      <c r="A1042" s="949" t="s">
        <v>406</v>
      </c>
      <c r="B1042" s="682" t="s">
        <v>235</v>
      </c>
      <c r="C1042" s="682" t="s">
        <v>234</v>
      </c>
      <c r="D1042" s="949" t="s">
        <v>305</v>
      </c>
      <c r="E1042" s="682" t="s">
        <v>1095</v>
      </c>
      <c r="F1042" s="682" t="s">
        <v>35</v>
      </c>
      <c r="G1042" s="682" t="s">
        <v>1096</v>
      </c>
      <c r="H1042" s="682" t="s">
        <v>491</v>
      </c>
      <c r="I1042" s="682" t="s">
        <v>492</v>
      </c>
      <c r="J1042" s="682" t="s">
        <v>1097</v>
      </c>
    </row>
    <row r="1043" spans="1:11" s="680" customFormat="1" x14ac:dyDescent="0.25">
      <c r="A1043" s="2545" t="s">
        <v>493</v>
      </c>
      <c r="B1043" s="2545"/>
      <c r="C1043" s="2545"/>
      <c r="D1043" s="2545"/>
      <c r="E1043" s="2545"/>
      <c r="F1043" s="2545"/>
      <c r="G1043" s="2545"/>
      <c r="H1043" s="2545"/>
      <c r="I1043" s="2545"/>
      <c r="J1043" s="2545"/>
    </row>
    <row r="1044" spans="1:11" s="950" customFormat="1" x14ac:dyDescent="0.25">
      <c r="A1044" s="2550" t="s">
        <v>496</v>
      </c>
      <c r="B1044" s="2550"/>
      <c r="C1044" s="2550"/>
      <c r="D1044" s="2550"/>
      <c r="E1044" s="2550"/>
      <c r="F1044" s="2550"/>
      <c r="G1044" s="2550"/>
      <c r="H1044" s="2550"/>
      <c r="I1044" s="2550"/>
      <c r="J1044" s="2550"/>
    </row>
    <row r="1045" spans="1:11" s="950" customFormat="1" ht="45" x14ac:dyDescent="0.25">
      <c r="A1045" s="683" t="s">
        <v>109</v>
      </c>
      <c r="B1045" s="949" t="s">
        <v>624</v>
      </c>
      <c r="C1045" s="684" t="s">
        <v>91</v>
      </c>
      <c r="D1045" s="892">
        <v>851</v>
      </c>
      <c r="E1045" s="892">
        <v>291</v>
      </c>
      <c r="F1045" s="685" t="s">
        <v>1319</v>
      </c>
      <c r="G1045" s="686">
        <v>24891742</v>
      </c>
      <c r="H1045" s="686">
        <v>24814162</v>
      </c>
      <c r="I1045" s="686">
        <f>H1045-G1045</f>
        <v>-77580</v>
      </c>
      <c r="J1045" s="685" t="s">
        <v>1381</v>
      </c>
    </row>
    <row r="1046" spans="1:11" s="950" customFormat="1" ht="50.25" customHeight="1" x14ac:dyDescent="0.25">
      <c r="A1046" s="683" t="s">
        <v>109</v>
      </c>
      <c r="B1046" s="949" t="s">
        <v>624</v>
      </c>
      <c r="C1046" s="530" t="s">
        <v>706</v>
      </c>
      <c r="D1046" s="708">
        <v>247</v>
      </c>
      <c r="E1046" s="708">
        <v>223</v>
      </c>
      <c r="F1046" s="685" t="s">
        <v>456</v>
      </c>
      <c r="G1046" s="686">
        <v>8995355.5399999991</v>
      </c>
      <c r="H1046" s="686">
        <f>G1046+77580</f>
        <v>9072935.5399999991</v>
      </c>
      <c r="I1046" s="686">
        <f>H1046-G1046</f>
        <v>77580</v>
      </c>
      <c r="J1046" s="685" t="s">
        <v>1444</v>
      </c>
    </row>
    <row r="1047" spans="1:11" s="950" customFormat="1" x14ac:dyDescent="0.25">
      <c r="A1047" s="948"/>
      <c r="B1047" s="2537" t="s">
        <v>1117</v>
      </c>
      <c r="C1047" s="2537"/>
      <c r="D1047" s="2537"/>
      <c r="E1047" s="2537"/>
      <c r="F1047" s="2537"/>
      <c r="G1047" s="687">
        <f>SUM(G1045:G1046)</f>
        <v>33887097.539999999</v>
      </c>
      <c r="H1047" s="687">
        <f>SUM(H1045:H1046)</f>
        <v>33887097.539999999</v>
      </c>
      <c r="I1047" s="687">
        <f>SUM(I1045:I1046)</f>
        <v>0</v>
      </c>
      <c r="J1047" s="682" t="s">
        <v>82</v>
      </c>
    </row>
    <row r="1048" spans="1:11" s="680" customFormat="1" x14ac:dyDescent="0.25">
      <c r="A1048" s="2550" t="s">
        <v>155</v>
      </c>
      <c r="B1048" s="2550"/>
      <c r="C1048" s="2550"/>
      <c r="D1048" s="2550"/>
      <c r="E1048" s="2550"/>
      <c r="F1048" s="2550"/>
      <c r="G1048" s="2550"/>
      <c r="H1048" s="2550"/>
      <c r="I1048" s="2550"/>
      <c r="J1048" s="2550"/>
    </row>
    <row r="1049" spans="1:11" s="680" customFormat="1" ht="30" x14ac:dyDescent="0.25">
      <c r="A1049" s="683" t="s">
        <v>109</v>
      </c>
      <c r="B1049" s="541" t="s">
        <v>1298</v>
      </c>
      <c r="C1049" s="684" t="s">
        <v>34</v>
      </c>
      <c r="D1049" s="708">
        <v>111</v>
      </c>
      <c r="E1049" s="708">
        <v>211</v>
      </c>
      <c r="F1049" s="685" t="s">
        <v>179</v>
      </c>
      <c r="G1049" s="686">
        <v>2312321.9500000002</v>
      </c>
      <c r="H1049" s="686">
        <v>2184091.92</v>
      </c>
      <c r="I1049" s="686">
        <f>H1049-G1049</f>
        <v>-128230.03</v>
      </c>
      <c r="J1049" s="685" t="s">
        <v>1429</v>
      </c>
      <c r="K1049" s="709"/>
    </row>
    <row r="1050" spans="1:11" s="680" customFormat="1" ht="90" x14ac:dyDescent="0.25">
      <c r="A1050" s="683" t="s">
        <v>109</v>
      </c>
      <c r="B1050" s="541" t="s">
        <v>1298</v>
      </c>
      <c r="C1050" s="684" t="s">
        <v>34</v>
      </c>
      <c r="D1050" s="708">
        <v>112</v>
      </c>
      <c r="E1050" s="708">
        <v>212</v>
      </c>
      <c r="F1050" s="685" t="s">
        <v>1407</v>
      </c>
      <c r="G1050" s="686">
        <v>5900</v>
      </c>
      <c r="H1050" s="686">
        <v>20800</v>
      </c>
      <c r="I1050" s="686">
        <f>H1050-G1050</f>
        <v>14900</v>
      </c>
      <c r="J1050" s="685" t="s">
        <v>1408</v>
      </c>
      <c r="K1050" s="709"/>
    </row>
    <row r="1051" spans="1:11" s="680" customFormat="1" ht="195" x14ac:dyDescent="0.25">
      <c r="A1051" s="683" t="s">
        <v>109</v>
      </c>
      <c r="B1051" s="541" t="s">
        <v>1298</v>
      </c>
      <c r="C1051" s="684" t="s">
        <v>34</v>
      </c>
      <c r="D1051" s="708">
        <v>112</v>
      </c>
      <c r="E1051" s="708">
        <v>226</v>
      </c>
      <c r="F1051" s="547" t="s">
        <v>1411</v>
      </c>
      <c r="G1051" s="686">
        <v>107459.13</v>
      </c>
      <c r="H1051" s="686">
        <v>220789.16</v>
      </c>
      <c r="I1051" s="686">
        <f>H1051-G1051</f>
        <v>113330.03</v>
      </c>
      <c r="J1051" s="685" t="s">
        <v>1412</v>
      </c>
      <c r="K1051" s="709"/>
    </row>
    <row r="1052" spans="1:11" s="680" customFormat="1" x14ac:dyDescent="0.25">
      <c r="A1052" s="2574" t="s">
        <v>1125</v>
      </c>
      <c r="B1052" s="2580"/>
      <c r="C1052" s="2580"/>
      <c r="D1052" s="2580"/>
      <c r="E1052" s="2580"/>
      <c r="F1052" s="2576"/>
      <c r="G1052" s="687">
        <f>SUM(G1049:G1051)</f>
        <v>2425681.08</v>
      </c>
      <c r="H1052" s="687">
        <f>SUM(H1049:H1051)</f>
        <v>2425681.08</v>
      </c>
      <c r="I1052" s="687">
        <f>SUM(I1049:I1051)</f>
        <v>0</v>
      </c>
      <c r="J1052" s="947"/>
    </row>
    <row r="1053" spans="1:11" s="950" customFormat="1" x14ac:dyDescent="0.25">
      <c r="A1053" s="2577" t="s">
        <v>160</v>
      </c>
      <c r="B1053" s="2578"/>
      <c r="C1053" s="2578"/>
      <c r="D1053" s="2578"/>
      <c r="E1053" s="2578"/>
      <c r="F1053" s="687" t="s">
        <v>82</v>
      </c>
      <c r="G1053" s="687">
        <f>G1052+G1047</f>
        <v>36312778.619999997</v>
      </c>
      <c r="H1053" s="687">
        <f>H1052+H1047</f>
        <v>36312778.619999997</v>
      </c>
      <c r="I1053" s="687">
        <f>I1052+I1047</f>
        <v>0</v>
      </c>
      <c r="J1053" s="947" t="s">
        <v>82</v>
      </c>
    </row>
    <row r="1054" spans="1:11" s="950" customFormat="1" x14ac:dyDescent="0.25"/>
    <row r="1055" spans="1:11" s="950" customFormat="1" x14ac:dyDescent="0.25">
      <c r="A1055" s="2579" t="s">
        <v>705</v>
      </c>
      <c r="B1055" s="2579"/>
      <c r="C1055" s="2579"/>
      <c r="D1055" s="2579"/>
      <c r="E1055" s="2579"/>
      <c r="F1055" s="2579"/>
      <c r="G1055" s="696"/>
      <c r="H1055" s="697"/>
      <c r="I1055" s="698"/>
      <c r="J1055" s="697" t="s">
        <v>733</v>
      </c>
    </row>
    <row r="1056" spans="1:11" s="950" customFormat="1" x14ac:dyDescent="0.25">
      <c r="A1056" s="2570"/>
      <c r="B1056" s="2570"/>
      <c r="C1056" s="2570"/>
      <c r="D1056" s="2570"/>
      <c r="E1056" s="2570"/>
      <c r="F1056" s="2570"/>
      <c r="G1056" s="699"/>
      <c r="H1056" s="697"/>
      <c r="I1056" s="698"/>
      <c r="J1056" s="697"/>
    </row>
    <row r="1057" spans="1:13" s="950" customFormat="1" x14ac:dyDescent="0.25">
      <c r="A1057" s="2571" t="s">
        <v>156</v>
      </c>
      <c r="B1057" s="2571"/>
      <c r="C1057" s="2571"/>
      <c r="D1057" s="2571"/>
      <c r="E1057" s="2571"/>
      <c r="F1057" s="2571"/>
      <c r="G1057" s="696"/>
      <c r="H1057" s="697"/>
      <c r="I1057" s="698"/>
      <c r="J1057" s="697" t="s">
        <v>729</v>
      </c>
    </row>
    <row r="1059" spans="1:13" x14ac:dyDescent="0.25">
      <c r="H1059" s="952"/>
    </row>
    <row r="1060" spans="1:13" s="928" customFormat="1" ht="18.75" x14ac:dyDescent="0.25">
      <c r="A1060" s="2541" t="s">
        <v>1448</v>
      </c>
      <c r="B1060" s="2541"/>
      <c r="C1060" s="2541"/>
      <c r="D1060" s="2541"/>
      <c r="E1060" s="2541"/>
      <c r="F1060" s="2541"/>
      <c r="G1060" s="2541"/>
      <c r="H1060" s="2541"/>
      <c r="I1060" s="2541"/>
    </row>
    <row r="1061" spans="1:13" s="928" customFormat="1" ht="18.75" hidden="1" x14ac:dyDescent="0.25">
      <c r="A1061" s="2542" t="s">
        <v>1317</v>
      </c>
      <c r="B1061" s="2542"/>
      <c r="C1061" s="2542"/>
      <c r="D1061" s="2542"/>
      <c r="E1061" s="2542"/>
      <c r="F1061" s="2542"/>
      <c r="G1061" s="2542"/>
      <c r="H1061" s="2542"/>
      <c r="I1061" s="2542"/>
    </row>
    <row r="1062" spans="1:13" s="928" customFormat="1" ht="18.75" x14ac:dyDescent="0.3">
      <c r="A1062" s="2543" t="s">
        <v>611</v>
      </c>
      <c r="B1062" s="2543"/>
      <c r="C1062" s="2543"/>
      <c r="D1062" s="2543"/>
      <c r="E1062" s="2543"/>
      <c r="F1062" s="2543"/>
      <c r="G1062" s="2543"/>
      <c r="H1062" s="2543"/>
      <c r="I1062" s="2543"/>
    </row>
    <row r="1063" spans="1:13" s="928" customFormat="1" ht="18.75" x14ac:dyDescent="0.3">
      <c r="A1063" s="961"/>
      <c r="B1063" s="962"/>
      <c r="C1063" s="962"/>
      <c r="D1063" s="962"/>
      <c r="E1063" s="962"/>
      <c r="F1063" s="962"/>
      <c r="G1063" s="962"/>
      <c r="H1063" s="962"/>
      <c r="I1063" s="962"/>
    </row>
    <row r="1064" spans="1:13" s="928" customFormat="1" ht="52.5" customHeight="1" x14ac:dyDescent="0.25">
      <c r="A1064" s="955" t="s">
        <v>1449</v>
      </c>
      <c r="B1064" s="955" t="s">
        <v>234</v>
      </c>
      <c r="C1064" s="955" t="s">
        <v>305</v>
      </c>
      <c r="D1064" s="682" t="s">
        <v>1450</v>
      </c>
      <c r="E1064" s="682" t="s">
        <v>35</v>
      </c>
      <c r="F1064" s="682" t="s">
        <v>1451</v>
      </c>
      <c r="G1064" s="682" t="s">
        <v>491</v>
      </c>
      <c r="H1064" s="682" t="s">
        <v>492</v>
      </c>
      <c r="I1064" s="682" t="s">
        <v>1097</v>
      </c>
    </row>
    <row r="1065" spans="1:13" s="928" customFormat="1" ht="18.75" x14ac:dyDescent="0.25">
      <c r="A1065" s="2542" t="s">
        <v>1317</v>
      </c>
      <c r="B1065" s="2542"/>
      <c r="C1065" s="2542"/>
      <c r="D1065" s="2542"/>
      <c r="E1065" s="2542"/>
      <c r="F1065" s="2542"/>
      <c r="G1065" s="2542"/>
      <c r="H1065" s="2542"/>
      <c r="I1065" s="2542"/>
    </row>
    <row r="1066" spans="1:13" s="928" customFormat="1" x14ac:dyDescent="0.25">
      <c r="A1066" s="2545" t="s">
        <v>493</v>
      </c>
      <c r="B1066" s="2545"/>
      <c r="C1066" s="2545"/>
      <c r="D1066" s="2545"/>
      <c r="E1066" s="2545"/>
      <c r="F1066" s="2545"/>
      <c r="G1066" s="2545"/>
      <c r="H1066" s="2545"/>
      <c r="I1066" s="2545"/>
    </row>
    <row r="1067" spans="1:13" s="928" customFormat="1" ht="27.75" customHeight="1" x14ac:dyDescent="0.25">
      <c r="A1067" s="2562" t="s">
        <v>503</v>
      </c>
      <c r="B1067" s="2225"/>
      <c r="C1067" s="2225"/>
      <c r="D1067" s="2225"/>
      <c r="E1067" s="2225"/>
      <c r="F1067" s="2225"/>
      <c r="G1067" s="2225"/>
      <c r="H1067" s="2225"/>
      <c r="I1067" s="2226"/>
    </row>
    <row r="1068" spans="1:13" s="928" customFormat="1" ht="30" x14ac:dyDescent="0.25">
      <c r="A1068" s="955" t="s">
        <v>626</v>
      </c>
      <c r="B1068" s="684" t="s">
        <v>67</v>
      </c>
      <c r="C1068" s="955">
        <v>111</v>
      </c>
      <c r="D1068" s="955">
        <v>211</v>
      </c>
      <c r="E1068" s="685" t="s">
        <v>179</v>
      </c>
      <c r="F1068" s="686">
        <v>130788443.26000001</v>
      </c>
      <c r="G1068" s="686">
        <v>142086758.27000001</v>
      </c>
      <c r="H1068" s="686">
        <f>G1068-F1068</f>
        <v>11298315.01</v>
      </c>
      <c r="I1068" s="707" t="s">
        <v>1461</v>
      </c>
      <c r="K1068" s="943" t="e">
        <f>F1068+#REF!-150000</f>
        <v>#REF!</v>
      </c>
      <c r="L1068" s="944" t="e">
        <f>K1068*100/130.2</f>
        <v>#REF!</v>
      </c>
      <c r="M1068" s="944" t="e">
        <f>L1068-F1068</f>
        <v>#REF!</v>
      </c>
    </row>
    <row r="1069" spans="1:13" s="928" customFormat="1" ht="30" x14ac:dyDescent="0.25">
      <c r="A1069" s="955" t="s">
        <v>626</v>
      </c>
      <c r="B1069" s="684" t="s">
        <v>67</v>
      </c>
      <c r="C1069" s="955">
        <v>119</v>
      </c>
      <c r="D1069" s="955">
        <v>213</v>
      </c>
      <c r="E1069" s="685" t="s">
        <v>89</v>
      </c>
      <c r="F1069" s="686">
        <v>39398109.859999999</v>
      </c>
      <c r="G1069" s="686">
        <v>42810200.990000002</v>
      </c>
      <c r="H1069" s="686">
        <f>G1069-F1069</f>
        <v>3412091.13</v>
      </c>
      <c r="I1069" s="707" t="s">
        <v>1461</v>
      </c>
      <c r="K1069" s="943" t="e">
        <f>F1069+#REF!-150000</f>
        <v>#REF!</v>
      </c>
      <c r="L1069" s="944" t="e">
        <f>K1069*100/130.2</f>
        <v>#REF!</v>
      </c>
      <c r="M1069" s="944" t="e">
        <f>L1069-F1069</f>
        <v>#REF!</v>
      </c>
    </row>
    <row r="1070" spans="1:13" s="928" customFormat="1" x14ac:dyDescent="0.25">
      <c r="A1070" s="2537" t="s">
        <v>1352</v>
      </c>
      <c r="B1070" s="2537"/>
      <c r="C1070" s="2537"/>
      <c r="D1070" s="2537"/>
      <c r="E1070" s="2537"/>
      <c r="F1070" s="687">
        <f>SUM(F1068:F1069)</f>
        <v>170186553.12</v>
      </c>
      <c r="G1070" s="687">
        <f>SUM(G1068:G1069)</f>
        <v>184896959.25999999</v>
      </c>
      <c r="H1070" s="687">
        <f>SUM(H1068:H1069)</f>
        <v>14710406.140000001</v>
      </c>
      <c r="I1070" s="682" t="s">
        <v>82</v>
      </c>
    </row>
    <row r="1071" spans="1:13" s="928" customFormat="1" x14ac:dyDescent="0.25">
      <c r="A1071" s="2550" t="s">
        <v>496</v>
      </c>
      <c r="B1071" s="2550"/>
      <c r="C1071" s="2550"/>
      <c r="D1071" s="2550"/>
      <c r="E1071" s="2550"/>
      <c r="F1071" s="2550"/>
      <c r="G1071" s="2550"/>
      <c r="H1071" s="2550"/>
      <c r="I1071" s="2550"/>
    </row>
    <row r="1072" spans="1:13" s="928" customFormat="1" ht="60" x14ac:dyDescent="0.25">
      <c r="A1072" s="955" t="s">
        <v>624</v>
      </c>
      <c r="B1072" s="684" t="s">
        <v>91</v>
      </c>
      <c r="C1072" s="892">
        <v>112</v>
      </c>
      <c r="D1072" s="892">
        <v>214</v>
      </c>
      <c r="E1072" s="685" t="s">
        <v>1452</v>
      </c>
      <c r="F1072" s="686">
        <v>1424284.52</v>
      </c>
      <c r="G1072" s="686">
        <f>F1072+271673</f>
        <v>1695957.52</v>
      </c>
      <c r="H1072" s="686">
        <f>G1072-F1072</f>
        <v>271673</v>
      </c>
      <c r="I1072" s="957" t="s">
        <v>1461</v>
      </c>
    </row>
    <row r="1073" spans="1:9" s="928" customFormat="1" ht="30" x14ac:dyDescent="0.25">
      <c r="A1073" s="955" t="s">
        <v>624</v>
      </c>
      <c r="B1073" s="684" t="s">
        <v>91</v>
      </c>
      <c r="C1073" s="708">
        <v>247</v>
      </c>
      <c r="D1073" s="708">
        <v>223</v>
      </c>
      <c r="E1073" s="685" t="s">
        <v>456</v>
      </c>
      <c r="F1073" s="686">
        <v>9072935.5399999991</v>
      </c>
      <c r="G1073" s="686">
        <f>F1073+696805.81+179830.75</f>
        <v>9949572.0999999996</v>
      </c>
      <c r="H1073" s="686">
        <f>G1073-F1073</f>
        <v>876636.56</v>
      </c>
      <c r="I1073" s="957" t="s">
        <v>1461</v>
      </c>
    </row>
    <row r="1074" spans="1:9" s="928" customFormat="1" ht="30" x14ac:dyDescent="0.25">
      <c r="A1074" s="955" t="s">
        <v>624</v>
      </c>
      <c r="B1074" s="684" t="s">
        <v>91</v>
      </c>
      <c r="C1074" s="708">
        <v>244</v>
      </c>
      <c r="D1074" s="708">
        <v>223</v>
      </c>
      <c r="E1074" s="685" t="s">
        <v>456</v>
      </c>
      <c r="F1074" s="686">
        <v>2279986.06</v>
      </c>
      <c r="G1074" s="686">
        <f>F1074+145388.37</f>
        <v>2425374.4300000002</v>
      </c>
      <c r="H1074" s="686">
        <f>G1074-F1074</f>
        <v>145388.37</v>
      </c>
      <c r="I1074" s="957" t="s">
        <v>1461</v>
      </c>
    </row>
    <row r="1075" spans="1:9" s="928" customFormat="1" x14ac:dyDescent="0.25">
      <c r="A1075" s="2537" t="s">
        <v>1117</v>
      </c>
      <c r="B1075" s="2537"/>
      <c r="C1075" s="2537"/>
      <c r="D1075" s="2537"/>
      <c r="E1075" s="2537"/>
      <c r="F1075" s="687">
        <f>SUM(F1072:F1074)</f>
        <v>12777206.119999999</v>
      </c>
      <c r="G1075" s="687">
        <f>SUM(G1072:G1074)</f>
        <v>14070904.050000001</v>
      </c>
      <c r="H1075" s="687">
        <f>SUM(H1072:H1074)</f>
        <v>1293697.93</v>
      </c>
      <c r="I1075" s="682" t="s">
        <v>82</v>
      </c>
    </row>
    <row r="1076" spans="1:9" s="928" customFormat="1" x14ac:dyDescent="0.25">
      <c r="A1076" s="2546" t="s">
        <v>1422</v>
      </c>
      <c r="B1076" s="2564"/>
      <c r="C1076" s="2564"/>
      <c r="D1076" s="2564"/>
      <c r="E1076" s="2564"/>
      <c r="F1076" s="2564"/>
      <c r="G1076" s="2564"/>
      <c r="H1076" s="2564"/>
      <c r="I1076" s="2565"/>
    </row>
    <row r="1077" spans="1:9" s="928" customFormat="1" ht="40.5" customHeight="1" x14ac:dyDescent="0.25">
      <c r="A1077" s="955" t="s">
        <v>644</v>
      </c>
      <c r="B1077" s="684" t="s">
        <v>1453</v>
      </c>
      <c r="C1077" s="892">
        <v>111</v>
      </c>
      <c r="D1077" s="892">
        <v>211</v>
      </c>
      <c r="E1077" s="2597" t="s">
        <v>1454</v>
      </c>
      <c r="F1077" s="686">
        <v>7119209.6399999997</v>
      </c>
      <c r="G1077" s="686">
        <f>F1077-143884.29</f>
        <v>6975325.3499999996</v>
      </c>
      <c r="H1077" s="686">
        <f>G1077-F1077</f>
        <v>-143884.29</v>
      </c>
      <c r="I1077" s="2581" t="s">
        <v>1463</v>
      </c>
    </row>
    <row r="1078" spans="1:9" s="928" customFormat="1" ht="40.5" customHeight="1" x14ac:dyDescent="0.25">
      <c r="A1078" s="955" t="s">
        <v>644</v>
      </c>
      <c r="B1078" s="684" t="s">
        <v>1453</v>
      </c>
      <c r="C1078" s="892">
        <v>119</v>
      </c>
      <c r="D1078" s="892">
        <v>213</v>
      </c>
      <c r="E1078" s="2358"/>
      <c r="F1078" s="686">
        <v>2150001.31</v>
      </c>
      <c r="G1078" s="686">
        <f>F1078-66083.12</f>
        <v>2083918.19</v>
      </c>
      <c r="H1078" s="686">
        <f>G1078-F1078</f>
        <v>-66083.12</v>
      </c>
      <c r="I1078" s="2552"/>
    </row>
    <row r="1079" spans="1:9" s="928" customFormat="1" ht="40.5" customHeight="1" x14ac:dyDescent="0.25">
      <c r="A1079" s="955" t="s">
        <v>759</v>
      </c>
      <c r="B1079" s="684" t="s">
        <v>1455</v>
      </c>
      <c r="C1079" s="892">
        <v>111</v>
      </c>
      <c r="D1079" s="892">
        <v>211</v>
      </c>
      <c r="E1079" s="2597" t="s">
        <v>1456</v>
      </c>
      <c r="F1079" s="686">
        <v>459065.7</v>
      </c>
      <c r="G1079" s="686">
        <f>F1079+218.69</f>
        <v>459284.39</v>
      </c>
      <c r="H1079" s="686">
        <f>G1079-F1079</f>
        <v>218.69</v>
      </c>
      <c r="I1079" s="2581" t="s">
        <v>1462</v>
      </c>
    </row>
    <row r="1080" spans="1:9" s="928" customFormat="1" ht="40.5" customHeight="1" x14ac:dyDescent="0.25">
      <c r="A1080" s="955" t="s">
        <v>759</v>
      </c>
      <c r="B1080" s="684" t="s">
        <v>1455</v>
      </c>
      <c r="C1080" s="892">
        <v>119</v>
      </c>
      <c r="D1080" s="892">
        <v>213</v>
      </c>
      <c r="E1080" s="2358"/>
      <c r="F1080" s="686">
        <v>138657.37</v>
      </c>
      <c r="G1080" s="686">
        <f>F1080-218.69</f>
        <v>138438.68</v>
      </c>
      <c r="H1080" s="686">
        <f>G1080-F1080</f>
        <v>-218.69</v>
      </c>
      <c r="I1080" s="2552"/>
    </row>
    <row r="1081" spans="1:9" s="928" customFormat="1" x14ac:dyDescent="0.25">
      <c r="A1081" s="2566" t="s">
        <v>1423</v>
      </c>
      <c r="B1081" s="2567"/>
      <c r="C1081" s="2567"/>
      <c r="D1081" s="2567"/>
      <c r="E1081" s="2568"/>
      <c r="F1081" s="687">
        <f>SUM(F1077:F1080)</f>
        <v>9866934.0199999996</v>
      </c>
      <c r="G1081" s="687">
        <f>SUM(G1077:G1080)</f>
        <v>9656966.6099999994</v>
      </c>
      <c r="H1081" s="687">
        <f>SUM(H1077:H1080)</f>
        <v>-209967.41</v>
      </c>
      <c r="I1081" s="956" t="s">
        <v>82</v>
      </c>
    </row>
    <row r="1082" spans="1:9" s="928" customFormat="1" x14ac:dyDescent="0.25">
      <c r="A1082" s="2546" t="s">
        <v>155</v>
      </c>
      <c r="B1082" s="2564"/>
      <c r="C1082" s="2564"/>
      <c r="D1082" s="2564"/>
      <c r="E1082" s="2564"/>
      <c r="F1082" s="2564"/>
      <c r="G1082" s="2564"/>
      <c r="H1082" s="2564"/>
      <c r="I1082" s="2565"/>
    </row>
    <row r="1083" spans="1:9" s="928" customFormat="1" ht="48.75" customHeight="1" x14ac:dyDescent="0.25">
      <c r="A1083" s="955"/>
      <c r="B1083" s="684" t="s">
        <v>137</v>
      </c>
      <c r="C1083" s="684" t="s">
        <v>495</v>
      </c>
      <c r="D1083" s="684" t="s">
        <v>537</v>
      </c>
      <c r="E1083" s="685" t="s">
        <v>499</v>
      </c>
      <c r="F1083" s="686">
        <v>6589620</v>
      </c>
      <c r="G1083" s="686">
        <f>F1083+350000</f>
        <v>6939620</v>
      </c>
      <c r="H1083" s="686">
        <f>G1083-F1083</f>
        <v>350000</v>
      </c>
      <c r="I1083" s="685" t="s">
        <v>1464</v>
      </c>
    </row>
    <row r="1084" spans="1:9" s="928" customFormat="1" ht="40.5" customHeight="1" x14ac:dyDescent="0.25">
      <c r="A1084" s="541" t="s">
        <v>1298</v>
      </c>
      <c r="B1084" s="684" t="s">
        <v>34</v>
      </c>
      <c r="C1084" s="708">
        <v>244</v>
      </c>
      <c r="D1084" s="708">
        <v>225</v>
      </c>
      <c r="E1084" s="954" t="s">
        <v>457</v>
      </c>
      <c r="F1084" s="686">
        <v>431110.82</v>
      </c>
      <c r="G1084" s="686">
        <f>F1084+350000</f>
        <v>781110.82</v>
      </c>
      <c r="H1084" s="686">
        <f>G1084-F1084</f>
        <v>350000</v>
      </c>
      <c r="I1084" s="685" t="s">
        <v>1465</v>
      </c>
    </row>
    <row r="1085" spans="1:9" s="928" customFormat="1" x14ac:dyDescent="0.25">
      <c r="A1085" s="2566" t="s">
        <v>1125</v>
      </c>
      <c r="B1085" s="2567"/>
      <c r="C1085" s="2567"/>
      <c r="D1085" s="2567"/>
      <c r="E1085" s="2568"/>
      <c r="F1085" s="687">
        <f>F1084</f>
        <v>431110.82</v>
      </c>
      <c r="G1085" s="687">
        <f>G1084</f>
        <v>781110.82</v>
      </c>
      <c r="H1085" s="687">
        <f>H1084</f>
        <v>350000</v>
      </c>
      <c r="I1085" s="956" t="s">
        <v>82</v>
      </c>
    </row>
    <row r="1086" spans="1:9" s="928" customFormat="1" x14ac:dyDescent="0.25">
      <c r="A1086" s="2566" t="s">
        <v>1457</v>
      </c>
      <c r="B1086" s="2567"/>
      <c r="C1086" s="2567"/>
      <c r="D1086" s="2567"/>
      <c r="E1086" s="2568"/>
      <c r="F1086" s="687">
        <f>F1070+F1075+F1081+F1085</f>
        <v>193261804.08000001</v>
      </c>
      <c r="G1086" s="687">
        <f>G1070+G1075+G1081+G1085</f>
        <v>209405940.74000001</v>
      </c>
      <c r="H1086" s="687">
        <f>H1070+H1075+H1081+H1085</f>
        <v>16144136.66</v>
      </c>
      <c r="I1086" s="955" t="s">
        <v>82</v>
      </c>
    </row>
    <row r="1087" spans="1:9" s="928" customFormat="1" ht="18.75" x14ac:dyDescent="0.25">
      <c r="A1087" s="2598" t="s">
        <v>1458</v>
      </c>
      <c r="B1087" s="2598"/>
      <c r="C1087" s="2598"/>
      <c r="D1087" s="2598"/>
      <c r="E1087" s="2598"/>
      <c r="F1087" s="2598"/>
      <c r="G1087" s="2598"/>
      <c r="H1087" s="2598"/>
      <c r="I1087" s="2598"/>
    </row>
    <row r="1088" spans="1:9" s="928" customFormat="1" x14ac:dyDescent="0.25">
      <c r="A1088" s="2546" t="s">
        <v>1422</v>
      </c>
      <c r="B1088" s="2564"/>
      <c r="C1088" s="2564"/>
      <c r="D1088" s="2564"/>
      <c r="E1088" s="2564"/>
      <c r="F1088" s="2564"/>
      <c r="G1088" s="2564"/>
      <c r="H1088" s="2564"/>
      <c r="I1088" s="2565"/>
    </row>
    <row r="1089" spans="1:9" s="928" customFormat="1" ht="39" customHeight="1" x14ac:dyDescent="0.25">
      <c r="A1089" s="955" t="s">
        <v>644</v>
      </c>
      <c r="B1089" s="684" t="s">
        <v>1453</v>
      </c>
      <c r="C1089" s="892">
        <v>111</v>
      </c>
      <c r="D1089" s="892">
        <v>211</v>
      </c>
      <c r="E1089" s="2597" t="s">
        <v>1454</v>
      </c>
      <c r="F1089" s="686">
        <v>8238391.8300000001</v>
      </c>
      <c r="G1089" s="686">
        <v>0</v>
      </c>
      <c r="H1089" s="686">
        <f>G1089-F1089</f>
        <v>-8238391.8300000001</v>
      </c>
      <c r="I1089" s="2581" t="s">
        <v>1463</v>
      </c>
    </row>
    <row r="1090" spans="1:9" s="928" customFormat="1" ht="39" customHeight="1" x14ac:dyDescent="0.25">
      <c r="A1090" s="955" t="s">
        <v>644</v>
      </c>
      <c r="B1090" s="684" t="s">
        <v>1453</v>
      </c>
      <c r="C1090" s="892">
        <v>119</v>
      </c>
      <c r="D1090" s="892">
        <v>213</v>
      </c>
      <c r="E1090" s="2358"/>
      <c r="F1090" s="686">
        <v>2487994.34</v>
      </c>
      <c r="G1090" s="686">
        <v>0</v>
      </c>
      <c r="H1090" s="686">
        <f>G1090-F1090</f>
        <v>-2487994.34</v>
      </c>
      <c r="I1090" s="2552"/>
    </row>
    <row r="1091" spans="1:9" s="928" customFormat="1" x14ac:dyDescent="0.25">
      <c r="A1091" s="2566" t="s">
        <v>1423</v>
      </c>
      <c r="B1091" s="2567"/>
      <c r="C1091" s="2567"/>
      <c r="D1091" s="2567"/>
      <c r="E1091" s="2568"/>
      <c r="F1091" s="687">
        <f>SUM(F1089:F1090)</f>
        <v>10726386.17</v>
      </c>
      <c r="G1091" s="687">
        <f>SUM(G1089:G1090)</f>
        <v>0</v>
      </c>
      <c r="H1091" s="687">
        <f>SUM(H1089:H1090)</f>
        <v>-10726386.17</v>
      </c>
      <c r="I1091" s="956" t="s">
        <v>82</v>
      </c>
    </row>
    <row r="1092" spans="1:9" s="928" customFormat="1" x14ac:dyDescent="0.25">
      <c r="A1092" s="2537" t="s">
        <v>1385</v>
      </c>
      <c r="B1092" s="2537"/>
      <c r="C1092" s="2537"/>
      <c r="D1092" s="2537"/>
      <c r="E1092" s="2537"/>
      <c r="F1092" s="687">
        <f>F1091</f>
        <v>10726386.17</v>
      </c>
      <c r="G1092" s="687">
        <f>G1091</f>
        <v>0</v>
      </c>
      <c r="H1092" s="687">
        <f>H1091</f>
        <v>-10726386.17</v>
      </c>
      <c r="I1092" s="955" t="s">
        <v>82</v>
      </c>
    </row>
    <row r="1093" spans="1:9" s="928" customFormat="1" ht="18.75" x14ac:dyDescent="0.25">
      <c r="A1093" s="2598" t="s">
        <v>1459</v>
      </c>
      <c r="B1093" s="2598"/>
      <c r="C1093" s="2598"/>
      <c r="D1093" s="2598"/>
      <c r="E1093" s="2598"/>
      <c r="F1093" s="2598"/>
      <c r="G1093" s="2598"/>
      <c r="H1093" s="2598"/>
      <c r="I1093" s="2598"/>
    </row>
    <row r="1094" spans="1:9" s="928" customFormat="1" x14ac:dyDescent="0.25">
      <c r="A1094" s="2546" t="s">
        <v>1422</v>
      </c>
      <c r="B1094" s="2564"/>
      <c r="C1094" s="2564"/>
      <c r="D1094" s="2564"/>
      <c r="E1094" s="2564"/>
      <c r="F1094" s="2564"/>
      <c r="G1094" s="2564"/>
      <c r="H1094" s="2564"/>
      <c r="I1094" s="2565"/>
    </row>
    <row r="1095" spans="1:9" s="928" customFormat="1" ht="39" customHeight="1" x14ac:dyDescent="0.25">
      <c r="A1095" s="955" t="s">
        <v>644</v>
      </c>
      <c r="B1095" s="684" t="s">
        <v>1453</v>
      </c>
      <c r="C1095" s="892">
        <v>111</v>
      </c>
      <c r="D1095" s="892">
        <v>211</v>
      </c>
      <c r="E1095" s="2597" t="s">
        <v>1454</v>
      </c>
      <c r="F1095" s="686">
        <v>9245210.8699999992</v>
      </c>
      <c r="G1095" s="686">
        <v>0</v>
      </c>
      <c r="H1095" s="686">
        <f>G1095-F1095</f>
        <v>-9245210.8699999992</v>
      </c>
      <c r="I1095" s="2581" t="s">
        <v>1463</v>
      </c>
    </row>
    <row r="1096" spans="1:9" s="928" customFormat="1" ht="39" customHeight="1" x14ac:dyDescent="0.25">
      <c r="A1096" s="955" t="s">
        <v>644</v>
      </c>
      <c r="B1096" s="684" t="s">
        <v>1453</v>
      </c>
      <c r="C1096" s="892">
        <v>119</v>
      </c>
      <c r="D1096" s="892">
        <v>213</v>
      </c>
      <c r="E1096" s="2358"/>
      <c r="F1096" s="686">
        <v>2792053.68</v>
      </c>
      <c r="G1096" s="686">
        <v>0</v>
      </c>
      <c r="H1096" s="686">
        <f>G1096-F1096</f>
        <v>-2792053.68</v>
      </c>
      <c r="I1096" s="2552"/>
    </row>
    <row r="1097" spans="1:9" s="928" customFormat="1" x14ac:dyDescent="0.25">
      <c r="A1097" s="2566" t="s">
        <v>1423</v>
      </c>
      <c r="B1097" s="2567"/>
      <c r="C1097" s="2567"/>
      <c r="D1097" s="2567"/>
      <c r="E1097" s="2568"/>
      <c r="F1097" s="687">
        <f>SUM(F1095:F1096)</f>
        <v>12037264.550000001</v>
      </c>
      <c r="G1097" s="687">
        <f>SUM(G1095:G1096)</f>
        <v>0</v>
      </c>
      <c r="H1097" s="687">
        <f>SUM(H1095:H1096)</f>
        <v>-12037264.550000001</v>
      </c>
      <c r="I1097" s="956" t="s">
        <v>82</v>
      </c>
    </row>
    <row r="1098" spans="1:9" s="928" customFormat="1" x14ac:dyDescent="0.25">
      <c r="A1098" s="2537" t="s">
        <v>1389</v>
      </c>
      <c r="B1098" s="2537"/>
      <c r="C1098" s="2537"/>
      <c r="D1098" s="2537"/>
      <c r="E1098" s="2537"/>
      <c r="F1098" s="687">
        <f>F1097</f>
        <v>12037264.550000001</v>
      </c>
      <c r="G1098" s="687">
        <f>G1097</f>
        <v>0</v>
      </c>
      <c r="H1098" s="687">
        <f>H1097</f>
        <v>-12037264.550000001</v>
      </c>
      <c r="I1098" s="955" t="s">
        <v>82</v>
      </c>
    </row>
    <row r="1099" spans="1:9" s="928" customFormat="1" x14ac:dyDescent="0.25">
      <c r="A1099" s="964"/>
      <c r="B1099" s="964"/>
      <c r="C1099" s="964"/>
      <c r="D1099" s="964"/>
      <c r="E1099" s="964"/>
      <c r="F1099" s="693"/>
      <c r="G1099" s="693"/>
      <c r="H1099" s="693"/>
      <c r="I1099" s="893"/>
    </row>
    <row r="1100" spans="1:9" s="928" customFormat="1" x14ac:dyDescent="0.25">
      <c r="A1100" s="395" t="s">
        <v>1460</v>
      </c>
      <c r="B1100" s="395"/>
      <c r="C1100" s="2"/>
      <c r="D1100" s="2"/>
      <c r="E1100" s="2"/>
      <c r="F1100" s="2"/>
      <c r="G1100" s="2"/>
      <c r="H1100" s="965"/>
      <c r="I1100" s="966" t="s">
        <v>243</v>
      </c>
    </row>
    <row r="1101" spans="1:9" s="928" customFormat="1" x14ac:dyDescent="0.25">
      <c r="A1101" s="2538"/>
      <c r="B1101" s="2538"/>
      <c r="C1101" s="2"/>
      <c r="D1101" s="2"/>
      <c r="E1101" s="2"/>
      <c r="F1101" s="2"/>
      <c r="G1101" s="2"/>
      <c r="H1101" s="2"/>
      <c r="I1101" s="966"/>
    </row>
    <row r="1102" spans="1:9" s="928" customFormat="1" x14ac:dyDescent="0.25">
      <c r="A1102" s="2538" t="s">
        <v>239</v>
      </c>
      <c r="B1102" s="2538"/>
      <c r="C1102" s="2"/>
      <c r="D1102" s="2"/>
      <c r="E1102" s="2"/>
      <c r="F1102" s="2"/>
      <c r="G1102" s="2"/>
      <c r="H1102" s="966"/>
      <c r="I1102" s="966" t="s">
        <v>729</v>
      </c>
    </row>
    <row r="1104" spans="1:9" s="928" customFormat="1" ht="18.75" x14ac:dyDescent="0.25">
      <c r="A1104" s="2541" t="s">
        <v>1469</v>
      </c>
      <c r="B1104" s="2541"/>
      <c r="C1104" s="2541"/>
      <c r="D1104" s="2541"/>
      <c r="E1104" s="2541"/>
      <c r="F1104" s="2541"/>
      <c r="G1104" s="2541"/>
      <c r="H1104" s="2541"/>
      <c r="I1104" s="2541"/>
    </row>
    <row r="1105" spans="1:9" s="928" customFormat="1" ht="18.75" hidden="1" x14ac:dyDescent="0.25">
      <c r="A1105" s="2542" t="s">
        <v>1317</v>
      </c>
      <c r="B1105" s="2542"/>
      <c r="C1105" s="2542"/>
      <c r="D1105" s="2542"/>
      <c r="E1105" s="2542"/>
      <c r="F1105" s="2542"/>
      <c r="G1105" s="2542"/>
      <c r="H1105" s="2542"/>
      <c r="I1105" s="2542"/>
    </row>
    <row r="1106" spans="1:9" s="928" customFormat="1" ht="18.75" x14ac:dyDescent="0.3">
      <c r="A1106" s="2543" t="s">
        <v>611</v>
      </c>
      <c r="B1106" s="2543"/>
      <c r="C1106" s="2543"/>
      <c r="D1106" s="2543"/>
      <c r="E1106" s="2543"/>
      <c r="F1106" s="2543"/>
      <c r="G1106" s="2543"/>
      <c r="H1106" s="2543"/>
      <c r="I1106" s="2543"/>
    </row>
    <row r="1107" spans="1:9" s="928" customFormat="1" ht="18.75" x14ac:dyDescent="0.3">
      <c r="A1107" s="961"/>
      <c r="B1107" s="962"/>
      <c r="C1107" s="962"/>
      <c r="D1107" s="962"/>
      <c r="E1107" s="962"/>
      <c r="F1107" s="962"/>
      <c r="G1107" s="962"/>
      <c r="H1107" s="962"/>
      <c r="I1107" s="962"/>
    </row>
    <row r="1108" spans="1:9" s="928" customFormat="1" ht="52.5" customHeight="1" x14ac:dyDescent="0.25">
      <c r="A1108" s="959" t="s">
        <v>1449</v>
      </c>
      <c r="B1108" s="959" t="s">
        <v>234</v>
      </c>
      <c r="C1108" s="959" t="s">
        <v>305</v>
      </c>
      <c r="D1108" s="682" t="s">
        <v>1450</v>
      </c>
      <c r="E1108" s="682" t="s">
        <v>35</v>
      </c>
      <c r="F1108" s="682" t="s">
        <v>1451</v>
      </c>
      <c r="G1108" s="682" t="s">
        <v>491</v>
      </c>
      <c r="H1108" s="682" t="s">
        <v>492</v>
      </c>
      <c r="I1108" s="682" t="s">
        <v>1097</v>
      </c>
    </row>
    <row r="1109" spans="1:9" s="928" customFormat="1" ht="18.75" x14ac:dyDescent="0.25">
      <c r="A1109" s="2542" t="s">
        <v>1317</v>
      </c>
      <c r="B1109" s="2542"/>
      <c r="C1109" s="2542"/>
      <c r="D1109" s="2542"/>
      <c r="E1109" s="2542"/>
      <c r="F1109" s="2542"/>
      <c r="G1109" s="2542"/>
      <c r="H1109" s="2542"/>
      <c r="I1109" s="2542"/>
    </row>
    <row r="1110" spans="1:9" s="928" customFormat="1" x14ac:dyDescent="0.25">
      <c r="A1110" s="2546" t="s">
        <v>155</v>
      </c>
      <c r="B1110" s="2564"/>
      <c r="C1110" s="2564"/>
      <c r="D1110" s="2564"/>
      <c r="E1110" s="2564"/>
      <c r="F1110" s="2564"/>
      <c r="G1110" s="2564"/>
      <c r="H1110" s="2564"/>
      <c r="I1110" s="2565"/>
    </row>
    <row r="1111" spans="1:9" s="928" customFormat="1" ht="48.75" customHeight="1" x14ac:dyDescent="0.25">
      <c r="A1111" s="959"/>
      <c r="B1111" s="684" t="s">
        <v>137</v>
      </c>
      <c r="C1111" s="684" t="s">
        <v>495</v>
      </c>
      <c r="D1111" s="684" t="s">
        <v>537</v>
      </c>
      <c r="E1111" s="685" t="s">
        <v>499</v>
      </c>
      <c r="F1111" s="686">
        <v>6939620</v>
      </c>
      <c r="G1111" s="686">
        <f>F1111+350000</f>
        <v>7289620</v>
      </c>
      <c r="H1111" s="686">
        <f>G1111-F1111</f>
        <v>350000</v>
      </c>
      <c r="I1111" s="685" t="s">
        <v>1464</v>
      </c>
    </row>
    <row r="1112" spans="1:9" s="928" customFormat="1" ht="47.25" customHeight="1" x14ac:dyDescent="0.25">
      <c r="A1112" s="541" t="s">
        <v>1298</v>
      </c>
      <c r="B1112" s="684" t="s">
        <v>34</v>
      </c>
      <c r="C1112" s="708">
        <v>244</v>
      </c>
      <c r="D1112" s="708">
        <v>225</v>
      </c>
      <c r="E1112" s="958" t="s">
        <v>457</v>
      </c>
      <c r="F1112" s="686">
        <v>781110.82</v>
      </c>
      <c r="G1112" s="686">
        <f>F1112+150000</f>
        <v>931110.82</v>
      </c>
      <c r="H1112" s="686">
        <f>G1112-F1112</f>
        <v>150000</v>
      </c>
      <c r="I1112" s="685" t="s">
        <v>1466</v>
      </c>
    </row>
    <row r="1113" spans="1:9" s="928" customFormat="1" ht="48" customHeight="1" x14ac:dyDescent="0.25">
      <c r="A1113" s="541" t="s">
        <v>1298</v>
      </c>
      <c r="B1113" s="684" t="s">
        <v>34</v>
      </c>
      <c r="C1113" s="708">
        <v>244</v>
      </c>
      <c r="D1113" s="708">
        <v>226</v>
      </c>
      <c r="E1113" s="685" t="s">
        <v>460</v>
      </c>
      <c r="F1113" s="686">
        <v>1164752.5900000001</v>
      </c>
      <c r="G1113" s="686">
        <f>F1113+150000</f>
        <v>1314752.5900000001</v>
      </c>
      <c r="H1113" s="686">
        <f>G1113-F1113</f>
        <v>150000</v>
      </c>
      <c r="I1113" s="685" t="s">
        <v>1467</v>
      </c>
    </row>
    <row r="1114" spans="1:9" s="928" customFormat="1" ht="47.25" customHeight="1" x14ac:dyDescent="0.25">
      <c r="A1114" s="541" t="s">
        <v>1298</v>
      </c>
      <c r="B1114" s="684" t="s">
        <v>34</v>
      </c>
      <c r="C1114" s="708">
        <v>244</v>
      </c>
      <c r="D1114" s="892">
        <v>346</v>
      </c>
      <c r="E1114" s="963" t="s">
        <v>1089</v>
      </c>
      <c r="F1114" s="686">
        <v>252311.04000000001</v>
      </c>
      <c r="G1114" s="686">
        <f>F1114+50000</f>
        <v>302311.03999999998</v>
      </c>
      <c r="H1114" s="686">
        <f>G1114-F1114</f>
        <v>50000</v>
      </c>
      <c r="I1114" s="685" t="s">
        <v>1468</v>
      </c>
    </row>
    <row r="1115" spans="1:9" s="928" customFormat="1" x14ac:dyDescent="0.25">
      <c r="A1115" s="2566" t="s">
        <v>1125</v>
      </c>
      <c r="B1115" s="2567"/>
      <c r="C1115" s="2567"/>
      <c r="D1115" s="2567"/>
      <c r="E1115" s="2568"/>
      <c r="F1115" s="687">
        <f>SUM(F1112:F1114)</f>
        <v>2198174.4500000002</v>
      </c>
      <c r="G1115" s="687">
        <f>SUM(G1112:G1114)</f>
        <v>2548174.4500000002</v>
      </c>
      <c r="H1115" s="687">
        <f>SUM(H1112:H1114)</f>
        <v>350000</v>
      </c>
      <c r="I1115" s="960" t="s">
        <v>82</v>
      </c>
    </row>
    <row r="1116" spans="1:9" s="928" customFormat="1" x14ac:dyDescent="0.25">
      <c r="A1116" s="2566" t="s">
        <v>1457</v>
      </c>
      <c r="B1116" s="2567"/>
      <c r="C1116" s="2567"/>
      <c r="D1116" s="2567"/>
      <c r="E1116" s="2568"/>
      <c r="F1116" s="687">
        <f>F1115</f>
        <v>2198174.4500000002</v>
      </c>
      <c r="G1116" s="687">
        <f>G1115</f>
        <v>2548174.4500000002</v>
      </c>
      <c r="H1116" s="687">
        <f>H1115</f>
        <v>350000</v>
      </c>
      <c r="I1116" s="959" t="s">
        <v>82</v>
      </c>
    </row>
    <row r="1118" spans="1:9" s="928" customFormat="1" x14ac:dyDescent="0.25">
      <c r="A1118" s="2579" t="s">
        <v>705</v>
      </c>
      <c r="B1118" s="2579"/>
      <c r="C1118" s="2579"/>
      <c r="D1118" s="2579"/>
      <c r="E1118" s="2579"/>
      <c r="F1118" s="2579"/>
      <c r="G1118" s="2"/>
      <c r="H1118" s="965"/>
      <c r="I1118" s="966" t="s">
        <v>733</v>
      </c>
    </row>
    <row r="1119" spans="1:9" s="928" customFormat="1" x14ac:dyDescent="0.25">
      <c r="A1119" s="2538"/>
      <c r="B1119" s="2538"/>
      <c r="C1119" s="2"/>
      <c r="D1119" s="2"/>
      <c r="E1119" s="2"/>
      <c r="F1119" s="2"/>
      <c r="G1119" s="2"/>
      <c r="H1119" s="2"/>
      <c r="I1119" s="966"/>
    </row>
    <row r="1120" spans="1:9" s="928" customFormat="1" x14ac:dyDescent="0.25">
      <c r="A1120" s="2538" t="s">
        <v>239</v>
      </c>
      <c r="B1120" s="2538"/>
      <c r="C1120" s="2"/>
      <c r="D1120" s="2"/>
      <c r="E1120" s="2"/>
      <c r="F1120" s="2"/>
      <c r="G1120" s="2"/>
      <c r="H1120" s="966"/>
      <c r="I1120" s="966" t="s">
        <v>729</v>
      </c>
    </row>
  </sheetData>
  <mergeCells count="596">
    <mergeCell ref="A536:E536"/>
    <mergeCell ref="A545:B545"/>
    <mergeCell ref="A546:C546"/>
    <mergeCell ref="A516:I516"/>
    <mergeCell ref="A521:E521"/>
    <mergeCell ref="A537:I537"/>
    <mergeCell ref="A538:I538"/>
    <mergeCell ref="A542:E542"/>
    <mergeCell ref="A541:E541"/>
    <mergeCell ref="A530:I530"/>
    <mergeCell ref="A535:E535"/>
    <mergeCell ref="A522:I522"/>
    <mergeCell ref="A529:E529"/>
    <mergeCell ref="A507:C507"/>
    <mergeCell ref="I492:I494"/>
    <mergeCell ref="A509:I509"/>
    <mergeCell ref="A510:I510"/>
    <mergeCell ref="A511:I511"/>
    <mergeCell ref="A514:I514"/>
    <mergeCell ref="A515:I515"/>
    <mergeCell ref="A433:E433"/>
    <mergeCell ref="A434:E434"/>
    <mergeCell ref="A437:B437"/>
    <mergeCell ref="A438:C438"/>
    <mergeCell ref="A452:I452"/>
    <mergeCell ref="A453:I453"/>
    <mergeCell ref="A461:E461"/>
    <mergeCell ref="A477:E477"/>
    <mergeCell ref="A478:E478"/>
    <mergeCell ref="A481:B481"/>
    <mergeCell ref="A482:C482"/>
    <mergeCell ref="A484:I484"/>
    <mergeCell ref="A485:I485"/>
    <mergeCell ref="A486:I486"/>
    <mergeCell ref="A489:I489"/>
    <mergeCell ref="A490:I490"/>
    <mergeCell ref="A491:I491"/>
    <mergeCell ref="A429:I429"/>
    <mergeCell ref="A320:E320"/>
    <mergeCell ref="A321:E321"/>
    <mergeCell ref="A327:I327"/>
    <mergeCell ref="A328:I328"/>
    <mergeCell ref="A329:I329"/>
    <mergeCell ref="A332:I332"/>
    <mergeCell ref="A333:I333"/>
    <mergeCell ref="A351:E351"/>
    <mergeCell ref="A354:B354"/>
    <mergeCell ref="A334:I334"/>
    <mergeCell ref="A397:B397"/>
    <mergeCell ref="A357:I357"/>
    <mergeCell ref="A358:I358"/>
    <mergeCell ref="A361:I361"/>
    <mergeCell ref="A362:I362"/>
    <mergeCell ref="A363:I363"/>
    <mergeCell ref="A366:E366"/>
    <mergeCell ref="A398:C398"/>
    <mergeCell ref="A381:I381"/>
    <mergeCell ref="A384:I384"/>
    <mergeCell ref="A385:I385"/>
    <mergeCell ref="A386:I386"/>
    <mergeCell ref="A393:E393"/>
    <mergeCell ref="A239:C239"/>
    <mergeCell ref="A221:I221"/>
    <mergeCell ref="A222:I222"/>
    <mergeCell ref="A223:I223"/>
    <mergeCell ref="A226:I226"/>
    <mergeCell ref="A227:I227"/>
    <mergeCell ref="A228:I228"/>
    <mergeCell ref="A234:E234"/>
    <mergeCell ref="A238:B238"/>
    <mergeCell ref="A235:E235"/>
    <mergeCell ref="I229:I233"/>
    <mergeCell ref="A302:B302"/>
    <mergeCell ref="A275:I275"/>
    <mergeCell ref="A278:I278"/>
    <mergeCell ref="A279:I279"/>
    <mergeCell ref="A280:I280"/>
    <mergeCell ref="A287:E287"/>
    <mergeCell ref="A298:E298"/>
    <mergeCell ref="A301:B301"/>
    <mergeCell ref="A288:I288"/>
    <mergeCell ref="A293:E293"/>
    <mergeCell ref="A294:I294"/>
    <mergeCell ref="A297:E297"/>
    <mergeCell ref="A215:E215"/>
    <mergeCell ref="A218:B218"/>
    <mergeCell ref="A219:B219"/>
    <mergeCell ref="A206:I206"/>
    <mergeCell ref="A199:I199"/>
    <mergeCell ref="A200:I200"/>
    <mergeCell ref="A201:I201"/>
    <mergeCell ref="A204:I204"/>
    <mergeCell ref="A205:I205"/>
    <mergeCell ref="A211:E211"/>
    <mergeCell ref="A119:I119"/>
    <mergeCell ref="A120:I120"/>
    <mergeCell ref="A121:I121"/>
    <mergeCell ref="A124:I124"/>
    <mergeCell ref="A125:I125"/>
    <mergeCell ref="A147:E147"/>
    <mergeCell ref="A150:B150"/>
    <mergeCell ref="A151:B151"/>
    <mergeCell ref="A131:E131"/>
    <mergeCell ref="A132:I132"/>
    <mergeCell ref="A126:I126"/>
    <mergeCell ref="A138:E138"/>
    <mergeCell ref="A139:I139"/>
    <mergeCell ref="A142:E142"/>
    <mergeCell ref="A143:I143"/>
    <mergeCell ref="A146:E146"/>
    <mergeCell ref="A1098:E1098"/>
    <mergeCell ref="A1101:B1101"/>
    <mergeCell ref="A1102:B1102"/>
    <mergeCell ref="A1082:I1082"/>
    <mergeCell ref="A1085:E1085"/>
    <mergeCell ref="E1089:E1090"/>
    <mergeCell ref="I1089:I1090"/>
    <mergeCell ref="A1091:E1091"/>
    <mergeCell ref="A1092:E1092"/>
    <mergeCell ref="A1093:I1093"/>
    <mergeCell ref="A1094:I1094"/>
    <mergeCell ref="E1095:E1096"/>
    <mergeCell ref="I1095:I1096"/>
    <mergeCell ref="A1097:E1097"/>
    <mergeCell ref="A1076:I1076"/>
    <mergeCell ref="E1077:E1078"/>
    <mergeCell ref="I1077:I1078"/>
    <mergeCell ref="E1079:E1080"/>
    <mergeCell ref="I1079:I1080"/>
    <mergeCell ref="A1081:E1081"/>
    <mergeCell ref="A1086:E1086"/>
    <mergeCell ref="A1087:I1087"/>
    <mergeCell ref="A1088:I1088"/>
    <mergeCell ref="A1060:I1060"/>
    <mergeCell ref="A1061:I1061"/>
    <mergeCell ref="A1062:I1062"/>
    <mergeCell ref="A1065:I1065"/>
    <mergeCell ref="A1066:I1066"/>
    <mergeCell ref="A1067:I1067"/>
    <mergeCell ref="A1070:E1070"/>
    <mergeCell ref="A1071:I1071"/>
    <mergeCell ref="A1075:E1075"/>
    <mergeCell ref="A1044:J1044"/>
    <mergeCell ref="B1047:F1047"/>
    <mergeCell ref="A1038:J1038"/>
    <mergeCell ref="A1039:J1039"/>
    <mergeCell ref="A1040:J1040"/>
    <mergeCell ref="A1041:J1041"/>
    <mergeCell ref="A1043:J1043"/>
    <mergeCell ref="A1053:E1053"/>
    <mergeCell ref="A1055:F1055"/>
    <mergeCell ref="A1048:J1048"/>
    <mergeCell ref="A1052:F1052"/>
    <mergeCell ref="A997:F997"/>
    <mergeCell ref="A998:F998"/>
    <mergeCell ref="A959:J959"/>
    <mergeCell ref="A960:J960"/>
    <mergeCell ref="A961:J961"/>
    <mergeCell ref="A962:J962"/>
    <mergeCell ref="A964:J964"/>
    <mergeCell ref="A969:J969"/>
    <mergeCell ref="B972:F972"/>
    <mergeCell ref="A994:E994"/>
    <mergeCell ref="A996:F996"/>
    <mergeCell ref="B965:J965"/>
    <mergeCell ref="A968:F968"/>
    <mergeCell ref="A987:J987"/>
    <mergeCell ref="A993:F993"/>
    <mergeCell ref="A977:J977"/>
    <mergeCell ref="A986:F986"/>
    <mergeCell ref="A973:J973"/>
    <mergeCell ref="A976:F976"/>
    <mergeCell ref="A940:F940"/>
    <mergeCell ref="A941:F941"/>
    <mergeCell ref="A924:J924"/>
    <mergeCell ref="A925:J925"/>
    <mergeCell ref="A926:J926"/>
    <mergeCell ref="A927:J927"/>
    <mergeCell ref="A929:J929"/>
    <mergeCell ref="A930:J930"/>
    <mergeCell ref="B936:F936"/>
    <mergeCell ref="A937:E937"/>
    <mergeCell ref="A939:F939"/>
    <mergeCell ref="A922:F922"/>
    <mergeCell ref="A917:F917"/>
    <mergeCell ref="A909:J909"/>
    <mergeCell ref="A910:J910"/>
    <mergeCell ref="A911:J911"/>
    <mergeCell ref="A912:J912"/>
    <mergeCell ref="A914:J914"/>
    <mergeCell ref="A918:E918"/>
    <mergeCell ref="A920:F920"/>
    <mergeCell ref="A921:F921"/>
    <mergeCell ref="A897:J897"/>
    <mergeCell ref="A902:F902"/>
    <mergeCell ref="A903:E903"/>
    <mergeCell ref="A905:F905"/>
    <mergeCell ref="A906:F906"/>
    <mergeCell ref="A907:F907"/>
    <mergeCell ref="A894:J894"/>
    <mergeCell ref="A886:E886"/>
    <mergeCell ref="A888:F888"/>
    <mergeCell ref="A889:F889"/>
    <mergeCell ref="A890:F890"/>
    <mergeCell ref="A877:J877"/>
    <mergeCell ref="A892:J892"/>
    <mergeCell ref="A893:J893"/>
    <mergeCell ref="A895:J895"/>
    <mergeCell ref="A876:J876"/>
    <mergeCell ref="A878:J878"/>
    <mergeCell ref="A879:J879"/>
    <mergeCell ref="A881:J881"/>
    <mergeCell ref="B882:J882"/>
    <mergeCell ref="A885:F885"/>
    <mergeCell ref="A872:F872"/>
    <mergeCell ref="A873:F873"/>
    <mergeCell ref="A874:F874"/>
    <mergeCell ref="A845:J845"/>
    <mergeCell ref="A853:J853"/>
    <mergeCell ref="A852:F852"/>
    <mergeCell ref="A854:J854"/>
    <mergeCell ref="A855:J855"/>
    <mergeCell ref="A860:F860"/>
    <mergeCell ref="A861:F861"/>
    <mergeCell ref="A862:J862"/>
    <mergeCell ref="A863:J863"/>
    <mergeCell ref="A864:J864"/>
    <mergeCell ref="A869:F869"/>
    <mergeCell ref="A870:F870"/>
    <mergeCell ref="A840:J840"/>
    <mergeCell ref="A841:J841"/>
    <mergeCell ref="A842:J842"/>
    <mergeCell ref="A843:J843"/>
    <mergeCell ref="A846:J846"/>
    <mergeCell ref="A847:J847"/>
    <mergeCell ref="A851:F851"/>
    <mergeCell ref="A834:E834"/>
    <mergeCell ref="A836:F836"/>
    <mergeCell ref="A837:F837"/>
    <mergeCell ref="A838:F838"/>
    <mergeCell ref="A819:J819"/>
    <mergeCell ref="A820:J820"/>
    <mergeCell ref="A821:J821"/>
    <mergeCell ref="A822:J822"/>
    <mergeCell ref="A824:J824"/>
    <mergeCell ref="A825:J825"/>
    <mergeCell ref="B833:F833"/>
    <mergeCell ref="A813:E813"/>
    <mergeCell ref="A815:F815"/>
    <mergeCell ref="A816:F816"/>
    <mergeCell ref="A817:F817"/>
    <mergeCell ref="A792:J792"/>
    <mergeCell ref="A793:J793"/>
    <mergeCell ref="A794:J794"/>
    <mergeCell ref="A795:J795"/>
    <mergeCell ref="A797:J797"/>
    <mergeCell ref="A802:J802"/>
    <mergeCell ref="B806:F806"/>
    <mergeCell ref="A807:J807"/>
    <mergeCell ref="A812:F812"/>
    <mergeCell ref="A798:J798"/>
    <mergeCell ref="A801:F801"/>
    <mergeCell ref="A764:F764"/>
    <mergeCell ref="A789:F789"/>
    <mergeCell ref="A790:F790"/>
    <mergeCell ref="A778:J778"/>
    <mergeCell ref="A781:F781"/>
    <mergeCell ref="A782:J782"/>
    <mergeCell ref="A785:F785"/>
    <mergeCell ref="A767:J767"/>
    <mergeCell ref="A768:J768"/>
    <mergeCell ref="A769:J769"/>
    <mergeCell ref="A770:J770"/>
    <mergeCell ref="A772:J772"/>
    <mergeCell ref="A773:J773"/>
    <mergeCell ref="B777:F777"/>
    <mergeCell ref="A786:E786"/>
    <mergeCell ref="A788:F788"/>
    <mergeCell ref="A751:J751"/>
    <mergeCell ref="A750:J750"/>
    <mergeCell ref="A752:J752"/>
    <mergeCell ref="A753:J753"/>
    <mergeCell ref="A755:J755"/>
    <mergeCell ref="A756:J756"/>
    <mergeCell ref="B760:F760"/>
    <mergeCell ref="A761:E761"/>
    <mergeCell ref="A763:F763"/>
    <mergeCell ref="A674:J674"/>
    <mergeCell ref="A675:J675"/>
    <mergeCell ref="A676:J676"/>
    <mergeCell ref="A678:J678"/>
    <mergeCell ref="A679:J679"/>
    <mergeCell ref="A694:F694"/>
    <mergeCell ref="A695:F695"/>
    <mergeCell ref="A687:J687"/>
    <mergeCell ref="A690:F690"/>
    <mergeCell ref="B682:F682"/>
    <mergeCell ref="A683:J683"/>
    <mergeCell ref="A686:F686"/>
    <mergeCell ref="A691:E691"/>
    <mergeCell ref="A693:F693"/>
    <mergeCell ref="A649:F649"/>
    <mergeCell ref="A650:J650"/>
    <mergeCell ref="A668:E668"/>
    <mergeCell ref="A670:F670"/>
    <mergeCell ref="A671:F671"/>
    <mergeCell ref="A672:F672"/>
    <mergeCell ref="B656:F656"/>
    <mergeCell ref="A657:J657"/>
    <mergeCell ref="A667:F667"/>
    <mergeCell ref="A636:F636"/>
    <mergeCell ref="A637:F637"/>
    <mergeCell ref="A638:F638"/>
    <mergeCell ref="A641:J641"/>
    <mergeCell ref="A642:J642"/>
    <mergeCell ref="A643:J643"/>
    <mergeCell ref="A645:J645"/>
    <mergeCell ref="B646:J646"/>
    <mergeCell ref="A303:F303"/>
    <mergeCell ref="J590:J591"/>
    <mergeCell ref="A592:F592"/>
    <mergeCell ref="A593:J593"/>
    <mergeCell ref="A596:F596"/>
    <mergeCell ref="A584:J584"/>
    <mergeCell ref="A585:J585"/>
    <mergeCell ref="A324:B324"/>
    <mergeCell ref="A325:C325"/>
    <mergeCell ref="A309:I309"/>
    <mergeCell ref="A310:I310"/>
    <mergeCell ref="A311:I311"/>
    <mergeCell ref="A314:I314"/>
    <mergeCell ref="A315:I315"/>
    <mergeCell ref="A316:I316"/>
    <mergeCell ref="A586:J586"/>
    <mergeCell ref="A588:J588"/>
    <mergeCell ref="B589:J589"/>
    <mergeCell ref="A701:J701"/>
    <mergeCell ref="A707:F707"/>
    <mergeCell ref="A697:J697"/>
    <mergeCell ref="A698:J698"/>
    <mergeCell ref="A699:J699"/>
    <mergeCell ref="A597:E597"/>
    <mergeCell ref="A600:F600"/>
    <mergeCell ref="A601:F601"/>
    <mergeCell ref="A602:F602"/>
    <mergeCell ref="A604:J604"/>
    <mergeCell ref="A605:J605"/>
    <mergeCell ref="A606:J606"/>
    <mergeCell ref="A608:J608"/>
    <mergeCell ref="B609:J609"/>
    <mergeCell ref="A613:F613"/>
    <mergeCell ref="A614:J614"/>
    <mergeCell ref="F617:F618"/>
    <mergeCell ref="J617:J618"/>
    <mergeCell ref="B619:F619"/>
    <mergeCell ref="A620:J620"/>
    <mergeCell ref="A626:F626"/>
    <mergeCell ref="A627:J627"/>
    <mergeCell ref="A632:F632"/>
    <mergeCell ref="A633:E633"/>
    <mergeCell ref="A747:F747"/>
    <mergeCell ref="A748:F748"/>
    <mergeCell ref="A708:J708"/>
    <mergeCell ref="A711:F711"/>
    <mergeCell ref="A731:F731"/>
    <mergeCell ref="A736:J736"/>
    <mergeCell ref="A739:F739"/>
    <mergeCell ref="A744:E744"/>
    <mergeCell ref="A746:F746"/>
    <mergeCell ref="A718:J718"/>
    <mergeCell ref="A719:J719"/>
    <mergeCell ref="A720:J720"/>
    <mergeCell ref="A722:J722"/>
    <mergeCell ref="B723:J723"/>
    <mergeCell ref="A716:F716"/>
    <mergeCell ref="A712:E712"/>
    <mergeCell ref="A714:F714"/>
    <mergeCell ref="A715:F715"/>
    <mergeCell ref="A740:J740"/>
    <mergeCell ref="A743:F743"/>
    <mergeCell ref="J724:J726"/>
    <mergeCell ref="A732:J732"/>
    <mergeCell ref="B735:F735"/>
    <mergeCell ref="A1119:B1119"/>
    <mergeCell ref="A1120:B1120"/>
    <mergeCell ref="A1118:F1118"/>
    <mergeCell ref="A1018:F1018"/>
    <mergeCell ref="A1005:J1005"/>
    <mergeCell ref="A1013:F1013"/>
    <mergeCell ref="A1014:E1014"/>
    <mergeCell ref="A1016:F1016"/>
    <mergeCell ref="A1017:F1017"/>
    <mergeCell ref="A1036:F1036"/>
    <mergeCell ref="B1026:J1026"/>
    <mergeCell ref="A1031:F1031"/>
    <mergeCell ref="A1020:J1020"/>
    <mergeCell ref="A1021:J1021"/>
    <mergeCell ref="A1022:J1022"/>
    <mergeCell ref="A1023:J1023"/>
    <mergeCell ref="A1025:J1025"/>
    <mergeCell ref="A1032:E1032"/>
    <mergeCell ref="A1034:F1034"/>
    <mergeCell ref="A1035:F1035"/>
    <mergeCell ref="A1056:F1056"/>
    <mergeCell ref="A1057:F1057"/>
    <mergeCell ref="A765:F765"/>
    <mergeCell ref="A18:I18"/>
    <mergeCell ref="A23:E23"/>
    <mergeCell ref="A1104:I1104"/>
    <mergeCell ref="A1105:I1105"/>
    <mergeCell ref="A1106:I1106"/>
    <mergeCell ref="A1109:I1109"/>
    <mergeCell ref="A1110:I1110"/>
    <mergeCell ref="A1115:E1115"/>
    <mergeCell ref="A1116:E1116"/>
    <mergeCell ref="A1000:J1000"/>
    <mergeCell ref="A1001:J1001"/>
    <mergeCell ref="A1002:J1002"/>
    <mergeCell ref="A1003:J1003"/>
    <mergeCell ref="A956:F956"/>
    <mergeCell ref="A957:F957"/>
    <mergeCell ref="A943:J943"/>
    <mergeCell ref="A944:J944"/>
    <mergeCell ref="A945:J945"/>
    <mergeCell ref="A946:J946"/>
    <mergeCell ref="A948:J948"/>
    <mergeCell ref="B949:J949"/>
    <mergeCell ref="A952:F952"/>
    <mergeCell ref="A953:E953"/>
    <mergeCell ref="A955:F955"/>
    <mergeCell ref="A8:I8"/>
    <mergeCell ref="A10:E10"/>
    <mergeCell ref="A1:I1"/>
    <mergeCell ref="A2:I2"/>
    <mergeCell ref="A3:I3"/>
    <mergeCell ref="A6:I6"/>
    <mergeCell ref="A7:I7"/>
    <mergeCell ref="A17:E17"/>
    <mergeCell ref="A14:I14"/>
    <mergeCell ref="A11:I11"/>
    <mergeCell ref="A13:E13"/>
    <mergeCell ref="A65:I65"/>
    <mergeCell ref="A66:I66"/>
    <mergeCell ref="A67:I67"/>
    <mergeCell ref="A70:I70"/>
    <mergeCell ref="A24:I24"/>
    <mergeCell ref="A31:E31"/>
    <mergeCell ref="A32:E32"/>
    <mergeCell ref="A35:B35"/>
    <mergeCell ref="A36:B36"/>
    <mergeCell ref="A27:E27"/>
    <mergeCell ref="A28:I28"/>
    <mergeCell ref="A38:I38"/>
    <mergeCell ref="A39:I39"/>
    <mergeCell ref="A40:I40"/>
    <mergeCell ref="A43:I43"/>
    <mergeCell ref="A44:I44"/>
    <mergeCell ref="A45:I45"/>
    <mergeCell ref="A48:E48"/>
    <mergeCell ref="A53:E53"/>
    <mergeCell ref="A56:B56"/>
    <mergeCell ref="A57:B57"/>
    <mergeCell ref="A49:I49"/>
    <mergeCell ref="A52:E52"/>
    <mergeCell ref="A71:I71"/>
    <mergeCell ref="A76:E76"/>
    <mergeCell ref="A77:I77"/>
    <mergeCell ref="A82:E82"/>
    <mergeCell ref="A83:E83"/>
    <mergeCell ref="A100:B100"/>
    <mergeCell ref="A101:B101"/>
    <mergeCell ref="A84:I84"/>
    <mergeCell ref="A85:I85"/>
    <mergeCell ref="A90:E90"/>
    <mergeCell ref="A91:I91"/>
    <mergeCell ref="A96:E96"/>
    <mergeCell ref="A97:E97"/>
    <mergeCell ref="A116:B116"/>
    <mergeCell ref="A117:B117"/>
    <mergeCell ref="A103:I103"/>
    <mergeCell ref="A104:I104"/>
    <mergeCell ref="A105:I105"/>
    <mergeCell ref="A108:I108"/>
    <mergeCell ref="A109:I109"/>
    <mergeCell ref="A112:E112"/>
    <mergeCell ref="A113:E113"/>
    <mergeCell ref="A168:E168"/>
    <mergeCell ref="A171:B171"/>
    <mergeCell ref="A172:B172"/>
    <mergeCell ref="A153:I153"/>
    <mergeCell ref="A154:I154"/>
    <mergeCell ref="A155:I155"/>
    <mergeCell ref="A158:I158"/>
    <mergeCell ref="A159:I159"/>
    <mergeCell ref="A160:I160"/>
    <mergeCell ref="A163:E163"/>
    <mergeCell ref="A164:I164"/>
    <mergeCell ref="A167:E167"/>
    <mergeCell ref="A193:E193"/>
    <mergeCell ref="A196:B196"/>
    <mergeCell ref="A197:B197"/>
    <mergeCell ref="E181:E182"/>
    <mergeCell ref="I181:I182"/>
    <mergeCell ref="A174:I174"/>
    <mergeCell ref="A175:I175"/>
    <mergeCell ref="A176:I176"/>
    <mergeCell ref="A179:I179"/>
    <mergeCell ref="A180:I180"/>
    <mergeCell ref="A183:E183"/>
    <mergeCell ref="A184:I184"/>
    <mergeCell ref="A192:E192"/>
    <mergeCell ref="A241:I241"/>
    <mergeCell ref="A242:I242"/>
    <mergeCell ref="A245:I245"/>
    <mergeCell ref="A246:I246"/>
    <mergeCell ref="A249:E249"/>
    <mergeCell ref="A252:B252"/>
    <mergeCell ref="A253:B253"/>
    <mergeCell ref="A273:I273"/>
    <mergeCell ref="A274:I274"/>
    <mergeCell ref="A255:I255"/>
    <mergeCell ref="A256:I256"/>
    <mergeCell ref="A259:I259"/>
    <mergeCell ref="A260:I260"/>
    <mergeCell ref="A265:E265"/>
    <mergeCell ref="A268:B268"/>
    <mergeCell ref="A269:B269"/>
    <mergeCell ref="A261:I261"/>
    <mergeCell ref="A394:E394"/>
    <mergeCell ref="A420:C420"/>
    <mergeCell ref="A410:E410"/>
    <mergeCell ref="I408:I409"/>
    <mergeCell ref="A400:I400"/>
    <mergeCell ref="A401:I401"/>
    <mergeCell ref="A402:I402"/>
    <mergeCell ref="A405:I405"/>
    <mergeCell ref="A406:I406"/>
    <mergeCell ref="A337:E337"/>
    <mergeCell ref="A338:I338"/>
    <mergeCell ref="A340:E340"/>
    <mergeCell ref="A341:I341"/>
    <mergeCell ref="A345:E345"/>
    <mergeCell ref="A346:I346"/>
    <mergeCell ref="A350:E350"/>
    <mergeCell ref="A379:I379"/>
    <mergeCell ref="A380:I380"/>
    <mergeCell ref="A355:C355"/>
    <mergeCell ref="A371:E371"/>
    <mergeCell ref="A374:B374"/>
    <mergeCell ref="A375:B375"/>
    <mergeCell ref="A367:I367"/>
    <mergeCell ref="A370:E370"/>
    <mergeCell ref="A495:E495"/>
    <mergeCell ref="A496:I496"/>
    <mergeCell ref="A502:E502"/>
    <mergeCell ref="A503:E503"/>
    <mergeCell ref="A506:B506"/>
    <mergeCell ref="A407:I407"/>
    <mergeCell ref="A416:E416"/>
    <mergeCell ref="A419:B419"/>
    <mergeCell ref="A411:I411"/>
    <mergeCell ref="A415:E415"/>
    <mergeCell ref="I456:I460"/>
    <mergeCell ref="A462:I462"/>
    <mergeCell ref="A471:E471"/>
    <mergeCell ref="A472:I472"/>
    <mergeCell ref="A446:I446"/>
    <mergeCell ref="A447:I447"/>
    <mergeCell ref="A448:I448"/>
    <mergeCell ref="A451:I451"/>
    <mergeCell ref="A430:I430"/>
    <mergeCell ref="A422:I422"/>
    <mergeCell ref="A423:I423"/>
    <mergeCell ref="A424:I424"/>
    <mergeCell ref="A427:I427"/>
    <mergeCell ref="A428:I428"/>
    <mergeCell ref="A581:C581"/>
    <mergeCell ref="A565:I565"/>
    <mergeCell ref="A566:I566"/>
    <mergeCell ref="A567:I567"/>
    <mergeCell ref="A570:I570"/>
    <mergeCell ref="A571:I571"/>
    <mergeCell ref="A572:I572"/>
    <mergeCell ref="A576:E576"/>
    <mergeCell ref="A577:E577"/>
    <mergeCell ref="A580:B580"/>
    <mergeCell ref="A559:E559"/>
    <mergeCell ref="A562:B562"/>
    <mergeCell ref="A563:C563"/>
    <mergeCell ref="A548:I548"/>
    <mergeCell ref="A549:I549"/>
    <mergeCell ref="A550:I550"/>
    <mergeCell ref="A553:I553"/>
    <mergeCell ref="A554:I554"/>
    <mergeCell ref="A555:I555"/>
    <mergeCell ref="A558:E558"/>
  </mergeCells>
  <printOptions horizontalCentered="1"/>
  <pageMargins left="0.19685039370078741" right="0.19685039370078741" top="0.19685039370078741" bottom="0.19685039370078741" header="0" footer="0"/>
  <pageSetup paperSize="9" scale="6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D27" sqref="D27"/>
    </sheetView>
  </sheetViews>
  <sheetFormatPr defaultRowHeight="15" x14ac:dyDescent="0.25"/>
  <cols>
    <col min="1" max="1" width="9.140625" style="1012"/>
    <col min="2" max="2" width="11.42578125" style="1012" bestFit="1" customWidth="1"/>
    <col min="3" max="3" width="11.42578125" style="1012" customWidth="1"/>
    <col min="4" max="4" width="19.85546875" style="1012" customWidth="1"/>
    <col min="5" max="5" width="15.85546875" style="1012" customWidth="1"/>
    <col min="6" max="6" width="18.28515625" style="1012" customWidth="1"/>
    <col min="7" max="7" width="14.42578125" style="1012" customWidth="1"/>
    <col min="8" max="8" width="14.140625" style="1012" customWidth="1"/>
    <col min="9" max="9" width="10.140625" style="1012" bestFit="1" customWidth="1"/>
    <col min="10" max="16384" width="9.140625" style="1012"/>
  </cols>
  <sheetData>
    <row r="1" spans="1:9" x14ac:dyDescent="0.25">
      <c r="A1" s="1012">
        <v>214</v>
      </c>
      <c r="B1" s="1243">
        <f>'4 (2025)'!J98</f>
        <v>4341508.17</v>
      </c>
      <c r="C1" s="1243">
        <f>E33</f>
        <v>575892.5</v>
      </c>
      <c r="D1" s="1244"/>
      <c r="E1" s="1244" t="s">
        <v>1594</v>
      </c>
      <c r="F1" s="1244" t="s">
        <v>1684</v>
      </c>
      <c r="G1" s="1244" t="s">
        <v>1595</v>
      </c>
      <c r="H1" s="1244" t="s">
        <v>1596</v>
      </c>
      <c r="I1" s="1244"/>
    </row>
    <row r="2" spans="1:9" x14ac:dyDescent="0.25">
      <c r="A2" s="1012">
        <v>213</v>
      </c>
      <c r="B2" s="1243">
        <f>'4 (2025)'!J143</f>
        <v>209781.68</v>
      </c>
      <c r="C2" s="1243">
        <f>G33</f>
        <v>98009.09</v>
      </c>
      <c r="D2" s="1244"/>
      <c r="E2" s="1244"/>
      <c r="F2" s="1244"/>
      <c r="G2" s="1245">
        <v>0.30199999999999999</v>
      </c>
      <c r="H2" s="1246">
        <v>0.13</v>
      </c>
      <c r="I2" s="1244"/>
    </row>
    <row r="3" spans="1:9" x14ac:dyDescent="0.25">
      <c r="D3" s="1244" t="s">
        <v>1593</v>
      </c>
      <c r="E3" s="1244"/>
      <c r="F3" s="1247">
        <v>41430</v>
      </c>
      <c r="G3" s="1247">
        <f>F3*$G$2</f>
        <v>12511.86</v>
      </c>
      <c r="H3" s="1247">
        <f>F3*$H$2</f>
        <v>5385.9</v>
      </c>
      <c r="I3" s="1244"/>
    </row>
    <row r="4" spans="1:9" x14ac:dyDescent="0.25">
      <c r="D4" s="1244" t="s">
        <v>1682</v>
      </c>
      <c r="E4" s="1244"/>
      <c r="F4" s="1247">
        <v>32225</v>
      </c>
      <c r="G4" s="1247">
        <f>F4*$G$2</f>
        <v>9731.9500000000007</v>
      </c>
      <c r="H4" s="1247">
        <f>F4*$H$2</f>
        <v>4189.25</v>
      </c>
      <c r="I4" s="1248">
        <v>45481</v>
      </c>
    </row>
    <row r="5" spans="1:9" x14ac:dyDescent="0.25">
      <c r="D5" s="1244" t="s">
        <v>1683</v>
      </c>
      <c r="E5" s="1247">
        <v>57510</v>
      </c>
      <c r="F5" s="1247">
        <v>4800</v>
      </c>
      <c r="G5" s="1247">
        <f>F5*$G$2</f>
        <v>1449.6</v>
      </c>
      <c r="H5" s="1247">
        <f>F5*$H$2</f>
        <v>624</v>
      </c>
      <c r="I5" s="1248">
        <v>45481</v>
      </c>
    </row>
    <row r="6" spans="1:9" x14ac:dyDescent="0.25">
      <c r="D6" s="1244" t="s">
        <v>1705</v>
      </c>
      <c r="E6" s="1247">
        <v>39330</v>
      </c>
      <c r="F6" s="1247">
        <v>1500</v>
      </c>
      <c r="G6" s="1247">
        <f>F6*$G$2</f>
        <v>453</v>
      </c>
      <c r="H6" s="1247">
        <f>F6*$H$2</f>
        <v>195</v>
      </c>
      <c r="I6" s="1248">
        <v>45489</v>
      </c>
    </row>
    <row r="7" spans="1:9" x14ac:dyDescent="0.25">
      <c r="D7" s="1244" t="s">
        <v>1713</v>
      </c>
      <c r="E7" s="1247">
        <v>151653</v>
      </c>
      <c r="F7" s="1247">
        <v>151653</v>
      </c>
      <c r="G7" s="1247">
        <f t="shared" ref="G7:G28" si="0">F7*$G$2</f>
        <v>45799.21</v>
      </c>
      <c r="H7" s="1247">
        <f t="shared" ref="H7:H28" si="1">F7*$H$2</f>
        <v>19714.89</v>
      </c>
      <c r="I7" s="1248">
        <v>45525</v>
      </c>
    </row>
    <row r="8" spans="1:9" x14ac:dyDescent="0.25">
      <c r="D8" s="1244" t="s">
        <v>1714</v>
      </c>
      <c r="E8" s="1247">
        <v>25429.599999999999</v>
      </c>
      <c r="F8" s="1247">
        <v>45429.599999999999</v>
      </c>
      <c r="G8" s="1247">
        <f t="shared" si="0"/>
        <v>13719.74</v>
      </c>
      <c r="H8" s="1247">
        <f t="shared" si="1"/>
        <v>5905.85</v>
      </c>
      <c r="I8" s="1248">
        <v>45525</v>
      </c>
    </row>
    <row r="9" spans="1:9" x14ac:dyDescent="0.25">
      <c r="D9" s="1244" t="s">
        <v>1715</v>
      </c>
      <c r="E9" s="1247">
        <v>14676</v>
      </c>
      <c r="F9" s="1247">
        <v>14676</v>
      </c>
      <c r="G9" s="1247">
        <f t="shared" si="0"/>
        <v>4432.1499999999996</v>
      </c>
      <c r="H9" s="1247">
        <f t="shared" si="1"/>
        <v>1907.88</v>
      </c>
      <c r="I9" s="1248">
        <v>45525</v>
      </c>
    </row>
    <row r="10" spans="1:9" x14ac:dyDescent="0.25">
      <c r="D10" s="1244" t="s">
        <v>1716</v>
      </c>
      <c r="E10" s="1247">
        <v>4267</v>
      </c>
      <c r="F10" s="1247">
        <v>32819.800000000003</v>
      </c>
      <c r="G10" s="1247">
        <f t="shared" si="0"/>
        <v>9911.58</v>
      </c>
      <c r="H10" s="1247">
        <f t="shared" si="1"/>
        <v>4266.57</v>
      </c>
      <c r="I10" s="1248">
        <v>45525</v>
      </c>
    </row>
    <row r="11" spans="1:9" x14ac:dyDescent="0.25">
      <c r="D11" s="1244" t="s">
        <v>1735</v>
      </c>
      <c r="E11" s="1247">
        <v>107914.9</v>
      </c>
      <c r="F11" s="1247">
        <v>132160</v>
      </c>
      <c r="G11" s="1247"/>
      <c r="H11" s="1247">
        <f t="shared" si="1"/>
        <v>17180.8</v>
      </c>
      <c r="I11" s="1248">
        <v>45539</v>
      </c>
    </row>
    <row r="12" spans="1:9" x14ac:dyDescent="0.25">
      <c r="D12" s="1244" t="s">
        <v>1736</v>
      </c>
      <c r="E12" s="1247">
        <v>1400</v>
      </c>
      <c r="F12" s="1247">
        <v>1400</v>
      </c>
      <c r="G12" s="1247"/>
      <c r="H12" s="1247">
        <f t="shared" si="1"/>
        <v>182</v>
      </c>
      <c r="I12" s="1248">
        <v>45539</v>
      </c>
    </row>
    <row r="13" spans="1:9" x14ac:dyDescent="0.25">
      <c r="D13" s="1244" t="s">
        <v>1741</v>
      </c>
      <c r="E13" s="1247">
        <v>173712</v>
      </c>
      <c r="F13" s="1247">
        <v>91900</v>
      </c>
      <c r="G13" s="1247"/>
      <c r="H13" s="1247">
        <f t="shared" si="1"/>
        <v>11947</v>
      </c>
      <c r="I13" s="1248">
        <v>45539</v>
      </c>
    </row>
    <row r="14" spans="1:9" x14ac:dyDescent="0.25">
      <c r="D14" s="1244"/>
      <c r="E14" s="1247"/>
      <c r="F14" s="1247"/>
      <c r="G14" s="1247">
        <f t="shared" si="0"/>
        <v>0</v>
      </c>
      <c r="H14" s="1247">
        <f t="shared" si="1"/>
        <v>0</v>
      </c>
      <c r="I14" s="1248"/>
    </row>
    <row r="15" spans="1:9" x14ac:dyDescent="0.25">
      <c r="D15" s="1244"/>
      <c r="E15" s="1247"/>
      <c r="F15" s="1247"/>
      <c r="G15" s="1247">
        <f t="shared" si="0"/>
        <v>0</v>
      </c>
      <c r="H15" s="1247">
        <f t="shared" si="1"/>
        <v>0</v>
      </c>
      <c r="I15" s="1248"/>
    </row>
    <row r="16" spans="1:9" x14ac:dyDescent="0.25">
      <c r="D16" s="1244"/>
      <c r="E16" s="1247"/>
      <c r="F16" s="1247"/>
      <c r="G16" s="1247">
        <f t="shared" si="0"/>
        <v>0</v>
      </c>
      <c r="H16" s="1247">
        <f t="shared" si="1"/>
        <v>0</v>
      </c>
      <c r="I16" s="1248"/>
    </row>
    <row r="17" spans="4:9" x14ac:dyDescent="0.25">
      <c r="D17" s="1244"/>
      <c r="E17" s="1247"/>
      <c r="F17" s="1247"/>
      <c r="G17" s="1247">
        <f t="shared" si="0"/>
        <v>0</v>
      </c>
      <c r="H17" s="1247">
        <f t="shared" si="1"/>
        <v>0</v>
      </c>
      <c r="I17" s="1248"/>
    </row>
    <row r="18" spans="4:9" x14ac:dyDescent="0.25">
      <c r="D18" s="1244"/>
      <c r="E18" s="1247"/>
      <c r="F18" s="1247"/>
      <c r="G18" s="1247">
        <f t="shared" si="0"/>
        <v>0</v>
      </c>
      <c r="H18" s="1247">
        <f t="shared" si="1"/>
        <v>0</v>
      </c>
      <c r="I18" s="1248"/>
    </row>
    <row r="19" spans="4:9" x14ac:dyDescent="0.25">
      <c r="D19" s="1244"/>
      <c r="E19" s="1247"/>
      <c r="F19" s="1247"/>
      <c r="G19" s="1247">
        <f t="shared" si="0"/>
        <v>0</v>
      </c>
      <c r="H19" s="1247">
        <f t="shared" si="1"/>
        <v>0</v>
      </c>
      <c r="I19" s="1248"/>
    </row>
    <row r="20" spans="4:9" x14ac:dyDescent="0.25">
      <c r="D20" s="1244"/>
      <c r="E20" s="1247"/>
      <c r="F20" s="1247"/>
      <c r="G20" s="1247">
        <f t="shared" si="0"/>
        <v>0</v>
      </c>
      <c r="H20" s="1247">
        <f t="shared" si="1"/>
        <v>0</v>
      </c>
      <c r="I20" s="1248"/>
    </row>
    <row r="21" spans="4:9" x14ac:dyDescent="0.25">
      <c r="D21" s="1244"/>
      <c r="E21" s="1247"/>
      <c r="F21" s="1247"/>
      <c r="G21" s="1247">
        <f t="shared" si="0"/>
        <v>0</v>
      </c>
      <c r="H21" s="1247">
        <f t="shared" si="1"/>
        <v>0</v>
      </c>
      <c r="I21" s="1248"/>
    </row>
    <row r="22" spans="4:9" x14ac:dyDescent="0.25">
      <c r="D22" s="1244"/>
      <c r="E22" s="1247"/>
      <c r="F22" s="1247"/>
      <c r="G22" s="1247">
        <f t="shared" si="0"/>
        <v>0</v>
      </c>
      <c r="H22" s="1247">
        <f t="shared" si="1"/>
        <v>0</v>
      </c>
      <c r="I22" s="1248"/>
    </row>
    <row r="23" spans="4:9" x14ac:dyDescent="0.25">
      <c r="D23" s="1244"/>
      <c r="E23" s="1247"/>
      <c r="F23" s="1247"/>
      <c r="G23" s="1247">
        <f t="shared" si="0"/>
        <v>0</v>
      </c>
      <c r="H23" s="1247">
        <f t="shared" si="1"/>
        <v>0</v>
      </c>
      <c r="I23" s="1248"/>
    </row>
    <row r="24" spans="4:9" x14ac:dyDescent="0.25">
      <c r="D24" s="1244"/>
      <c r="E24" s="1247"/>
      <c r="F24" s="1247"/>
      <c r="G24" s="1247">
        <f t="shared" si="0"/>
        <v>0</v>
      </c>
      <c r="H24" s="1247">
        <f t="shared" si="1"/>
        <v>0</v>
      </c>
      <c r="I24" s="1248"/>
    </row>
    <row r="25" spans="4:9" x14ac:dyDescent="0.25">
      <c r="D25" s="1244"/>
      <c r="E25" s="1247"/>
      <c r="F25" s="1247"/>
      <c r="G25" s="1247">
        <f t="shared" si="0"/>
        <v>0</v>
      </c>
      <c r="H25" s="1247">
        <f t="shared" si="1"/>
        <v>0</v>
      </c>
      <c r="I25" s="1248"/>
    </row>
    <row r="26" spans="4:9" x14ac:dyDescent="0.25">
      <c r="D26" s="1244"/>
      <c r="E26" s="1247"/>
      <c r="F26" s="1247"/>
      <c r="G26" s="1247">
        <f t="shared" si="0"/>
        <v>0</v>
      </c>
      <c r="H26" s="1247">
        <f t="shared" si="1"/>
        <v>0</v>
      </c>
      <c r="I26" s="1248"/>
    </row>
    <row r="27" spans="4:9" x14ac:dyDescent="0.25">
      <c r="D27" s="1244"/>
      <c r="E27" s="1247"/>
      <c r="F27" s="1247"/>
      <c r="G27" s="1247">
        <f t="shared" si="0"/>
        <v>0</v>
      </c>
      <c r="H27" s="1247">
        <f t="shared" si="1"/>
        <v>0</v>
      </c>
      <c r="I27" s="1247"/>
    </row>
    <row r="28" spans="4:9" x14ac:dyDescent="0.25">
      <c r="D28" s="1244"/>
      <c r="E28" s="1247"/>
      <c r="F28" s="1247"/>
      <c r="G28" s="1247">
        <f t="shared" si="0"/>
        <v>0</v>
      </c>
      <c r="H28" s="1247">
        <f t="shared" si="1"/>
        <v>0</v>
      </c>
      <c r="I28" s="1247"/>
    </row>
    <row r="29" spans="4:9" x14ac:dyDescent="0.25">
      <c r="D29" s="1244"/>
      <c r="E29" s="1247"/>
      <c r="F29" s="1247"/>
      <c r="G29" s="1247"/>
      <c r="H29" s="1247"/>
      <c r="I29" s="1247"/>
    </row>
    <row r="30" spans="4:9" x14ac:dyDescent="0.25">
      <c r="D30" s="1244"/>
      <c r="E30" s="1247"/>
      <c r="F30" s="1247"/>
      <c r="G30" s="1247"/>
      <c r="H30" s="1247"/>
      <c r="I30" s="1247"/>
    </row>
    <row r="31" spans="4:9" x14ac:dyDescent="0.25">
      <c r="D31" s="1244"/>
      <c r="E31" s="1247"/>
      <c r="F31" s="1247"/>
      <c r="G31" s="1247"/>
      <c r="H31" s="1247"/>
      <c r="I31" s="1247"/>
    </row>
    <row r="32" spans="4:9" x14ac:dyDescent="0.25">
      <c r="D32" s="1244"/>
      <c r="E32" s="1247"/>
      <c r="F32" s="1247"/>
      <c r="G32" s="1247"/>
      <c r="H32" s="1247"/>
      <c r="I32" s="1247"/>
    </row>
    <row r="33" spans="4:9" x14ac:dyDescent="0.25">
      <c r="D33" s="1250" t="s">
        <v>1712</v>
      </c>
      <c r="E33" s="1249">
        <f>SUM(E3:E32)</f>
        <v>575892.5</v>
      </c>
      <c r="F33" s="1249">
        <f>SUM(F3:F32)</f>
        <v>549993.4</v>
      </c>
      <c r="G33" s="1249">
        <f>SUM(G3:G32)</f>
        <v>98009.09</v>
      </c>
      <c r="H33" s="1249">
        <f>SUM(H3:H32)</f>
        <v>71499.14</v>
      </c>
      <c r="I33" s="1244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T180"/>
  <sheetViews>
    <sheetView view="pageBreakPreview" topLeftCell="A2" zoomScale="90" zoomScaleNormal="90" zoomScaleSheetLayoutView="90" workbookViewId="0">
      <pane ySplit="5" topLeftCell="A65" activePane="bottomLeft" state="frozen"/>
      <selection activeCell="A2" sqref="A2"/>
      <selection pane="bottomLeft" activeCell="A67" sqref="A67"/>
    </sheetView>
  </sheetViews>
  <sheetFormatPr defaultColWidth="12.5703125" defaultRowHeight="15" x14ac:dyDescent="0.25"/>
  <cols>
    <col min="1" max="1" width="39.42578125" style="145" customWidth="1"/>
    <col min="2" max="2" width="9" style="145" hidden="1" customWidth="1"/>
    <col min="3" max="3" width="8.28515625" style="145" customWidth="1"/>
    <col min="4" max="4" width="12.28515625" style="145" customWidth="1"/>
    <col min="5" max="5" width="20" style="145" customWidth="1"/>
    <col min="6" max="6" width="13.28515625" style="145" customWidth="1"/>
    <col min="7" max="7" width="12.5703125" style="157" hidden="1" customWidth="1"/>
    <col min="8" max="8" width="13.7109375" style="145" customWidth="1"/>
    <col min="9" max="19" width="12.5703125" style="145"/>
    <col min="20" max="20" width="13.85546875" style="145" customWidth="1"/>
    <col min="21" max="21" width="14.28515625" style="145" bestFit="1" customWidth="1"/>
    <col min="22" max="16384" width="12.5703125" style="145"/>
  </cols>
  <sheetData>
    <row r="1" spans="1:23" ht="21" x14ac:dyDescent="0.35">
      <c r="A1" s="57"/>
      <c r="B1" s="57"/>
      <c r="C1" s="2603" t="s">
        <v>656</v>
      </c>
      <c r="D1" s="2603"/>
      <c r="E1" s="2603"/>
      <c r="F1" s="2603"/>
      <c r="G1" s="2603"/>
      <c r="H1" s="2603"/>
      <c r="I1" s="2603"/>
      <c r="J1" s="2603"/>
      <c r="K1" s="2603"/>
      <c r="L1" s="2603"/>
      <c r="M1" s="2603"/>
      <c r="N1" s="2603"/>
      <c r="O1" s="2603"/>
      <c r="P1" s="2603"/>
      <c r="Q1" s="2604"/>
      <c r="R1" s="2604"/>
      <c r="S1" s="53"/>
      <c r="T1" s="50"/>
    </row>
    <row r="2" spans="1:23" x14ac:dyDescent="0.25">
      <c r="A2" s="56"/>
      <c r="B2" s="56"/>
      <c r="C2" s="55"/>
      <c r="D2" s="54"/>
      <c r="E2" s="54"/>
      <c r="F2" s="53"/>
      <c r="G2" s="52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0"/>
    </row>
    <row r="3" spans="1:23" s="152" customFormat="1" x14ac:dyDescent="0.25">
      <c r="A3" s="2614" t="s">
        <v>238</v>
      </c>
      <c r="B3" s="2612" t="s">
        <v>237</v>
      </c>
      <c r="C3" s="2614" t="s">
        <v>236</v>
      </c>
      <c r="D3" s="2610" t="s">
        <v>235</v>
      </c>
      <c r="E3" s="2610" t="s">
        <v>234</v>
      </c>
      <c r="F3" s="2614" t="s">
        <v>650</v>
      </c>
      <c r="G3" s="435"/>
      <c r="H3" s="2607"/>
      <c r="I3" s="2608"/>
      <c r="J3" s="2608"/>
      <c r="K3" s="2608"/>
      <c r="L3" s="2608"/>
      <c r="M3" s="2608"/>
      <c r="N3" s="2608"/>
      <c r="O3" s="2608"/>
      <c r="P3" s="2608"/>
      <c r="Q3" s="2608"/>
      <c r="R3" s="2608"/>
      <c r="S3" s="2609"/>
      <c r="T3" s="2605" t="s">
        <v>233</v>
      </c>
    </row>
    <row r="4" spans="1:23" s="152" customFormat="1" x14ac:dyDescent="0.25">
      <c r="A4" s="2614"/>
      <c r="B4" s="2615"/>
      <c r="C4" s="2614"/>
      <c r="D4" s="2610"/>
      <c r="E4" s="2610"/>
      <c r="F4" s="2614"/>
      <c r="G4" s="2612" t="s">
        <v>232</v>
      </c>
      <c r="H4" s="2606" t="s">
        <v>231</v>
      </c>
      <c r="I4" s="2606" t="s">
        <v>230</v>
      </c>
      <c r="J4" s="2606" t="s">
        <v>229</v>
      </c>
      <c r="K4" s="2606" t="s">
        <v>228</v>
      </c>
      <c r="L4" s="2606" t="s">
        <v>227</v>
      </c>
      <c r="M4" s="2606" t="s">
        <v>226</v>
      </c>
      <c r="N4" s="2606" t="s">
        <v>225</v>
      </c>
      <c r="O4" s="2606" t="s">
        <v>224</v>
      </c>
      <c r="P4" s="2606" t="s">
        <v>223</v>
      </c>
      <c r="Q4" s="2606" t="s">
        <v>222</v>
      </c>
      <c r="R4" s="2606" t="s">
        <v>221</v>
      </c>
      <c r="S4" s="2606" t="s">
        <v>220</v>
      </c>
      <c r="T4" s="2605"/>
    </row>
    <row r="5" spans="1:23" s="152" customFormat="1" ht="41.25" customHeight="1" x14ac:dyDescent="0.25">
      <c r="A5" s="2614"/>
      <c r="B5" s="2613"/>
      <c r="C5" s="2614"/>
      <c r="D5" s="2610"/>
      <c r="E5" s="2610"/>
      <c r="F5" s="2614"/>
      <c r="G5" s="2613"/>
      <c r="H5" s="2606"/>
      <c r="I5" s="2606"/>
      <c r="J5" s="2606"/>
      <c r="K5" s="2606"/>
      <c r="L5" s="2606"/>
      <c r="M5" s="2606"/>
      <c r="N5" s="2606"/>
      <c r="O5" s="2606"/>
      <c r="P5" s="2606"/>
      <c r="Q5" s="2606"/>
      <c r="R5" s="2606"/>
      <c r="S5" s="2606"/>
      <c r="T5" s="2605"/>
    </row>
    <row r="6" spans="1:23" s="146" customFormat="1" ht="11.25" x14ac:dyDescent="0.2">
      <c r="A6" s="125">
        <v>1</v>
      </c>
      <c r="B6" s="125">
        <v>2</v>
      </c>
      <c r="C6" s="125">
        <v>3</v>
      </c>
      <c r="D6" s="126" t="s">
        <v>219</v>
      </c>
      <c r="E6" s="126" t="s">
        <v>362</v>
      </c>
      <c r="F6" s="125">
        <v>6</v>
      </c>
      <c r="G6" s="127"/>
      <c r="H6" s="125">
        <v>7</v>
      </c>
      <c r="I6" s="125">
        <v>8</v>
      </c>
      <c r="J6" s="125">
        <v>9</v>
      </c>
      <c r="K6" s="125">
        <v>10</v>
      </c>
      <c r="L6" s="125">
        <v>11</v>
      </c>
      <c r="M6" s="125">
        <v>12</v>
      </c>
      <c r="N6" s="125">
        <v>13</v>
      </c>
      <c r="O6" s="125">
        <v>14</v>
      </c>
      <c r="P6" s="125">
        <v>15</v>
      </c>
      <c r="Q6" s="125">
        <v>16</v>
      </c>
      <c r="R6" s="125">
        <v>17</v>
      </c>
      <c r="S6" s="125">
        <v>18</v>
      </c>
      <c r="T6" s="125">
        <v>19</v>
      </c>
    </row>
    <row r="7" spans="1:23" s="402" customFormat="1" ht="24" x14ac:dyDescent="0.25">
      <c r="A7" s="396" t="s">
        <v>218</v>
      </c>
      <c r="B7" s="396"/>
      <c r="C7" s="397"/>
      <c r="D7" s="398"/>
      <c r="E7" s="398"/>
      <c r="F7" s="399" t="e">
        <f>F16+F18+F20+F22+F29+F59+F74</f>
        <v>#REF!</v>
      </c>
      <c r="G7" s="399">
        <f t="shared" ref="G7:S7" si="0">G16+G18+G20+G22+G29+G59+G74</f>
        <v>0</v>
      </c>
      <c r="H7" s="399">
        <f t="shared" si="0"/>
        <v>101787.39</v>
      </c>
      <c r="I7" s="399">
        <f t="shared" si="0"/>
        <v>404041.43</v>
      </c>
      <c r="J7" s="399">
        <f t="shared" si="0"/>
        <v>322767.93</v>
      </c>
      <c r="K7" s="399">
        <f t="shared" si="0"/>
        <v>327984.33</v>
      </c>
      <c r="L7" s="399">
        <f t="shared" si="0"/>
        <v>4664873.7</v>
      </c>
      <c r="M7" s="399">
        <f t="shared" si="0"/>
        <v>189999.33</v>
      </c>
      <c r="N7" s="399">
        <f t="shared" si="0"/>
        <v>177420.53</v>
      </c>
      <c r="O7" s="399">
        <f t="shared" si="0"/>
        <v>368239.33</v>
      </c>
      <c r="P7" s="399" t="e">
        <f t="shared" si="0"/>
        <v>#REF!</v>
      </c>
      <c r="Q7" s="399">
        <f t="shared" si="0"/>
        <v>172773.48</v>
      </c>
      <c r="R7" s="399">
        <f t="shared" si="0"/>
        <v>240659.35</v>
      </c>
      <c r="S7" s="399">
        <f t="shared" si="0"/>
        <v>195623.77</v>
      </c>
      <c r="T7" s="400" t="e">
        <f>F7-H7-I7-J7-K7-L7-M7-N7-O7-P7-Q7-R7-S7</f>
        <v>#REF!</v>
      </c>
      <c r="U7" s="401"/>
      <c r="W7" s="403"/>
    </row>
    <row r="8" spans="1:23" s="129" customFormat="1" ht="12" x14ac:dyDescent="0.2">
      <c r="A8" s="43" t="s">
        <v>30</v>
      </c>
      <c r="B8" s="43"/>
      <c r="C8" s="21"/>
      <c r="D8" s="44"/>
      <c r="E8" s="44"/>
      <c r="F8" s="42"/>
      <c r="G8" s="49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400">
        <f t="shared" ref="T8:T69" si="1">F8-H8-I8-J8-K8-L8-M8-N8-O8-P8-Q8-R8-S8</f>
        <v>0</v>
      </c>
    </row>
    <row r="9" spans="1:23" s="129" customFormat="1" ht="12" hidden="1" x14ac:dyDescent="0.2">
      <c r="A9" s="31" t="s">
        <v>180</v>
      </c>
      <c r="B9" s="31"/>
      <c r="C9" s="30">
        <v>211</v>
      </c>
      <c r="D9" s="29" t="s">
        <v>82</v>
      </c>
      <c r="E9" s="29" t="s">
        <v>82</v>
      </c>
      <c r="F9" s="28">
        <f>SUM(F10:F11)</f>
        <v>0</v>
      </c>
      <c r="G9" s="40"/>
      <c r="H9" s="28">
        <f t="shared" ref="H9:S9" si="2">SUM(H10:H11)</f>
        <v>0</v>
      </c>
      <c r="I9" s="28">
        <f t="shared" si="2"/>
        <v>0</v>
      </c>
      <c r="J9" s="28">
        <f t="shared" si="2"/>
        <v>0</v>
      </c>
      <c r="K9" s="28">
        <f t="shared" si="2"/>
        <v>0</v>
      </c>
      <c r="L9" s="28">
        <f t="shared" si="2"/>
        <v>0</v>
      </c>
      <c r="M9" s="28">
        <f t="shared" si="2"/>
        <v>0</v>
      </c>
      <c r="N9" s="28">
        <f t="shared" si="2"/>
        <v>0</v>
      </c>
      <c r="O9" s="28">
        <f t="shared" si="2"/>
        <v>0</v>
      </c>
      <c r="P9" s="28">
        <f t="shared" si="2"/>
        <v>0</v>
      </c>
      <c r="Q9" s="28">
        <f t="shared" si="2"/>
        <v>0</v>
      </c>
      <c r="R9" s="28">
        <f t="shared" si="2"/>
        <v>0</v>
      </c>
      <c r="S9" s="28">
        <f t="shared" si="2"/>
        <v>0</v>
      </c>
      <c r="T9" s="400">
        <f t="shared" si="1"/>
        <v>0</v>
      </c>
    </row>
    <row r="10" spans="1:23" s="129" customFormat="1" ht="12" hidden="1" x14ac:dyDescent="0.2">
      <c r="A10" s="35" t="s">
        <v>217</v>
      </c>
      <c r="B10" s="35"/>
      <c r="C10" s="34">
        <v>211</v>
      </c>
      <c r="D10" s="20"/>
      <c r="E10" s="32"/>
      <c r="F10" s="39"/>
      <c r="G10" s="27"/>
      <c r="H10" s="37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400">
        <f t="shared" si="1"/>
        <v>0</v>
      </c>
      <c r="U10" s="128"/>
    </row>
    <row r="11" spans="1:23" s="129" customFormat="1" ht="12" hidden="1" x14ac:dyDescent="0.2">
      <c r="A11" s="35" t="s">
        <v>216</v>
      </c>
      <c r="B11" s="35"/>
      <c r="C11" s="34">
        <v>211</v>
      </c>
      <c r="D11" s="20"/>
      <c r="E11" s="32"/>
      <c r="F11" s="39"/>
      <c r="G11" s="27"/>
      <c r="H11" s="37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400">
        <f t="shared" si="1"/>
        <v>0</v>
      </c>
      <c r="U11" s="128"/>
    </row>
    <row r="12" spans="1:23" s="129" customFormat="1" ht="12" hidden="1" x14ac:dyDescent="0.2">
      <c r="A12" s="31" t="s">
        <v>178</v>
      </c>
      <c r="B12" s="31"/>
      <c r="C12" s="30">
        <v>212</v>
      </c>
      <c r="D12" s="29" t="s">
        <v>82</v>
      </c>
      <c r="E12" s="29" t="s">
        <v>82</v>
      </c>
      <c r="F12" s="28">
        <f>SUM(F13:F15)</f>
        <v>0</v>
      </c>
      <c r="G12" s="40"/>
      <c r="H12" s="28">
        <f t="shared" ref="H12:S12" si="3">SUM(H13:H15)</f>
        <v>0</v>
      </c>
      <c r="I12" s="28">
        <f t="shared" si="3"/>
        <v>0</v>
      </c>
      <c r="J12" s="28">
        <f t="shared" si="3"/>
        <v>0</v>
      </c>
      <c r="K12" s="28">
        <f t="shared" si="3"/>
        <v>0</v>
      </c>
      <c r="L12" s="28">
        <f t="shared" si="3"/>
        <v>0</v>
      </c>
      <c r="M12" s="28">
        <f t="shared" si="3"/>
        <v>0</v>
      </c>
      <c r="N12" s="28">
        <f t="shared" si="3"/>
        <v>0</v>
      </c>
      <c r="O12" s="28">
        <f t="shared" si="3"/>
        <v>0</v>
      </c>
      <c r="P12" s="28">
        <f t="shared" si="3"/>
        <v>0</v>
      </c>
      <c r="Q12" s="28">
        <f t="shared" si="3"/>
        <v>0</v>
      </c>
      <c r="R12" s="28">
        <f t="shared" si="3"/>
        <v>0</v>
      </c>
      <c r="S12" s="28">
        <f t="shared" si="3"/>
        <v>0</v>
      </c>
      <c r="T12" s="400">
        <f t="shared" si="1"/>
        <v>0</v>
      </c>
      <c r="U12" s="128"/>
    </row>
    <row r="13" spans="1:23" s="129" customFormat="1" ht="12" hidden="1" x14ac:dyDescent="0.2">
      <c r="A13" s="35"/>
      <c r="B13" s="35"/>
      <c r="C13" s="34">
        <v>212</v>
      </c>
      <c r="D13" s="33"/>
      <c r="E13" s="33"/>
      <c r="F13" s="39"/>
      <c r="G13" s="27"/>
      <c r="H13" s="37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400">
        <f t="shared" si="1"/>
        <v>0</v>
      </c>
      <c r="U13" s="128"/>
    </row>
    <row r="14" spans="1:23" s="129" customFormat="1" ht="12" hidden="1" x14ac:dyDescent="0.2">
      <c r="A14" s="35"/>
      <c r="B14" s="35"/>
      <c r="C14" s="34">
        <v>212</v>
      </c>
      <c r="D14" s="33"/>
      <c r="E14" s="33"/>
      <c r="F14" s="39">
        <f>'[22]бюдж без ост'!I72</f>
        <v>0</v>
      </c>
      <c r="G14" s="27"/>
      <c r="H14" s="37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400">
        <f t="shared" si="1"/>
        <v>0</v>
      </c>
      <c r="U14" s="128"/>
    </row>
    <row r="15" spans="1:23" s="129" customFormat="1" ht="12" hidden="1" x14ac:dyDescent="0.2">
      <c r="A15" s="35"/>
      <c r="B15" s="35"/>
      <c r="C15" s="34">
        <v>212</v>
      </c>
      <c r="D15" s="33"/>
      <c r="E15" s="33"/>
      <c r="F15" s="39">
        <f>'[22]бюдж без ост'!I93+'[22]бюдж без ост'!I87</f>
        <v>0</v>
      </c>
      <c r="G15" s="27"/>
      <c r="H15" s="37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400">
        <f t="shared" si="1"/>
        <v>0</v>
      </c>
      <c r="U15" s="128"/>
    </row>
    <row r="16" spans="1:23" s="409" customFormat="1" ht="16.5" customHeight="1" x14ac:dyDescent="0.2">
      <c r="A16" s="404" t="s">
        <v>521</v>
      </c>
      <c r="B16" s="404"/>
      <c r="C16" s="405">
        <v>214</v>
      </c>
      <c r="D16" s="406" t="s">
        <v>82</v>
      </c>
      <c r="E16" s="406" t="s">
        <v>82</v>
      </c>
      <c r="F16" s="407">
        <f>SUM(F17:F17)</f>
        <v>4341508.17</v>
      </c>
      <c r="G16" s="407"/>
      <c r="H16" s="407">
        <f t="shared" ref="H16:S16" si="4">SUM(H17:H17)</f>
        <v>0</v>
      </c>
      <c r="I16" s="407">
        <f t="shared" si="4"/>
        <v>0</v>
      </c>
      <c r="J16" s="407">
        <f t="shared" si="4"/>
        <v>0</v>
      </c>
      <c r="K16" s="407">
        <f t="shared" si="4"/>
        <v>0</v>
      </c>
      <c r="L16" s="407">
        <f t="shared" si="4"/>
        <v>4341508.17</v>
      </c>
      <c r="M16" s="407">
        <f t="shared" si="4"/>
        <v>0</v>
      </c>
      <c r="N16" s="407">
        <f t="shared" si="4"/>
        <v>0</v>
      </c>
      <c r="O16" s="407">
        <f t="shared" si="4"/>
        <v>0</v>
      </c>
      <c r="P16" s="407">
        <f t="shared" si="4"/>
        <v>0</v>
      </c>
      <c r="Q16" s="407">
        <f t="shared" si="4"/>
        <v>0</v>
      </c>
      <c r="R16" s="407">
        <f t="shared" si="4"/>
        <v>0</v>
      </c>
      <c r="S16" s="407">
        <f t="shared" si="4"/>
        <v>0</v>
      </c>
      <c r="T16" s="400">
        <f t="shared" si="1"/>
        <v>0</v>
      </c>
      <c r="U16" s="408"/>
    </row>
    <row r="17" spans="1:23" s="148" customFormat="1" ht="36" customHeight="1" x14ac:dyDescent="0.2">
      <c r="A17" s="22" t="s">
        <v>101</v>
      </c>
      <c r="B17" s="22"/>
      <c r="C17" s="21">
        <v>214</v>
      </c>
      <c r="D17" s="20" t="s">
        <v>624</v>
      </c>
      <c r="E17" s="19" t="s">
        <v>91</v>
      </c>
      <c r="F17" s="18">
        <f>'4 (2025)'!J98</f>
        <v>4341508.17</v>
      </c>
      <c r="G17" s="18"/>
      <c r="H17" s="17"/>
      <c r="I17" s="16"/>
      <c r="J17" s="16"/>
      <c r="K17" s="16"/>
      <c r="L17" s="16">
        <f>F17</f>
        <v>4341508.17</v>
      </c>
      <c r="M17" s="16"/>
      <c r="N17" s="16"/>
      <c r="O17" s="16"/>
      <c r="P17" s="16"/>
      <c r="Q17" s="16"/>
      <c r="R17" s="16"/>
      <c r="S17" s="16"/>
      <c r="T17" s="488">
        <f t="shared" si="1"/>
        <v>0</v>
      </c>
      <c r="U17" s="147"/>
    </row>
    <row r="18" spans="1:23" s="416" customFormat="1" ht="17.25" customHeight="1" x14ac:dyDescent="0.2">
      <c r="A18" s="404" t="s">
        <v>523</v>
      </c>
      <c r="B18" s="404"/>
      <c r="C18" s="405">
        <v>266</v>
      </c>
      <c r="D18" s="406" t="s">
        <v>82</v>
      </c>
      <c r="E18" s="414" t="s">
        <v>82</v>
      </c>
      <c r="F18" s="407">
        <f>F19</f>
        <v>0</v>
      </c>
      <c r="G18" s="407">
        <f t="shared" ref="G18:S18" si="5">G19</f>
        <v>0</v>
      </c>
      <c r="H18" s="407">
        <f t="shared" si="5"/>
        <v>0</v>
      </c>
      <c r="I18" s="407">
        <f t="shared" si="5"/>
        <v>85</v>
      </c>
      <c r="J18" s="407">
        <f t="shared" si="5"/>
        <v>85</v>
      </c>
      <c r="K18" s="407">
        <f t="shared" si="5"/>
        <v>85</v>
      </c>
      <c r="L18" s="407">
        <f t="shared" si="5"/>
        <v>85</v>
      </c>
      <c r="M18" s="407">
        <f t="shared" si="5"/>
        <v>85</v>
      </c>
      <c r="N18" s="407">
        <f t="shared" si="5"/>
        <v>85</v>
      </c>
      <c r="O18" s="407">
        <f t="shared" si="5"/>
        <v>85</v>
      </c>
      <c r="P18" s="407">
        <f t="shared" si="5"/>
        <v>85</v>
      </c>
      <c r="Q18" s="407">
        <f t="shared" si="5"/>
        <v>85</v>
      </c>
      <c r="R18" s="407">
        <f t="shared" si="5"/>
        <v>0</v>
      </c>
      <c r="S18" s="407">
        <f t="shared" si="5"/>
        <v>0</v>
      </c>
      <c r="T18" s="488">
        <f t="shared" si="1"/>
        <v>-765</v>
      </c>
      <c r="U18" s="415"/>
    </row>
    <row r="19" spans="1:23" s="148" customFormat="1" ht="35.25" customHeight="1" x14ac:dyDescent="0.2">
      <c r="A19" s="22" t="s">
        <v>100</v>
      </c>
      <c r="B19" s="22"/>
      <c r="C19" s="21">
        <v>266</v>
      </c>
      <c r="D19" s="20" t="s">
        <v>624</v>
      </c>
      <c r="E19" s="19" t="s">
        <v>91</v>
      </c>
      <c r="F19" s="18">
        <f>'4 (2025)'!J108</f>
        <v>0</v>
      </c>
      <c r="G19" s="18"/>
      <c r="H19" s="16"/>
      <c r="I19" s="16">
        <v>85</v>
      </c>
      <c r="J19" s="16">
        <v>85</v>
      </c>
      <c r="K19" s="16">
        <v>85</v>
      </c>
      <c r="L19" s="16">
        <v>85</v>
      </c>
      <c r="M19" s="16">
        <v>85</v>
      </c>
      <c r="N19" s="16">
        <v>85</v>
      </c>
      <c r="O19" s="16">
        <v>85</v>
      </c>
      <c r="P19" s="16">
        <v>85</v>
      </c>
      <c r="Q19" s="16">
        <v>85</v>
      </c>
      <c r="R19" s="16"/>
      <c r="S19" s="16"/>
      <c r="T19" s="488">
        <f t="shared" si="1"/>
        <v>-765</v>
      </c>
      <c r="U19" s="147"/>
    </row>
    <row r="20" spans="1:23" s="416" customFormat="1" ht="17.25" customHeight="1" x14ac:dyDescent="0.2">
      <c r="A20" s="404" t="s">
        <v>524</v>
      </c>
      <c r="B20" s="404"/>
      <c r="C20" s="405">
        <v>267</v>
      </c>
      <c r="D20" s="406" t="s">
        <v>82</v>
      </c>
      <c r="E20" s="414" t="s">
        <v>82</v>
      </c>
      <c r="F20" s="407">
        <f>F21</f>
        <v>80441.100000000006</v>
      </c>
      <c r="G20" s="407">
        <f t="shared" ref="G20:S20" si="6">G21</f>
        <v>0</v>
      </c>
      <c r="H20" s="407">
        <f t="shared" si="6"/>
        <v>0</v>
      </c>
      <c r="I20" s="407">
        <f t="shared" si="6"/>
        <v>80441.100000000006</v>
      </c>
      <c r="J20" s="407">
        <f t="shared" si="6"/>
        <v>0</v>
      </c>
      <c r="K20" s="407">
        <f t="shared" si="6"/>
        <v>0</v>
      </c>
      <c r="L20" s="407">
        <f t="shared" si="6"/>
        <v>0</v>
      </c>
      <c r="M20" s="407">
        <f t="shared" si="6"/>
        <v>0</v>
      </c>
      <c r="N20" s="407">
        <f t="shared" si="6"/>
        <v>0</v>
      </c>
      <c r="O20" s="407">
        <f t="shared" si="6"/>
        <v>0</v>
      </c>
      <c r="P20" s="407">
        <f t="shared" si="6"/>
        <v>0</v>
      </c>
      <c r="Q20" s="407">
        <f t="shared" si="6"/>
        <v>0</v>
      </c>
      <c r="R20" s="407">
        <f t="shared" si="6"/>
        <v>0</v>
      </c>
      <c r="S20" s="407">
        <f t="shared" si="6"/>
        <v>0</v>
      </c>
      <c r="T20" s="488">
        <f t="shared" si="1"/>
        <v>0</v>
      </c>
      <c r="U20" s="415"/>
    </row>
    <row r="21" spans="1:23" s="148" customFormat="1" ht="24" customHeight="1" x14ac:dyDescent="0.2">
      <c r="A21" s="22" t="s">
        <v>107</v>
      </c>
      <c r="B21" s="22"/>
      <c r="C21" s="21">
        <v>267</v>
      </c>
      <c r="D21" s="20" t="s">
        <v>624</v>
      </c>
      <c r="E21" s="19" t="s">
        <v>91</v>
      </c>
      <c r="F21" s="18">
        <f>'4 (2025)'!J117+'4 (2025)'!J134</f>
        <v>80441.100000000006</v>
      </c>
      <c r="G21" s="18"/>
      <c r="H21" s="17"/>
      <c r="I21" s="16">
        <f>F21</f>
        <v>80441.100000000006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488">
        <f t="shared" si="1"/>
        <v>0</v>
      </c>
      <c r="U21" s="147"/>
    </row>
    <row r="22" spans="1:23" s="409" customFormat="1" ht="12" x14ac:dyDescent="0.2">
      <c r="A22" s="404" t="s">
        <v>215</v>
      </c>
      <c r="B22" s="404"/>
      <c r="C22" s="405">
        <v>221</v>
      </c>
      <c r="D22" s="406" t="s">
        <v>82</v>
      </c>
      <c r="E22" s="406" t="s">
        <v>82</v>
      </c>
      <c r="F22" s="407" t="e">
        <f t="shared" ref="F22:S22" si="7">SUM(F23:F23)</f>
        <v>#REF!</v>
      </c>
      <c r="G22" s="407">
        <f t="shared" si="7"/>
        <v>0</v>
      </c>
      <c r="H22" s="407">
        <f t="shared" si="7"/>
        <v>0</v>
      </c>
      <c r="I22" s="407">
        <f t="shared" si="7"/>
        <v>4615.2</v>
      </c>
      <c r="J22" s="407">
        <f t="shared" si="7"/>
        <v>4615.2</v>
      </c>
      <c r="K22" s="407">
        <f t="shared" si="7"/>
        <v>4615.2</v>
      </c>
      <c r="L22" s="407">
        <f t="shared" si="7"/>
        <v>4615.2</v>
      </c>
      <c r="M22" s="407">
        <f t="shared" si="7"/>
        <v>4615.2</v>
      </c>
      <c r="N22" s="407">
        <f t="shared" si="7"/>
        <v>4615.2</v>
      </c>
      <c r="O22" s="407">
        <f t="shared" si="7"/>
        <v>4615.2</v>
      </c>
      <c r="P22" s="407">
        <f t="shared" si="7"/>
        <v>4615.2</v>
      </c>
      <c r="Q22" s="407">
        <f t="shared" si="7"/>
        <v>4615.2</v>
      </c>
      <c r="R22" s="407">
        <f t="shared" si="7"/>
        <v>4615.2</v>
      </c>
      <c r="S22" s="407">
        <f t="shared" si="7"/>
        <v>4615.2</v>
      </c>
      <c r="T22" s="488" t="e">
        <f t="shared" si="1"/>
        <v>#REF!</v>
      </c>
      <c r="U22" s="408"/>
    </row>
    <row r="23" spans="1:23" s="129" customFormat="1" ht="18.75" customHeight="1" x14ac:dyDescent="0.2">
      <c r="A23" s="35" t="s">
        <v>497</v>
      </c>
      <c r="B23" s="35" t="s">
        <v>371</v>
      </c>
      <c r="C23" s="34">
        <v>221</v>
      </c>
      <c r="D23" s="33" t="s">
        <v>624</v>
      </c>
      <c r="E23" s="32" t="s">
        <v>91</v>
      </c>
      <c r="F23" s="47" t="e">
        <f>'4 (2025)'!J234+'4 (2025)'!#REF!</f>
        <v>#REF!</v>
      </c>
      <c r="G23" s="27"/>
      <c r="H23" s="37"/>
      <c r="I23" s="36">
        <v>4615.2</v>
      </c>
      <c r="J23" s="36">
        <f>I23</f>
        <v>4615.2</v>
      </c>
      <c r="K23" s="36">
        <f t="shared" ref="K23:S23" si="8">J23</f>
        <v>4615.2</v>
      </c>
      <c r="L23" s="36">
        <f t="shared" si="8"/>
        <v>4615.2</v>
      </c>
      <c r="M23" s="36">
        <f t="shared" si="8"/>
        <v>4615.2</v>
      </c>
      <c r="N23" s="36">
        <f t="shared" si="8"/>
        <v>4615.2</v>
      </c>
      <c r="O23" s="36">
        <f t="shared" si="8"/>
        <v>4615.2</v>
      </c>
      <c r="P23" s="36">
        <f t="shared" si="8"/>
        <v>4615.2</v>
      </c>
      <c r="Q23" s="36">
        <f t="shared" si="8"/>
        <v>4615.2</v>
      </c>
      <c r="R23" s="36">
        <f t="shared" si="8"/>
        <v>4615.2</v>
      </c>
      <c r="S23" s="36">
        <f t="shared" si="8"/>
        <v>4615.2</v>
      </c>
      <c r="T23" s="400" t="e">
        <f t="shared" si="1"/>
        <v>#REF!</v>
      </c>
      <c r="U23" s="128"/>
      <c r="V23" s="128"/>
    </row>
    <row r="24" spans="1:23" s="129" customFormat="1" ht="12" hidden="1" x14ac:dyDescent="0.2">
      <c r="A24" s="31" t="s">
        <v>214</v>
      </c>
      <c r="B24" s="31"/>
      <c r="C24" s="30">
        <v>223</v>
      </c>
      <c r="D24" s="29" t="s">
        <v>82</v>
      </c>
      <c r="E24" s="29" t="s">
        <v>82</v>
      </c>
      <c r="F24" s="28">
        <f>SUM(F25:G28)</f>
        <v>0</v>
      </c>
      <c r="G24" s="28">
        <f>SUM(G25:H28)</f>
        <v>0</v>
      </c>
      <c r="H24" s="28">
        <f t="shared" ref="H24:S24" si="9">SUM(H25:H28)</f>
        <v>0</v>
      </c>
      <c r="I24" s="28">
        <f t="shared" si="9"/>
        <v>0</v>
      </c>
      <c r="J24" s="28">
        <f t="shared" si="9"/>
        <v>0</v>
      </c>
      <c r="K24" s="28">
        <f t="shared" si="9"/>
        <v>0</v>
      </c>
      <c r="L24" s="28">
        <f t="shared" si="9"/>
        <v>0</v>
      </c>
      <c r="M24" s="28">
        <f t="shared" si="9"/>
        <v>0</v>
      </c>
      <c r="N24" s="28">
        <f t="shared" si="9"/>
        <v>0</v>
      </c>
      <c r="O24" s="28">
        <f t="shared" si="9"/>
        <v>0</v>
      </c>
      <c r="P24" s="28">
        <f t="shared" si="9"/>
        <v>0</v>
      </c>
      <c r="Q24" s="28">
        <f t="shared" si="9"/>
        <v>0</v>
      </c>
      <c r="R24" s="28">
        <f t="shared" si="9"/>
        <v>0</v>
      </c>
      <c r="S24" s="28">
        <f t="shared" si="9"/>
        <v>0</v>
      </c>
      <c r="T24" s="400">
        <f t="shared" si="1"/>
        <v>0</v>
      </c>
      <c r="U24" s="128"/>
    </row>
    <row r="25" spans="1:23" s="148" customFormat="1" ht="12" hidden="1" x14ac:dyDescent="0.2">
      <c r="A25" s="22" t="s">
        <v>364</v>
      </c>
      <c r="B25" s="22" t="s">
        <v>372</v>
      </c>
      <c r="C25" s="21">
        <v>223</v>
      </c>
      <c r="D25" s="33" t="s">
        <v>38</v>
      </c>
      <c r="E25" s="32" t="s">
        <v>337</v>
      </c>
      <c r="F25" s="47">
        <f>SUM(H25:S25)</f>
        <v>0</v>
      </c>
      <c r="G25" s="27"/>
      <c r="H25" s="37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400">
        <f t="shared" si="1"/>
        <v>0</v>
      </c>
      <c r="U25" s="128"/>
      <c r="V25" s="128"/>
      <c r="W25" s="129"/>
    </row>
    <row r="26" spans="1:23" s="148" customFormat="1" ht="12" hidden="1" x14ac:dyDescent="0.2">
      <c r="A26" s="22" t="s">
        <v>365</v>
      </c>
      <c r="B26" s="22" t="s">
        <v>372</v>
      </c>
      <c r="C26" s="21">
        <v>223</v>
      </c>
      <c r="D26" s="33" t="s">
        <v>38</v>
      </c>
      <c r="E26" s="32" t="s">
        <v>91</v>
      </c>
      <c r="F26" s="47">
        <f>SUM(H26:S26)</f>
        <v>0</v>
      </c>
      <c r="G26" s="27"/>
      <c r="H26" s="37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400">
        <f t="shared" si="1"/>
        <v>0</v>
      </c>
      <c r="U26" s="128"/>
      <c r="V26" s="128"/>
      <c r="W26" s="129"/>
    </row>
    <row r="27" spans="1:23" s="129" customFormat="1" ht="24" hidden="1" x14ac:dyDescent="0.2">
      <c r="A27" s="35" t="s">
        <v>384</v>
      </c>
      <c r="B27" s="35" t="s">
        <v>381</v>
      </c>
      <c r="C27" s="34">
        <v>223</v>
      </c>
      <c r="D27" s="33" t="s">
        <v>38</v>
      </c>
      <c r="E27" s="32" t="s">
        <v>337</v>
      </c>
      <c r="F27" s="47">
        <f>SUM(H27:S27)</f>
        <v>0</v>
      </c>
      <c r="G27" s="27"/>
      <c r="H27" s="37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400">
        <f t="shared" si="1"/>
        <v>0</v>
      </c>
      <c r="U27" s="128"/>
      <c r="V27" s="128"/>
    </row>
    <row r="28" spans="1:23" s="129" customFormat="1" ht="24" hidden="1" x14ac:dyDescent="0.2">
      <c r="A28" s="35" t="s">
        <v>385</v>
      </c>
      <c r="B28" s="35" t="s">
        <v>381</v>
      </c>
      <c r="C28" s="34">
        <v>223</v>
      </c>
      <c r="D28" s="33" t="s">
        <v>38</v>
      </c>
      <c r="E28" s="32" t="s">
        <v>91</v>
      </c>
      <c r="F28" s="47">
        <f>SUM(H28:S28)</f>
        <v>0</v>
      </c>
      <c r="G28" s="27"/>
      <c r="H28" s="37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400">
        <f t="shared" si="1"/>
        <v>0</v>
      </c>
      <c r="U28" s="128"/>
      <c r="V28" s="128"/>
    </row>
    <row r="29" spans="1:23" s="409" customFormat="1" ht="14.25" customHeight="1" x14ac:dyDescent="0.2">
      <c r="A29" s="404" t="s">
        <v>171</v>
      </c>
      <c r="B29" s="404"/>
      <c r="C29" s="405">
        <v>225</v>
      </c>
      <c r="D29" s="406" t="s">
        <v>82</v>
      </c>
      <c r="E29" s="406" t="s">
        <v>82</v>
      </c>
      <c r="F29" s="407" t="e">
        <f>SUM(F43:F55)</f>
        <v>#REF!</v>
      </c>
      <c r="G29" s="407">
        <f t="shared" ref="G29:S29" si="10">SUM(G43:G55)</f>
        <v>0</v>
      </c>
      <c r="H29" s="407">
        <f t="shared" si="10"/>
        <v>24009.39</v>
      </c>
      <c r="I29" s="407">
        <f t="shared" si="10"/>
        <v>154917.32999999999</v>
      </c>
      <c r="J29" s="407">
        <f t="shared" si="10"/>
        <v>167461.32999999999</v>
      </c>
      <c r="K29" s="407">
        <f t="shared" si="10"/>
        <v>167461.32999999999</v>
      </c>
      <c r="L29" s="407">
        <f t="shared" si="10"/>
        <v>167461.32999999999</v>
      </c>
      <c r="M29" s="407">
        <f t="shared" si="10"/>
        <v>29716.33</v>
      </c>
      <c r="N29" s="407">
        <f t="shared" si="10"/>
        <v>19516.330000000002</v>
      </c>
      <c r="O29" s="407">
        <f t="shared" si="10"/>
        <v>19516.330000000002</v>
      </c>
      <c r="P29" s="407">
        <f t="shared" si="10"/>
        <v>29716.33</v>
      </c>
      <c r="Q29" s="407">
        <f t="shared" si="10"/>
        <v>29716.33</v>
      </c>
      <c r="R29" s="407">
        <f t="shared" si="10"/>
        <v>214261.35</v>
      </c>
      <c r="S29" s="407">
        <f t="shared" si="10"/>
        <v>157501.76999999999</v>
      </c>
      <c r="T29" s="400" t="e">
        <f t="shared" si="1"/>
        <v>#REF!</v>
      </c>
      <c r="U29" s="417">
        <f>'4 (2025)'!J290</f>
        <v>1778005.41</v>
      </c>
    </row>
    <row r="30" spans="1:23" s="129" customFormat="1" ht="12" hidden="1" x14ac:dyDescent="0.2">
      <c r="A30" s="31" t="s">
        <v>203</v>
      </c>
      <c r="B30" s="31"/>
      <c r="C30" s="30"/>
      <c r="D30" s="29"/>
      <c r="E30" s="29"/>
      <c r="F30" s="28">
        <f t="shared" ref="F30:S30" si="11">SUM(F31:F42)</f>
        <v>0</v>
      </c>
      <c r="G30" s="28">
        <f t="shared" si="11"/>
        <v>0</v>
      </c>
      <c r="H30" s="28">
        <f t="shared" si="11"/>
        <v>0</v>
      </c>
      <c r="I30" s="28">
        <f t="shared" si="11"/>
        <v>0</v>
      </c>
      <c r="J30" s="28">
        <f t="shared" si="11"/>
        <v>0</v>
      </c>
      <c r="K30" s="28">
        <f t="shared" si="11"/>
        <v>0</v>
      </c>
      <c r="L30" s="28">
        <f t="shared" si="11"/>
        <v>0</v>
      </c>
      <c r="M30" s="28">
        <f t="shared" si="11"/>
        <v>0</v>
      </c>
      <c r="N30" s="28">
        <f t="shared" si="11"/>
        <v>0</v>
      </c>
      <c r="O30" s="28">
        <f t="shared" si="11"/>
        <v>0</v>
      </c>
      <c r="P30" s="28">
        <f t="shared" si="11"/>
        <v>0</v>
      </c>
      <c r="Q30" s="28">
        <f t="shared" si="11"/>
        <v>0</v>
      </c>
      <c r="R30" s="28">
        <f t="shared" si="11"/>
        <v>0</v>
      </c>
      <c r="S30" s="28">
        <f t="shared" si="11"/>
        <v>0</v>
      </c>
      <c r="T30" s="400">
        <f t="shared" si="1"/>
        <v>0</v>
      </c>
      <c r="U30" s="418"/>
    </row>
    <row r="31" spans="1:23" s="148" customFormat="1" ht="12" hidden="1" x14ac:dyDescent="0.2">
      <c r="A31" s="22" t="s">
        <v>213</v>
      </c>
      <c r="B31" s="22" t="s">
        <v>372</v>
      </c>
      <c r="C31" s="21">
        <v>225</v>
      </c>
      <c r="D31" s="20" t="s">
        <v>38</v>
      </c>
      <c r="E31" s="19" t="s">
        <v>337</v>
      </c>
      <c r="F31" s="47">
        <f t="shared" ref="F31:F42" si="12">SUM(H31:S31)</f>
        <v>0</v>
      </c>
      <c r="G31" s="18"/>
      <c r="H31" s="17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400">
        <f t="shared" si="1"/>
        <v>0</v>
      </c>
      <c r="U31" s="419"/>
      <c r="V31" s="147"/>
    </row>
    <row r="32" spans="1:23" s="148" customFormat="1" ht="12" hidden="1" x14ac:dyDescent="0.2">
      <c r="A32" s="22" t="s">
        <v>212</v>
      </c>
      <c r="B32" s="48"/>
      <c r="C32" s="21">
        <v>225</v>
      </c>
      <c r="D32" s="20" t="s">
        <v>38</v>
      </c>
      <c r="E32" s="19" t="s">
        <v>337</v>
      </c>
      <c r="F32" s="47">
        <f t="shared" si="12"/>
        <v>0</v>
      </c>
      <c r="G32" s="18"/>
      <c r="H32" s="17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400">
        <f t="shared" si="1"/>
        <v>0</v>
      </c>
      <c r="U32" s="419"/>
      <c r="V32" s="147"/>
    </row>
    <row r="33" spans="1:23" s="148" customFormat="1" ht="12" hidden="1" x14ac:dyDescent="0.2">
      <c r="A33" s="22" t="s">
        <v>211</v>
      </c>
      <c r="B33" s="22" t="s">
        <v>371</v>
      </c>
      <c r="C33" s="21">
        <v>225</v>
      </c>
      <c r="D33" s="20" t="s">
        <v>38</v>
      </c>
      <c r="E33" s="19" t="s">
        <v>337</v>
      </c>
      <c r="F33" s="47">
        <f t="shared" si="12"/>
        <v>0</v>
      </c>
      <c r="G33" s="18"/>
      <c r="H33" s="17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400">
        <f t="shared" si="1"/>
        <v>0</v>
      </c>
      <c r="U33" s="419"/>
      <c r="V33" s="147"/>
    </row>
    <row r="34" spans="1:23" s="148" customFormat="1" ht="12" hidden="1" x14ac:dyDescent="0.2">
      <c r="A34" s="22" t="s">
        <v>366</v>
      </c>
      <c r="B34" s="22" t="s">
        <v>371</v>
      </c>
      <c r="C34" s="21">
        <v>225</v>
      </c>
      <c r="D34" s="20" t="s">
        <v>38</v>
      </c>
      <c r="E34" s="19" t="s">
        <v>337</v>
      </c>
      <c r="F34" s="47">
        <f>SUM(H34:S34)</f>
        <v>0</v>
      </c>
      <c r="G34" s="18"/>
      <c r="H34" s="17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400">
        <f t="shared" si="1"/>
        <v>0</v>
      </c>
      <c r="U34" s="419"/>
      <c r="V34" s="147"/>
    </row>
    <row r="35" spans="1:23" s="148" customFormat="1" ht="12" hidden="1" x14ac:dyDescent="0.2">
      <c r="A35" s="22" t="s">
        <v>85</v>
      </c>
      <c r="B35" s="22" t="s">
        <v>372</v>
      </c>
      <c r="C35" s="21">
        <v>225</v>
      </c>
      <c r="D35" s="20" t="s">
        <v>38</v>
      </c>
      <c r="E35" s="19" t="s">
        <v>337</v>
      </c>
      <c r="F35" s="47">
        <f t="shared" si="12"/>
        <v>0</v>
      </c>
      <c r="G35" s="18"/>
      <c r="H35" s="17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400">
        <f t="shared" si="1"/>
        <v>0</v>
      </c>
      <c r="U35" s="419"/>
      <c r="V35" s="147"/>
    </row>
    <row r="36" spans="1:23" s="148" customFormat="1" ht="12" hidden="1" x14ac:dyDescent="0.2">
      <c r="A36" s="22" t="s">
        <v>209</v>
      </c>
      <c r="B36" s="22"/>
      <c r="C36" s="21">
        <v>225</v>
      </c>
      <c r="D36" s="20" t="s">
        <v>38</v>
      </c>
      <c r="E36" s="19" t="s">
        <v>337</v>
      </c>
      <c r="F36" s="47">
        <f t="shared" si="12"/>
        <v>0</v>
      </c>
      <c r="G36" s="18"/>
      <c r="H36" s="17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400">
        <f t="shared" si="1"/>
        <v>0</v>
      </c>
      <c r="U36" s="419"/>
      <c r="V36" s="147"/>
    </row>
    <row r="37" spans="1:23" s="148" customFormat="1" ht="12" hidden="1" x14ac:dyDescent="0.2">
      <c r="A37" s="22" t="s">
        <v>367</v>
      </c>
      <c r="B37" s="22" t="s">
        <v>372</v>
      </c>
      <c r="C37" s="21">
        <v>225</v>
      </c>
      <c r="D37" s="20" t="s">
        <v>38</v>
      </c>
      <c r="E37" s="19" t="s">
        <v>337</v>
      </c>
      <c r="F37" s="47">
        <f t="shared" si="12"/>
        <v>0</v>
      </c>
      <c r="G37" s="18"/>
      <c r="H37" s="17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400">
        <f t="shared" si="1"/>
        <v>0</v>
      </c>
      <c r="U37" s="419"/>
      <c r="V37" s="147"/>
    </row>
    <row r="38" spans="1:23" s="148" customFormat="1" ht="12" hidden="1" x14ac:dyDescent="0.2">
      <c r="A38" s="22" t="s">
        <v>368</v>
      </c>
      <c r="B38" s="22" t="s">
        <v>372</v>
      </c>
      <c r="C38" s="21">
        <v>225</v>
      </c>
      <c r="D38" s="20" t="s">
        <v>38</v>
      </c>
      <c r="E38" s="19" t="s">
        <v>337</v>
      </c>
      <c r="F38" s="47">
        <f t="shared" si="12"/>
        <v>0</v>
      </c>
      <c r="G38" s="18"/>
      <c r="H38" s="17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400">
        <f t="shared" si="1"/>
        <v>0</v>
      </c>
      <c r="U38" s="419"/>
      <c r="V38" s="147"/>
    </row>
    <row r="39" spans="1:23" s="148" customFormat="1" ht="12" hidden="1" x14ac:dyDescent="0.2">
      <c r="A39" s="22" t="s">
        <v>369</v>
      </c>
      <c r="B39" s="22" t="s">
        <v>371</v>
      </c>
      <c r="C39" s="21">
        <v>225</v>
      </c>
      <c r="D39" s="20" t="s">
        <v>38</v>
      </c>
      <c r="E39" s="19" t="s">
        <v>337</v>
      </c>
      <c r="F39" s="47">
        <f t="shared" si="12"/>
        <v>0</v>
      </c>
      <c r="G39" s="18"/>
      <c r="H39" s="17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400">
        <f t="shared" si="1"/>
        <v>0</v>
      </c>
      <c r="U39" s="419"/>
      <c r="V39" s="147"/>
    </row>
    <row r="40" spans="1:23" s="148" customFormat="1" ht="12" hidden="1" x14ac:dyDescent="0.2">
      <c r="A40" s="22" t="s">
        <v>207</v>
      </c>
      <c r="B40" s="22" t="s">
        <v>372</v>
      </c>
      <c r="C40" s="21">
        <v>225</v>
      </c>
      <c r="D40" s="20" t="s">
        <v>38</v>
      </c>
      <c r="E40" s="19" t="s">
        <v>337</v>
      </c>
      <c r="F40" s="47">
        <f t="shared" si="12"/>
        <v>0</v>
      </c>
      <c r="G40" s="18"/>
      <c r="H40" s="17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400">
        <f t="shared" si="1"/>
        <v>0</v>
      </c>
      <c r="U40" s="419"/>
      <c r="V40" s="147"/>
    </row>
    <row r="41" spans="1:23" s="148" customFormat="1" ht="24" hidden="1" x14ac:dyDescent="0.2">
      <c r="A41" s="22" t="s">
        <v>206</v>
      </c>
      <c r="B41" s="22" t="s">
        <v>372</v>
      </c>
      <c r="C41" s="21">
        <v>225</v>
      </c>
      <c r="D41" s="33" t="s">
        <v>38</v>
      </c>
      <c r="E41" s="32" t="s">
        <v>337</v>
      </c>
      <c r="F41" s="47">
        <f t="shared" si="12"/>
        <v>0</v>
      </c>
      <c r="G41" s="27"/>
      <c r="H41" s="16"/>
      <c r="I41" s="16"/>
      <c r="J41" s="16"/>
      <c r="K41" s="16"/>
      <c r="M41" s="16"/>
      <c r="N41" s="16"/>
      <c r="O41" s="16"/>
      <c r="P41" s="16"/>
      <c r="Q41" s="16"/>
      <c r="R41" s="16"/>
      <c r="S41" s="16"/>
      <c r="T41" s="400">
        <f t="shared" si="1"/>
        <v>0</v>
      </c>
      <c r="U41" s="418"/>
      <c r="V41" s="128"/>
      <c r="W41" s="129"/>
    </row>
    <row r="42" spans="1:23" s="148" customFormat="1" ht="24" hidden="1" x14ac:dyDescent="0.2">
      <c r="A42" s="22" t="s">
        <v>86</v>
      </c>
      <c r="B42" s="22" t="s">
        <v>371</v>
      </c>
      <c r="C42" s="21">
        <v>225</v>
      </c>
      <c r="D42" s="20" t="s">
        <v>38</v>
      </c>
      <c r="E42" s="19" t="s">
        <v>337</v>
      </c>
      <c r="F42" s="47">
        <f t="shared" si="12"/>
        <v>0</v>
      </c>
      <c r="G42" s="18"/>
      <c r="H42" s="17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400">
        <f t="shared" si="1"/>
        <v>0</v>
      </c>
      <c r="U42" s="419"/>
      <c r="V42" s="147"/>
    </row>
    <row r="43" spans="1:23" s="148" customFormat="1" ht="13.5" customHeight="1" x14ac:dyDescent="0.2">
      <c r="A43" s="22" t="s">
        <v>651</v>
      </c>
      <c r="B43" s="22"/>
      <c r="C43" s="21">
        <v>225</v>
      </c>
      <c r="D43" s="20" t="s">
        <v>624</v>
      </c>
      <c r="E43" s="19" t="s">
        <v>91</v>
      </c>
      <c r="F43" s="18" t="str">
        <f>'4 (2025)'!J318</f>
        <v>Сумма, руб.</v>
      </c>
      <c r="G43" s="18"/>
      <c r="H43" s="16">
        <v>2560.27</v>
      </c>
      <c r="I43" s="16">
        <v>1727.23</v>
      </c>
      <c r="J43" s="16">
        <f>I43</f>
        <v>1727.23</v>
      </c>
      <c r="K43" s="16">
        <f t="shared" ref="K43:Q43" si="13">J43</f>
        <v>1727.23</v>
      </c>
      <c r="L43" s="16">
        <f t="shared" si="13"/>
        <v>1727.23</v>
      </c>
      <c r="M43" s="16">
        <f t="shared" si="13"/>
        <v>1727.23</v>
      </c>
      <c r="N43" s="16">
        <f t="shared" si="13"/>
        <v>1727.23</v>
      </c>
      <c r="O43" s="16">
        <f t="shared" si="13"/>
        <v>1727.23</v>
      </c>
      <c r="P43" s="16">
        <f t="shared" si="13"/>
        <v>1727.23</v>
      </c>
      <c r="Q43" s="16">
        <f t="shared" si="13"/>
        <v>1727.23</v>
      </c>
      <c r="R43" s="16">
        <f>Q43+0.02</f>
        <v>1727.25</v>
      </c>
      <c r="S43" s="16"/>
      <c r="T43" s="400" t="e">
        <f t="shared" si="1"/>
        <v>#VALUE!</v>
      </c>
      <c r="U43" s="419" t="e">
        <f>U29=F29</f>
        <v>#REF!</v>
      </c>
      <c r="V43" s="147"/>
    </row>
    <row r="44" spans="1:23" s="148" customFormat="1" ht="13.5" customHeight="1" x14ac:dyDescent="0.2">
      <c r="A44" s="22" t="s">
        <v>652</v>
      </c>
      <c r="B44" s="22"/>
      <c r="C44" s="21">
        <v>225</v>
      </c>
      <c r="D44" s="20" t="s">
        <v>624</v>
      </c>
      <c r="E44" s="19" t="s">
        <v>91</v>
      </c>
      <c r="F44" s="18" t="str">
        <f>'4 (2025)'!J331</f>
        <v>Сумма, руб.</v>
      </c>
      <c r="G44" s="18"/>
      <c r="H44" s="16"/>
      <c r="I44" s="16">
        <v>124545</v>
      </c>
      <c r="J44" s="16">
        <f>124545+13200</f>
        <v>137745</v>
      </c>
      <c r="K44" s="16">
        <v>137745</v>
      </c>
      <c r="L44" s="16">
        <v>137745</v>
      </c>
      <c r="M44" s="16"/>
      <c r="N44" s="16"/>
      <c r="O44" s="16"/>
      <c r="P44" s="16"/>
      <c r="Q44" s="16"/>
      <c r="R44" s="16">
        <v>124545</v>
      </c>
      <c r="S44" s="16">
        <f>124545-1032.33</f>
        <v>123512.67</v>
      </c>
      <c r="T44" s="400" t="e">
        <f t="shared" si="1"/>
        <v>#VALUE!</v>
      </c>
      <c r="U44" s="147"/>
      <c r="V44" s="147"/>
    </row>
    <row r="45" spans="1:23" s="129" customFormat="1" ht="13.5" customHeight="1" x14ac:dyDescent="0.2">
      <c r="A45" s="35" t="s">
        <v>210</v>
      </c>
      <c r="B45" s="35" t="s">
        <v>372</v>
      </c>
      <c r="C45" s="34">
        <v>225</v>
      </c>
      <c r="D45" s="33" t="s">
        <v>624</v>
      </c>
      <c r="E45" s="32" t="s">
        <v>91</v>
      </c>
      <c r="F45" s="18" t="e">
        <f>'4 (2025)'!#REF!+'4 (2025)'!#REF!</f>
        <v>#REF!</v>
      </c>
      <c r="G45" s="27"/>
      <c r="H45" s="36">
        <v>3400</v>
      </c>
      <c r="I45" s="16">
        <v>1700</v>
      </c>
      <c r="J45" s="16">
        <f t="shared" ref="J45:J50" si="14">I45</f>
        <v>1700</v>
      </c>
      <c r="K45" s="16">
        <f t="shared" ref="K45:S45" si="15">J45</f>
        <v>1700</v>
      </c>
      <c r="L45" s="16">
        <f t="shared" si="15"/>
        <v>1700</v>
      </c>
      <c r="M45" s="16">
        <f t="shared" si="15"/>
        <v>1700</v>
      </c>
      <c r="N45" s="16">
        <f t="shared" si="15"/>
        <v>1700</v>
      </c>
      <c r="O45" s="16">
        <f t="shared" si="15"/>
        <v>1700</v>
      </c>
      <c r="P45" s="16">
        <f t="shared" si="15"/>
        <v>1700</v>
      </c>
      <c r="Q45" s="16">
        <f t="shared" si="15"/>
        <v>1700</v>
      </c>
      <c r="R45" s="16">
        <f t="shared" si="15"/>
        <v>1700</v>
      </c>
      <c r="S45" s="16">
        <f t="shared" si="15"/>
        <v>1700</v>
      </c>
      <c r="T45" s="400" t="e">
        <f t="shared" si="1"/>
        <v>#REF!</v>
      </c>
      <c r="U45" s="128"/>
      <c r="V45" s="128"/>
    </row>
    <row r="46" spans="1:23" s="129" customFormat="1" ht="13.5" customHeight="1" x14ac:dyDescent="0.2">
      <c r="A46" s="22" t="s">
        <v>366</v>
      </c>
      <c r="B46" s="35"/>
      <c r="C46" s="34">
        <v>225</v>
      </c>
      <c r="D46" s="33" t="s">
        <v>624</v>
      </c>
      <c r="E46" s="32" t="s">
        <v>91</v>
      </c>
      <c r="F46" s="18" t="e">
        <f>'4 (2025)'!J357+'4 (2025)'!#REF!</f>
        <v>#REF!</v>
      </c>
      <c r="G46" s="27"/>
      <c r="H46" s="36">
        <v>1662.12</v>
      </c>
      <c r="I46" s="16">
        <v>831.06</v>
      </c>
      <c r="J46" s="16">
        <f t="shared" si="14"/>
        <v>831.06</v>
      </c>
      <c r="K46" s="16">
        <f t="shared" ref="K46:S46" si="16">J46</f>
        <v>831.06</v>
      </c>
      <c r="L46" s="16">
        <f t="shared" si="16"/>
        <v>831.06</v>
      </c>
      <c r="M46" s="16">
        <f t="shared" si="16"/>
        <v>831.06</v>
      </c>
      <c r="N46" s="16">
        <f t="shared" si="16"/>
        <v>831.06</v>
      </c>
      <c r="O46" s="16">
        <f t="shared" si="16"/>
        <v>831.06</v>
      </c>
      <c r="P46" s="16">
        <f t="shared" si="16"/>
        <v>831.06</v>
      </c>
      <c r="Q46" s="16">
        <f t="shared" si="16"/>
        <v>831.06</v>
      </c>
      <c r="R46" s="16">
        <f t="shared" si="16"/>
        <v>831.06</v>
      </c>
      <c r="S46" s="16">
        <f t="shared" si="16"/>
        <v>831.06</v>
      </c>
      <c r="T46" s="400" t="e">
        <f t="shared" si="1"/>
        <v>#REF!</v>
      </c>
      <c r="U46" s="128"/>
      <c r="V46" s="128"/>
    </row>
    <row r="47" spans="1:23" s="129" customFormat="1" ht="13.5" customHeight="1" x14ac:dyDescent="0.2">
      <c r="A47" s="22" t="s">
        <v>653</v>
      </c>
      <c r="B47" s="35"/>
      <c r="C47" s="34">
        <v>225</v>
      </c>
      <c r="D47" s="33" t="s">
        <v>624</v>
      </c>
      <c r="E47" s="32" t="s">
        <v>91</v>
      </c>
      <c r="F47" s="18" t="e">
        <f>'4 (2025)'!J358+'4 (2025)'!#REF!</f>
        <v>#REF!</v>
      </c>
      <c r="G47" s="27"/>
      <c r="H47" s="36">
        <v>9387</v>
      </c>
      <c r="I47" s="16">
        <v>4995</v>
      </c>
      <c r="J47" s="16">
        <f t="shared" si="14"/>
        <v>4995</v>
      </c>
      <c r="K47" s="16">
        <f t="shared" ref="K47:S50" si="17">J47</f>
        <v>4995</v>
      </c>
      <c r="L47" s="16">
        <f t="shared" si="17"/>
        <v>4995</v>
      </c>
      <c r="M47" s="16">
        <f t="shared" si="17"/>
        <v>4995</v>
      </c>
      <c r="N47" s="16">
        <f t="shared" si="17"/>
        <v>4995</v>
      </c>
      <c r="O47" s="16">
        <f t="shared" si="17"/>
        <v>4995</v>
      </c>
      <c r="P47" s="16">
        <f t="shared" si="17"/>
        <v>4995</v>
      </c>
      <c r="Q47" s="16">
        <f t="shared" si="17"/>
        <v>4995</v>
      </c>
      <c r="R47" s="16">
        <f t="shared" si="17"/>
        <v>4995</v>
      </c>
      <c r="S47" s="16">
        <f t="shared" si="17"/>
        <v>4995</v>
      </c>
      <c r="T47" s="400" t="e">
        <f t="shared" si="1"/>
        <v>#REF!</v>
      </c>
      <c r="U47" s="128"/>
      <c r="V47" s="128"/>
    </row>
    <row r="48" spans="1:23" s="129" customFormat="1" ht="13.5" customHeight="1" x14ac:dyDescent="0.2">
      <c r="A48" s="22" t="s">
        <v>654</v>
      </c>
      <c r="B48" s="35"/>
      <c r="C48" s="34">
        <v>225</v>
      </c>
      <c r="D48" s="33" t="s">
        <v>624</v>
      </c>
      <c r="E48" s="32" t="s">
        <v>91</v>
      </c>
      <c r="F48" s="18">
        <f>'4 (2025)'!J359</f>
        <v>0</v>
      </c>
      <c r="G48" s="27"/>
      <c r="H48" s="36">
        <v>3000</v>
      </c>
      <c r="I48" s="16">
        <v>3000</v>
      </c>
      <c r="J48" s="16">
        <f t="shared" si="14"/>
        <v>3000</v>
      </c>
      <c r="K48" s="16">
        <f t="shared" si="17"/>
        <v>3000</v>
      </c>
      <c r="L48" s="16">
        <f t="shared" si="17"/>
        <v>3000</v>
      </c>
      <c r="M48" s="16">
        <f t="shared" si="17"/>
        <v>3000</v>
      </c>
      <c r="N48" s="16">
        <f t="shared" si="17"/>
        <v>3000</v>
      </c>
      <c r="O48" s="16">
        <f t="shared" si="17"/>
        <v>3000</v>
      </c>
      <c r="P48" s="16">
        <f t="shared" si="17"/>
        <v>3000</v>
      </c>
      <c r="Q48" s="16">
        <f t="shared" si="17"/>
        <v>3000</v>
      </c>
      <c r="R48" s="16">
        <f t="shared" si="17"/>
        <v>3000</v>
      </c>
      <c r="S48" s="16">
        <f>R48</f>
        <v>3000</v>
      </c>
      <c r="T48" s="400">
        <f t="shared" si="1"/>
        <v>-36000</v>
      </c>
      <c r="U48" s="128"/>
      <c r="V48" s="128"/>
    </row>
    <row r="49" spans="1:23" s="129" customFormat="1" ht="13.5" customHeight="1" x14ac:dyDescent="0.2">
      <c r="A49" s="22" t="s">
        <v>209</v>
      </c>
      <c r="B49" s="35"/>
      <c r="C49" s="34">
        <v>225</v>
      </c>
      <c r="D49" s="33" t="s">
        <v>624</v>
      </c>
      <c r="E49" s="32" t="s">
        <v>91</v>
      </c>
      <c r="F49" s="18" t="e">
        <f>'4 (2025)'!#REF!+'4 (2025)'!#REF!+'4 (2025)'!J361</f>
        <v>#REF!</v>
      </c>
      <c r="G49" s="27"/>
      <c r="H49" s="36"/>
      <c r="I49" s="16">
        <v>3263.04</v>
      </c>
      <c r="J49" s="16">
        <f t="shared" si="14"/>
        <v>3263.04</v>
      </c>
      <c r="K49" s="16">
        <f t="shared" si="17"/>
        <v>3263.04</v>
      </c>
      <c r="L49" s="16">
        <f t="shared" si="17"/>
        <v>3263.04</v>
      </c>
      <c r="M49" s="16">
        <f t="shared" si="17"/>
        <v>3263.04</v>
      </c>
      <c r="N49" s="16">
        <f t="shared" si="17"/>
        <v>3263.04</v>
      </c>
      <c r="O49" s="16">
        <f t="shared" si="17"/>
        <v>3263.04</v>
      </c>
      <c r="P49" s="16">
        <f t="shared" si="17"/>
        <v>3263.04</v>
      </c>
      <c r="Q49" s="16">
        <f t="shared" si="17"/>
        <v>3263.04</v>
      </c>
      <c r="R49" s="16">
        <f t="shared" si="17"/>
        <v>3263.04</v>
      </c>
      <c r="S49" s="16">
        <f t="shared" si="17"/>
        <v>3263.04</v>
      </c>
      <c r="T49" s="400" t="e">
        <f t="shared" si="1"/>
        <v>#REF!</v>
      </c>
      <c r="U49" s="128"/>
      <c r="V49" s="128"/>
    </row>
    <row r="50" spans="1:23" s="129" customFormat="1" ht="24" x14ac:dyDescent="0.2">
      <c r="A50" s="35" t="s">
        <v>86</v>
      </c>
      <c r="B50" s="35" t="s">
        <v>371</v>
      </c>
      <c r="C50" s="34">
        <v>225</v>
      </c>
      <c r="D50" s="33" t="s">
        <v>624</v>
      </c>
      <c r="E50" s="32" t="s">
        <v>91</v>
      </c>
      <c r="F50" s="18" t="str">
        <f>'4 (2025)'!J363</f>
        <v>Сумма, руб.</v>
      </c>
      <c r="G50" s="27"/>
      <c r="H50" s="36"/>
      <c r="I50" s="16">
        <v>6000</v>
      </c>
      <c r="J50" s="16">
        <f t="shared" si="14"/>
        <v>6000</v>
      </c>
      <c r="K50" s="16">
        <f t="shared" si="17"/>
        <v>6000</v>
      </c>
      <c r="L50" s="16">
        <f t="shared" si="17"/>
        <v>6000</v>
      </c>
      <c r="M50" s="16">
        <f t="shared" si="17"/>
        <v>6000</v>
      </c>
      <c r="N50" s="16"/>
      <c r="O50" s="16"/>
      <c r="P50" s="16">
        <f>M50</f>
        <v>6000</v>
      </c>
      <c r="Q50" s="16">
        <f t="shared" si="17"/>
        <v>6000</v>
      </c>
      <c r="R50" s="16">
        <f t="shared" si="17"/>
        <v>6000</v>
      </c>
      <c r="S50" s="16">
        <f>R50*2</f>
        <v>12000</v>
      </c>
      <c r="T50" s="400" t="e">
        <f t="shared" si="1"/>
        <v>#VALUE!</v>
      </c>
      <c r="U50" s="128"/>
      <c r="V50" s="128"/>
    </row>
    <row r="51" spans="1:23" s="148" customFormat="1" ht="16.5" customHeight="1" x14ac:dyDescent="0.2">
      <c r="A51" s="22" t="s">
        <v>498</v>
      </c>
      <c r="B51" s="22" t="s">
        <v>371</v>
      </c>
      <c r="C51" s="21">
        <v>225</v>
      </c>
      <c r="D51" s="20" t="s">
        <v>624</v>
      </c>
      <c r="E51" s="19" t="s">
        <v>91</v>
      </c>
      <c r="F51" s="18">
        <f>'4 (2025)'!J364</f>
        <v>45348</v>
      </c>
      <c r="G51" s="18"/>
      <c r="H51" s="16"/>
      <c r="I51" s="16">
        <v>656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400">
        <f t="shared" si="1"/>
        <v>44692</v>
      </c>
      <c r="U51" s="147"/>
      <c r="V51" s="147"/>
    </row>
    <row r="52" spans="1:23" s="129" customFormat="1" ht="24" x14ac:dyDescent="0.2">
      <c r="A52" s="35" t="s">
        <v>632</v>
      </c>
      <c r="B52" s="35" t="s">
        <v>372</v>
      </c>
      <c r="C52" s="34">
        <v>225</v>
      </c>
      <c r="D52" s="33" t="s">
        <v>624</v>
      </c>
      <c r="E52" s="32" t="s">
        <v>91</v>
      </c>
      <c r="F52" s="18">
        <f>'4 (2025)'!J367</f>
        <v>0</v>
      </c>
      <c r="G52" s="27"/>
      <c r="H52" s="36">
        <v>4000</v>
      </c>
      <c r="I52" s="16">
        <v>4000</v>
      </c>
      <c r="J52" s="16">
        <f>I52</f>
        <v>4000</v>
      </c>
      <c r="K52" s="16">
        <f t="shared" ref="K52:R52" si="18">J52</f>
        <v>4000</v>
      </c>
      <c r="L52" s="16">
        <f t="shared" si="18"/>
        <v>4000</v>
      </c>
      <c r="M52" s="16">
        <f t="shared" si="18"/>
        <v>4000</v>
      </c>
      <c r="N52" s="16">
        <f t="shared" si="18"/>
        <v>4000</v>
      </c>
      <c r="O52" s="16">
        <f t="shared" si="18"/>
        <v>4000</v>
      </c>
      <c r="P52" s="16">
        <f t="shared" si="18"/>
        <v>4000</v>
      </c>
      <c r="Q52" s="16">
        <f t="shared" si="18"/>
        <v>4000</v>
      </c>
      <c r="R52" s="16">
        <f t="shared" si="18"/>
        <v>4000</v>
      </c>
      <c r="S52" s="16">
        <f>R52</f>
        <v>4000</v>
      </c>
      <c r="T52" s="400">
        <f t="shared" si="1"/>
        <v>-48000</v>
      </c>
      <c r="U52" s="128"/>
      <c r="V52" s="128"/>
    </row>
    <row r="53" spans="1:23" s="148" customFormat="1" ht="24" x14ac:dyDescent="0.2">
      <c r="A53" s="22" t="s">
        <v>655</v>
      </c>
      <c r="B53" s="22"/>
      <c r="C53" s="21">
        <v>225</v>
      </c>
      <c r="D53" s="20" t="s">
        <v>624</v>
      </c>
      <c r="E53" s="19" t="s">
        <v>91</v>
      </c>
      <c r="F53" s="18">
        <f>'4 (2025)'!J395</f>
        <v>36000</v>
      </c>
      <c r="G53" s="18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>
        <f>F53</f>
        <v>36000</v>
      </c>
      <c r="S53" s="16"/>
      <c r="T53" s="400">
        <f t="shared" si="1"/>
        <v>0</v>
      </c>
      <c r="U53" s="147"/>
      <c r="V53" s="147"/>
    </row>
    <row r="54" spans="1:23" s="148" customFormat="1" ht="24" x14ac:dyDescent="0.2">
      <c r="A54" s="22" t="s">
        <v>631</v>
      </c>
      <c r="B54" s="22" t="s">
        <v>371</v>
      </c>
      <c r="C54" s="21">
        <v>225</v>
      </c>
      <c r="D54" s="20" t="s">
        <v>624</v>
      </c>
      <c r="E54" s="19" t="s">
        <v>91</v>
      </c>
      <c r="F54" s="18">
        <f>'4 (2025)'!J408</f>
        <v>24000</v>
      </c>
      <c r="G54" s="18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>
        <f>F54</f>
        <v>24000</v>
      </c>
      <c r="S54" s="16"/>
      <c r="T54" s="400">
        <f t="shared" si="1"/>
        <v>0</v>
      </c>
      <c r="U54" s="147"/>
      <c r="V54" s="147"/>
    </row>
    <row r="55" spans="1:23" s="129" customFormat="1" ht="13.5" customHeight="1" x14ac:dyDescent="0.2">
      <c r="A55" s="35" t="s">
        <v>208</v>
      </c>
      <c r="B55" s="35" t="s">
        <v>371</v>
      </c>
      <c r="C55" s="34">
        <v>225</v>
      </c>
      <c r="D55" s="33" t="s">
        <v>624</v>
      </c>
      <c r="E55" s="32" t="s">
        <v>91</v>
      </c>
      <c r="F55" s="18">
        <f>'4 (2025)'!J362</f>
        <v>0</v>
      </c>
      <c r="G55" s="27"/>
      <c r="H55" s="36"/>
      <c r="I55" s="16">
        <v>4200</v>
      </c>
      <c r="J55" s="16">
        <f>I55</f>
        <v>4200</v>
      </c>
      <c r="K55" s="16">
        <f t="shared" ref="K55:S55" si="19">J55</f>
        <v>4200</v>
      </c>
      <c r="L55" s="16">
        <f t="shared" si="19"/>
        <v>4200</v>
      </c>
      <c r="M55" s="16">
        <f t="shared" si="19"/>
        <v>4200</v>
      </c>
      <c r="N55" s="16"/>
      <c r="O55" s="16"/>
      <c r="P55" s="16">
        <f>M55</f>
        <v>4200</v>
      </c>
      <c r="Q55" s="16">
        <f t="shared" si="19"/>
        <v>4200</v>
      </c>
      <c r="R55" s="16">
        <f t="shared" si="19"/>
        <v>4200</v>
      </c>
      <c r="S55" s="16">
        <f t="shared" si="19"/>
        <v>4200</v>
      </c>
      <c r="T55" s="400">
        <f t="shared" si="1"/>
        <v>-37800</v>
      </c>
      <c r="U55" s="128"/>
      <c r="V55" s="128"/>
    </row>
    <row r="56" spans="1:23" s="129" customFormat="1" ht="12" hidden="1" x14ac:dyDescent="0.2">
      <c r="A56" s="35" t="s">
        <v>205</v>
      </c>
      <c r="B56" s="35"/>
      <c r="C56" s="34">
        <v>225</v>
      </c>
      <c r="D56" s="33" t="s">
        <v>38</v>
      </c>
      <c r="E56" s="32" t="s">
        <v>91</v>
      </c>
      <c r="F56" s="47">
        <f>SUM(H56:S56)</f>
        <v>0</v>
      </c>
      <c r="G56" s="27"/>
      <c r="H56" s="37"/>
      <c r="I56" s="16"/>
      <c r="J56" s="16">
        <f>I56</f>
        <v>0</v>
      </c>
      <c r="K56" s="16">
        <f>I56</f>
        <v>0</v>
      </c>
      <c r="L56" s="16">
        <f>I56</f>
        <v>0</v>
      </c>
      <c r="M56" s="16">
        <f>I56</f>
        <v>0</v>
      </c>
      <c r="N56" s="16">
        <f>I56</f>
        <v>0</v>
      </c>
      <c r="O56" s="16">
        <f>I56</f>
        <v>0</v>
      </c>
      <c r="P56" s="16">
        <f>I56</f>
        <v>0</v>
      </c>
      <c r="Q56" s="16">
        <f>I56</f>
        <v>0</v>
      </c>
      <c r="R56" s="16">
        <f>I56</f>
        <v>0</v>
      </c>
      <c r="S56" s="16">
        <f>I56*2</f>
        <v>0</v>
      </c>
      <c r="T56" s="400">
        <f t="shared" si="1"/>
        <v>0</v>
      </c>
      <c r="U56" s="128"/>
      <c r="V56" s="128"/>
    </row>
    <row r="57" spans="1:23" s="148" customFormat="1" ht="12" hidden="1" x14ac:dyDescent="0.2">
      <c r="A57" s="22" t="s">
        <v>204</v>
      </c>
      <c r="B57" s="22"/>
      <c r="C57" s="21">
        <v>225</v>
      </c>
      <c r="D57" s="33" t="s">
        <v>38</v>
      </c>
      <c r="E57" s="32" t="s">
        <v>91</v>
      </c>
      <c r="F57" s="47">
        <f>SUM(H57:S57)</f>
        <v>0</v>
      </c>
      <c r="G57" s="27"/>
      <c r="H57" s="37"/>
      <c r="I57" s="16"/>
      <c r="J57" s="16">
        <f>I57</f>
        <v>0</v>
      </c>
      <c r="K57" s="16">
        <f>I57</f>
        <v>0</v>
      </c>
      <c r="L57" s="16">
        <f>I57</f>
        <v>0</v>
      </c>
      <c r="M57" s="16">
        <f>I57</f>
        <v>0</v>
      </c>
      <c r="N57" s="16">
        <f>I57</f>
        <v>0</v>
      </c>
      <c r="O57" s="16">
        <f>I57</f>
        <v>0</v>
      </c>
      <c r="P57" s="16">
        <f>I57</f>
        <v>0</v>
      </c>
      <c r="Q57" s="16">
        <f>I57</f>
        <v>0</v>
      </c>
      <c r="R57" s="16">
        <f>I57</f>
        <v>0</v>
      </c>
      <c r="S57" s="16">
        <f>I57*2</f>
        <v>0</v>
      </c>
      <c r="T57" s="400">
        <f t="shared" si="1"/>
        <v>0</v>
      </c>
      <c r="U57" s="128"/>
      <c r="V57" s="128"/>
      <c r="W57" s="129"/>
    </row>
    <row r="58" spans="1:23" s="129" customFormat="1" ht="12" hidden="1" x14ac:dyDescent="0.2">
      <c r="A58" s="46"/>
      <c r="B58" s="46"/>
      <c r="C58" s="45">
        <v>225</v>
      </c>
      <c r="D58" s="33" t="s">
        <v>38</v>
      </c>
      <c r="E58" s="32" t="s">
        <v>91</v>
      </c>
      <c r="F58" s="47">
        <f>SUM(H58:S58)</f>
        <v>0</v>
      </c>
      <c r="G58" s="27"/>
      <c r="H58" s="37"/>
      <c r="I58" s="16"/>
      <c r="J58" s="16">
        <f>I58</f>
        <v>0</v>
      </c>
      <c r="K58" s="16">
        <f>I58</f>
        <v>0</v>
      </c>
      <c r="L58" s="16">
        <f>I58</f>
        <v>0</v>
      </c>
      <c r="M58" s="16">
        <f>I58</f>
        <v>0</v>
      </c>
      <c r="N58" s="16">
        <f>I58</f>
        <v>0</v>
      </c>
      <c r="O58" s="16">
        <f>I58</f>
        <v>0</v>
      </c>
      <c r="P58" s="16">
        <f>I58</f>
        <v>0</v>
      </c>
      <c r="Q58" s="16">
        <f>I58</f>
        <v>0</v>
      </c>
      <c r="R58" s="16">
        <f>I58</f>
        <v>0</v>
      </c>
      <c r="S58" s="16">
        <f>I58*2</f>
        <v>0</v>
      </c>
      <c r="T58" s="400">
        <f t="shared" si="1"/>
        <v>0</v>
      </c>
      <c r="U58" s="128"/>
      <c r="V58" s="128"/>
    </row>
    <row r="59" spans="1:23" s="409" customFormat="1" ht="14.25" customHeight="1" x14ac:dyDescent="0.2">
      <c r="A59" s="404" t="s">
        <v>170</v>
      </c>
      <c r="B59" s="404"/>
      <c r="C59" s="405">
        <v>226</v>
      </c>
      <c r="D59" s="406" t="s">
        <v>82</v>
      </c>
      <c r="E59" s="406" t="s">
        <v>82</v>
      </c>
      <c r="F59" s="407" t="e">
        <f>SUM(F60:F69)</f>
        <v>#REF!</v>
      </c>
      <c r="G59" s="407">
        <f t="shared" ref="G59:S59" si="20">SUM(G60:G69)</f>
        <v>0</v>
      </c>
      <c r="H59" s="407">
        <f t="shared" si="20"/>
        <v>77778</v>
      </c>
      <c r="I59" s="407">
        <f t="shared" si="20"/>
        <v>163982.79999999999</v>
      </c>
      <c r="J59" s="407">
        <f t="shared" si="20"/>
        <v>150606.39999999999</v>
      </c>
      <c r="K59" s="407">
        <f t="shared" si="20"/>
        <v>155822.79999999999</v>
      </c>
      <c r="L59" s="407">
        <f t="shared" si="20"/>
        <v>151204</v>
      </c>
      <c r="M59" s="407">
        <f t="shared" si="20"/>
        <v>155582.79999999999</v>
      </c>
      <c r="N59" s="407">
        <f t="shared" si="20"/>
        <v>153204</v>
      </c>
      <c r="O59" s="407">
        <f t="shared" si="20"/>
        <v>344022.8</v>
      </c>
      <c r="P59" s="407" t="e">
        <f t="shared" si="20"/>
        <v>#REF!</v>
      </c>
      <c r="Q59" s="407">
        <f t="shared" si="20"/>
        <v>134356.95000000001</v>
      </c>
      <c r="R59" s="407">
        <f t="shared" si="20"/>
        <v>21782.799999999999</v>
      </c>
      <c r="S59" s="407">
        <f t="shared" si="20"/>
        <v>33506.800000000003</v>
      </c>
      <c r="T59" s="420" t="e">
        <f t="shared" si="1"/>
        <v>#REF!</v>
      </c>
      <c r="U59" s="417">
        <f>'4 (2025)'!J473</f>
        <v>5595877.5899999999</v>
      </c>
    </row>
    <row r="60" spans="1:23" s="148" customFormat="1" ht="27" customHeight="1" x14ac:dyDescent="0.2">
      <c r="A60" s="22" t="s">
        <v>201</v>
      </c>
      <c r="B60" s="22" t="s">
        <v>373</v>
      </c>
      <c r="C60" s="21">
        <v>226</v>
      </c>
      <c r="D60" s="33" t="s">
        <v>624</v>
      </c>
      <c r="E60" s="32" t="s">
        <v>91</v>
      </c>
      <c r="F60" s="18" t="e">
        <f>'4 (2025)'!#REF!</f>
        <v>#REF!</v>
      </c>
      <c r="G60" s="27"/>
      <c r="H60" s="36">
        <v>77778</v>
      </c>
      <c r="I60" s="165">
        <v>133920</v>
      </c>
      <c r="J60" s="165">
        <v>120960</v>
      </c>
      <c r="K60" s="165">
        <v>133920</v>
      </c>
      <c r="L60" s="165">
        <v>129600</v>
      </c>
      <c r="M60" s="165">
        <v>133920</v>
      </c>
      <c r="N60" s="165">
        <v>129600</v>
      </c>
      <c r="O60" s="165">
        <v>133920</v>
      </c>
      <c r="P60" s="165">
        <v>133920</v>
      </c>
      <c r="Q60" s="165">
        <f>129600-38804.4</f>
        <v>90795.6</v>
      </c>
      <c r="R60" s="165"/>
      <c r="S60" s="165"/>
      <c r="T60" s="400" t="e">
        <f t="shared" si="1"/>
        <v>#REF!</v>
      </c>
      <c r="U60" s="418" t="e">
        <f>U59=F59</f>
        <v>#REF!</v>
      </c>
      <c r="V60" s="128"/>
      <c r="W60" s="129"/>
    </row>
    <row r="61" spans="1:23" s="148" customFormat="1" ht="16.5" customHeight="1" x14ac:dyDescent="0.2">
      <c r="A61" s="22" t="s">
        <v>200</v>
      </c>
      <c r="B61" s="22" t="s">
        <v>372</v>
      </c>
      <c r="C61" s="21">
        <v>226</v>
      </c>
      <c r="D61" s="33" t="s">
        <v>624</v>
      </c>
      <c r="E61" s="32" t="s">
        <v>91</v>
      </c>
      <c r="F61" s="18" t="e">
        <f>'4 (2025)'!#REF!</f>
        <v>#REF!</v>
      </c>
      <c r="G61" s="27"/>
      <c r="H61" s="37"/>
      <c r="I61" s="16">
        <v>9262.7999999999993</v>
      </c>
      <c r="J61" s="16">
        <v>8366.4</v>
      </c>
      <c r="K61" s="16">
        <v>9262.7999999999993</v>
      </c>
      <c r="L61" s="16">
        <v>8964</v>
      </c>
      <c r="M61" s="16">
        <v>9262.7999999999993</v>
      </c>
      <c r="N61" s="16">
        <v>8964</v>
      </c>
      <c r="O61" s="16">
        <v>9262.7999999999993</v>
      </c>
      <c r="P61" s="16">
        <v>9262.7999999999993</v>
      </c>
      <c r="Q61" s="16">
        <v>8964</v>
      </c>
      <c r="R61" s="16">
        <v>9262.7999999999993</v>
      </c>
      <c r="S61" s="16">
        <v>18226.8</v>
      </c>
      <c r="T61" s="400" t="e">
        <f t="shared" si="1"/>
        <v>#REF!</v>
      </c>
      <c r="U61" s="128"/>
      <c r="V61" s="128"/>
      <c r="W61" s="129"/>
    </row>
    <row r="62" spans="1:23" s="148" customFormat="1" ht="18.75" customHeight="1" x14ac:dyDescent="0.2">
      <c r="A62" s="22" t="s">
        <v>522</v>
      </c>
      <c r="B62" s="22"/>
      <c r="C62" s="21">
        <v>226</v>
      </c>
      <c r="D62" s="20" t="s">
        <v>624</v>
      </c>
      <c r="E62" s="19" t="s">
        <v>91</v>
      </c>
      <c r="F62" s="18" t="e">
        <f>'4 (2025)'!#REF!</f>
        <v>#REF!</v>
      </c>
      <c r="G62" s="18"/>
      <c r="H62" s="16"/>
      <c r="I62" s="16">
        <v>9000</v>
      </c>
      <c r="J62" s="16">
        <v>9000</v>
      </c>
      <c r="K62" s="16"/>
      <c r="L62" s="16"/>
      <c r="M62" s="16"/>
      <c r="N62" s="16"/>
      <c r="O62" s="16">
        <v>200000</v>
      </c>
      <c r="P62" s="16"/>
      <c r="Q62" s="16">
        <v>21957.35</v>
      </c>
      <c r="R62" s="16"/>
      <c r="S62" s="16"/>
      <c r="T62" s="400" t="e">
        <f t="shared" si="1"/>
        <v>#REF!</v>
      </c>
      <c r="U62" s="147"/>
      <c r="V62" s="147"/>
    </row>
    <row r="63" spans="1:23" s="148" customFormat="1" ht="48" x14ac:dyDescent="0.2">
      <c r="A63" s="22" t="s">
        <v>634</v>
      </c>
      <c r="B63" s="22" t="s">
        <v>371</v>
      </c>
      <c r="C63" s="21">
        <v>226</v>
      </c>
      <c r="D63" s="20" t="s">
        <v>624</v>
      </c>
      <c r="E63" s="19" t="s">
        <v>91</v>
      </c>
      <c r="F63" s="18" t="e">
        <f>'4 (2025)'!#REF!</f>
        <v>#REF!</v>
      </c>
      <c r="G63" s="18"/>
      <c r="H63" s="16"/>
      <c r="I63" s="16"/>
      <c r="J63" s="16"/>
      <c r="K63" s="16"/>
      <c r="L63" s="16"/>
      <c r="M63" s="16"/>
      <c r="N63" s="16">
        <v>12000</v>
      </c>
      <c r="O63" s="16"/>
      <c r="P63" s="16">
        <v>112800</v>
      </c>
      <c r="Q63" s="16"/>
      <c r="R63" s="16"/>
      <c r="S63" s="16"/>
      <c r="T63" s="400" t="e">
        <f t="shared" si="1"/>
        <v>#REF!</v>
      </c>
      <c r="U63" s="147"/>
      <c r="V63" s="147"/>
    </row>
    <row r="64" spans="1:23" s="148" customFormat="1" ht="36" x14ac:dyDescent="0.2">
      <c r="A64" s="159" t="s">
        <v>635</v>
      </c>
      <c r="B64" s="22" t="s">
        <v>371</v>
      </c>
      <c r="C64" s="21">
        <v>226</v>
      </c>
      <c r="D64" s="20" t="s">
        <v>624</v>
      </c>
      <c r="E64" s="19" t="s">
        <v>91</v>
      </c>
      <c r="F64" s="18" t="e">
        <f>'4 (2025)'!#REF!</f>
        <v>#REF!</v>
      </c>
      <c r="G64" s="18"/>
      <c r="H64" s="16"/>
      <c r="I64" s="16"/>
      <c r="J64" s="16"/>
      <c r="K64" s="16"/>
      <c r="L64" s="16"/>
      <c r="M64" s="16"/>
      <c r="N64" s="16"/>
      <c r="O64" s="16"/>
      <c r="P64" s="16">
        <v>1000</v>
      </c>
      <c r="Q64" s="16"/>
      <c r="R64" s="16"/>
      <c r="S64" s="16"/>
      <c r="T64" s="400" t="e">
        <f t="shared" si="1"/>
        <v>#REF!</v>
      </c>
      <c r="U64" s="147"/>
      <c r="V64" s="147"/>
    </row>
    <row r="65" spans="1:22" s="148" customFormat="1" ht="36" x14ac:dyDescent="0.2">
      <c r="A65" s="22" t="s">
        <v>636</v>
      </c>
      <c r="B65" s="22" t="s">
        <v>371</v>
      </c>
      <c r="C65" s="21">
        <v>226</v>
      </c>
      <c r="D65" s="20" t="s">
        <v>624</v>
      </c>
      <c r="E65" s="19" t="s">
        <v>91</v>
      </c>
      <c r="F65" s="18">
        <f>'4 (2025)'!J490</f>
        <v>0</v>
      </c>
      <c r="G65" s="18"/>
      <c r="H65" s="16"/>
      <c r="I65" s="16"/>
      <c r="J65" s="16"/>
      <c r="K65" s="16"/>
      <c r="L65" s="16"/>
      <c r="M65" s="16"/>
      <c r="N65" s="16"/>
      <c r="O65" s="16"/>
      <c r="P65" s="16">
        <v>3000</v>
      </c>
      <c r="Q65" s="16"/>
      <c r="R65" s="16"/>
      <c r="S65" s="16"/>
      <c r="T65" s="400">
        <f t="shared" si="1"/>
        <v>-3000</v>
      </c>
      <c r="U65" s="147"/>
      <c r="V65" s="147"/>
    </row>
    <row r="66" spans="1:22" s="148" customFormat="1" ht="25.5" customHeight="1" x14ac:dyDescent="0.2">
      <c r="A66" s="22" t="s">
        <v>87</v>
      </c>
      <c r="B66" s="22" t="s">
        <v>371</v>
      </c>
      <c r="C66" s="21">
        <v>226</v>
      </c>
      <c r="D66" s="20" t="s">
        <v>624</v>
      </c>
      <c r="E66" s="19" t="s">
        <v>91</v>
      </c>
      <c r="F66" s="18" t="e">
        <f>'4 (2025)'!#REF!</f>
        <v>#REF!</v>
      </c>
      <c r="G66" s="18"/>
      <c r="H66" s="16"/>
      <c r="I66" s="165">
        <v>1800</v>
      </c>
      <c r="J66" s="165">
        <v>2280</v>
      </c>
      <c r="K66" s="165">
        <v>2640</v>
      </c>
      <c r="L66" s="165">
        <v>2640</v>
      </c>
      <c r="M66" s="165">
        <v>2400</v>
      </c>
      <c r="N66" s="165">
        <v>2640</v>
      </c>
      <c r="O66" s="165">
        <v>840</v>
      </c>
      <c r="P66" s="165">
        <v>0</v>
      </c>
      <c r="Q66" s="165">
        <v>2640</v>
      </c>
      <c r="R66" s="165">
        <v>2520</v>
      </c>
      <c r="S66" s="165">
        <f>2520+2760</f>
        <v>5280</v>
      </c>
      <c r="T66" s="400" t="e">
        <f t="shared" si="1"/>
        <v>#REF!</v>
      </c>
      <c r="U66" s="147"/>
      <c r="V66" s="147"/>
    </row>
    <row r="67" spans="1:22" s="129" customFormat="1" ht="25.5" customHeight="1" x14ac:dyDescent="0.2">
      <c r="A67" s="35" t="s">
        <v>527</v>
      </c>
      <c r="B67" s="35"/>
      <c r="C67" s="34">
        <v>226</v>
      </c>
      <c r="D67" s="33" t="s">
        <v>624</v>
      </c>
      <c r="E67" s="32" t="s">
        <v>91</v>
      </c>
      <c r="F67" s="18">
        <f>'4 (2025)'!J494</f>
        <v>6720</v>
      </c>
      <c r="G67" s="27"/>
      <c r="H67" s="37"/>
      <c r="I67" s="16">
        <v>10000</v>
      </c>
      <c r="J67" s="16">
        <f>I67</f>
        <v>10000</v>
      </c>
      <c r="K67" s="16">
        <f t="shared" ref="K67:S67" si="21">J67</f>
        <v>10000</v>
      </c>
      <c r="L67" s="16">
        <f t="shared" si="21"/>
        <v>10000</v>
      </c>
      <c r="M67" s="16">
        <f t="shared" si="21"/>
        <v>10000</v>
      </c>
      <c r="N67" s="16"/>
      <c r="O67" s="16"/>
      <c r="P67" s="16">
        <f>M67</f>
        <v>10000</v>
      </c>
      <c r="Q67" s="16">
        <f t="shared" si="21"/>
        <v>10000</v>
      </c>
      <c r="R67" s="16">
        <f t="shared" si="21"/>
        <v>10000</v>
      </c>
      <c r="S67" s="16">
        <f t="shared" si="21"/>
        <v>10000</v>
      </c>
      <c r="T67" s="400">
        <f t="shared" si="1"/>
        <v>-83280</v>
      </c>
      <c r="U67" s="128"/>
      <c r="V67" s="128"/>
    </row>
    <row r="68" spans="1:22" s="148" customFormat="1" ht="24" x14ac:dyDescent="0.2">
      <c r="A68" s="22" t="s">
        <v>114</v>
      </c>
      <c r="B68" s="22" t="s">
        <v>371</v>
      </c>
      <c r="C68" s="21">
        <v>226</v>
      </c>
      <c r="D68" s="20" t="s">
        <v>624</v>
      </c>
      <c r="E68" s="19" t="s">
        <v>91</v>
      </c>
      <c r="F68" s="18" t="e">
        <f>'4 (2025)'!#REF!</f>
        <v>#REF!</v>
      </c>
      <c r="G68" s="18"/>
      <c r="H68" s="17"/>
      <c r="I68" s="16"/>
      <c r="J68" s="16"/>
      <c r="K68" s="16"/>
      <c r="L68" s="16"/>
      <c r="M68" s="16"/>
      <c r="N68" s="16"/>
      <c r="O68" s="16"/>
      <c r="P68" s="16" t="e">
        <f>F68</f>
        <v>#REF!</v>
      </c>
      <c r="Q68" s="16"/>
      <c r="R68" s="16"/>
      <c r="S68" s="16"/>
      <c r="T68" s="400" t="e">
        <f t="shared" si="1"/>
        <v>#REF!</v>
      </c>
      <c r="U68" s="147"/>
      <c r="V68" s="147"/>
    </row>
    <row r="69" spans="1:22" s="148" customFormat="1" ht="24" x14ac:dyDescent="0.2">
      <c r="A69" s="22" t="s">
        <v>637</v>
      </c>
      <c r="B69" s="22" t="s">
        <v>371</v>
      </c>
      <c r="C69" s="21">
        <v>226</v>
      </c>
      <c r="D69" s="20" t="s">
        <v>624</v>
      </c>
      <c r="E69" s="19" t="s">
        <v>91</v>
      </c>
      <c r="F69" s="18" t="e">
        <f>'4 (2025)'!#REF!</f>
        <v>#REF!</v>
      </c>
      <c r="G69" s="18"/>
      <c r="H69" s="17"/>
      <c r="I69" s="16"/>
      <c r="J69" s="16"/>
      <c r="K69" s="16"/>
      <c r="L69" s="16"/>
      <c r="M69" s="16"/>
      <c r="N69" s="16"/>
      <c r="O69" s="16"/>
      <c r="P69" s="16" t="e">
        <f>F69</f>
        <v>#REF!</v>
      </c>
      <c r="Q69" s="16"/>
      <c r="R69" s="16"/>
      <c r="S69" s="16"/>
      <c r="T69" s="400" t="e">
        <f t="shared" si="1"/>
        <v>#REF!</v>
      </c>
      <c r="U69" s="147"/>
      <c r="V69" s="147"/>
    </row>
    <row r="70" spans="1:22" s="129" customFormat="1" ht="12" hidden="1" x14ac:dyDescent="0.2">
      <c r="A70" s="35" t="s">
        <v>199</v>
      </c>
      <c r="B70" s="35"/>
      <c r="C70" s="34">
        <v>226</v>
      </c>
      <c r="D70" s="33" t="s">
        <v>38</v>
      </c>
      <c r="E70" s="32" t="s">
        <v>91</v>
      </c>
      <c r="F70" s="47">
        <f>SUM(H70:S70)</f>
        <v>0</v>
      </c>
      <c r="G70" s="27"/>
      <c r="H70" s="37"/>
      <c r="I70" s="16"/>
      <c r="J70" s="16">
        <f>I70</f>
        <v>0</v>
      </c>
      <c r="K70" s="16">
        <f>I70</f>
        <v>0</v>
      </c>
      <c r="L70" s="16">
        <f>I70</f>
        <v>0</v>
      </c>
      <c r="M70" s="16">
        <f>I70</f>
        <v>0</v>
      </c>
      <c r="N70" s="16">
        <f>I70</f>
        <v>0</v>
      </c>
      <c r="O70" s="16">
        <f>I70</f>
        <v>0</v>
      </c>
      <c r="P70" s="16">
        <f>I70</f>
        <v>0</v>
      </c>
      <c r="Q70" s="16">
        <f>I70</f>
        <v>0</v>
      </c>
      <c r="R70" s="16">
        <f>I70</f>
        <v>0</v>
      </c>
      <c r="S70" s="16">
        <f>I70*2</f>
        <v>0</v>
      </c>
      <c r="T70" s="400">
        <f t="shared" ref="T70:T131" si="22">F70-H70-I70-J70-K70-L70-M70-N70-O70-P70-Q70-R70-S70</f>
        <v>0</v>
      </c>
      <c r="U70" s="128"/>
      <c r="V70" s="128"/>
    </row>
    <row r="71" spans="1:22" s="129" customFormat="1" ht="12" hidden="1" x14ac:dyDescent="0.2">
      <c r="A71" s="35" t="s">
        <v>199</v>
      </c>
      <c r="B71" s="35"/>
      <c r="C71" s="34">
        <v>226</v>
      </c>
      <c r="D71" s="33" t="s">
        <v>38</v>
      </c>
      <c r="E71" s="32" t="s">
        <v>91</v>
      </c>
      <c r="F71" s="47">
        <f>SUM(H71:S71)</f>
        <v>0</v>
      </c>
      <c r="G71" s="27"/>
      <c r="H71" s="37"/>
      <c r="I71" s="16"/>
      <c r="J71" s="16">
        <f>I71</f>
        <v>0</v>
      </c>
      <c r="K71" s="16">
        <f>I71</f>
        <v>0</v>
      </c>
      <c r="L71" s="16">
        <f>I71</f>
        <v>0</v>
      </c>
      <c r="M71" s="16">
        <f>I71</f>
        <v>0</v>
      </c>
      <c r="N71" s="16">
        <f>I71</f>
        <v>0</v>
      </c>
      <c r="O71" s="16">
        <f>I71</f>
        <v>0</v>
      </c>
      <c r="P71" s="16">
        <f>I71</f>
        <v>0</v>
      </c>
      <c r="Q71" s="16">
        <f>I71</f>
        <v>0</v>
      </c>
      <c r="R71" s="16">
        <f>I71</f>
        <v>0</v>
      </c>
      <c r="S71" s="16">
        <f>I71*2</f>
        <v>0</v>
      </c>
      <c r="T71" s="400">
        <f t="shared" si="22"/>
        <v>0</v>
      </c>
      <c r="U71" s="128"/>
      <c r="V71" s="128"/>
    </row>
    <row r="72" spans="1:22" s="129" customFormat="1" ht="24" hidden="1" x14ac:dyDescent="0.2">
      <c r="A72" s="35" t="s">
        <v>363</v>
      </c>
      <c r="B72" s="35"/>
      <c r="C72" s="34">
        <v>226</v>
      </c>
      <c r="D72" s="33" t="s">
        <v>38</v>
      </c>
      <c r="E72" s="32" t="s">
        <v>91</v>
      </c>
      <c r="F72" s="47">
        <f>SUM(H72:S72)</f>
        <v>0</v>
      </c>
      <c r="G72" s="27"/>
      <c r="H72" s="37"/>
      <c r="I72" s="16"/>
      <c r="J72" s="16">
        <f>I72</f>
        <v>0</v>
      </c>
      <c r="K72" s="16">
        <f>I72</f>
        <v>0</v>
      </c>
      <c r="L72" s="16">
        <f>I72</f>
        <v>0</v>
      </c>
      <c r="M72" s="16">
        <f>I72</f>
        <v>0</v>
      </c>
      <c r="N72" s="16">
        <f>I72</f>
        <v>0</v>
      </c>
      <c r="O72" s="16">
        <f>I72</f>
        <v>0</v>
      </c>
      <c r="P72" s="16">
        <f>I72</f>
        <v>0</v>
      </c>
      <c r="Q72" s="16">
        <f>I72</f>
        <v>0</v>
      </c>
      <c r="R72" s="16">
        <f>I72</f>
        <v>0</v>
      </c>
      <c r="S72" s="16">
        <f>I72*2</f>
        <v>0</v>
      </c>
      <c r="T72" s="400">
        <f t="shared" si="22"/>
        <v>0</v>
      </c>
      <c r="U72" s="128"/>
      <c r="V72" s="128"/>
    </row>
    <row r="73" spans="1:22" s="129" customFormat="1" ht="12" hidden="1" x14ac:dyDescent="0.2">
      <c r="A73" s="35"/>
      <c r="B73" s="35"/>
      <c r="C73" s="34">
        <v>226</v>
      </c>
      <c r="D73" s="33" t="s">
        <v>38</v>
      </c>
      <c r="E73" s="32" t="s">
        <v>91</v>
      </c>
      <c r="F73" s="47">
        <f>SUM(H73:S73)</f>
        <v>0</v>
      </c>
      <c r="G73" s="27"/>
      <c r="H73" s="37"/>
      <c r="I73" s="16"/>
      <c r="J73" s="16">
        <f>I73</f>
        <v>0</v>
      </c>
      <c r="K73" s="16">
        <f>I73</f>
        <v>0</v>
      </c>
      <c r="L73" s="16">
        <f>I73</f>
        <v>0</v>
      </c>
      <c r="M73" s="16">
        <f>I73</f>
        <v>0</v>
      </c>
      <c r="N73" s="16">
        <f>I73</f>
        <v>0</v>
      </c>
      <c r="O73" s="16">
        <f>I73</f>
        <v>0</v>
      </c>
      <c r="P73" s="16">
        <f>I73</f>
        <v>0</v>
      </c>
      <c r="Q73" s="16">
        <f>I73</f>
        <v>0</v>
      </c>
      <c r="R73" s="16">
        <f>I73</f>
        <v>0</v>
      </c>
      <c r="S73" s="16">
        <f>I73*2</f>
        <v>0</v>
      </c>
      <c r="T73" s="400">
        <f t="shared" si="22"/>
        <v>0</v>
      </c>
      <c r="U73" s="128"/>
      <c r="V73" s="128"/>
    </row>
    <row r="74" spans="1:22" s="409" customFormat="1" ht="14.25" customHeight="1" x14ac:dyDescent="0.2">
      <c r="A74" s="404" t="s">
        <v>198</v>
      </c>
      <c r="B74" s="410"/>
      <c r="C74" s="411">
        <v>226</v>
      </c>
      <c r="D74" s="412"/>
      <c r="E74" s="413"/>
      <c r="F74" s="421">
        <f t="shared" ref="F74:S74" si="23">SUM(F75:F75)</f>
        <v>4000</v>
      </c>
      <c r="G74" s="421">
        <f t="shared" si="23"/>
        <v>0</v>
      </c>
      <c r="H74" s="421">
        <f t="shared" si="23"/>
        <v>0</v>
      </c>
      <c r="I74" s="421">
        <f t="shared" si="23"/>
        <v>0</v>
      </c>
      <c r="J74" s="421">
        <f t="shared" si="23"/>
        <v>0</v>
      </c>
      <c r="K74" s="421">
        <f t="shared" si="23"/>
        <v>0</v>
      </c>
      <c r="L74" s="421">
        <f t="shared" si="23"/>
        <v>0</v>
      </c>
      <c r="M74" s="421">
        <f t="shared" si="23"/>
        <v>0</v>
      </c>
      <c r="N74" s="421">
        <f t="shared" si="23"/>
        <v>0</v>
      </c>
      <c r="O74" s="421">
        <f t="shared" si="23"/>
        <v>0</v>
      </c>
      <c r="P74" s="421">
        <f t="shared" si="23"/>
        <v>0</v>
      </c>
      <c r="Q74" s="421">
        <f t="shared" si="23"/>
        <v>4000</v>
      </c>
      <c r="R74" s="421">
        <f t="shared" si="23"/>
        <v>0</v>
      </c>
      <c r="S74" s="421">
        <f t="shared" si="23"/>
        <v>0</v>
      </c>
      <c r="T74" s="420">
        <f t="shared" si="22"/>
        <v>0</v>
      </c>
      <c r="U74" s="408"/>
    </row>
    <row r="75" spans="1:22" s="129" customFormat="1" ht="20.25" customHeight="1" x14ac:dyDescent="0.2">
      <c r="A75" s="22" t="s">
        <v>370</v>
      </c>
      <c r="B75" s="35" t="s">
        <v>371</v>
      </c>
      <c r="C75" s="34">
        <v>226</v>
      </c>
      <c r="D75" s="33" t="s">
        <v>38</v>
      </c>
      <c r="E75" s="32" t="s">
        <v>91</v>
      </c>
      <c r="F75" s="18">
        <f>'4 (2025)'!J601</f>
        <v>4000</v>
      </c>
      <c r="G75" s="27"/>
      <c r="H75" s="37"/>
      <c r="I75" s="36"/>
      <c r="J75" s="36"/>
      <c r="K75" s="36"/>
      <c r="L75" s="36"/>
      <c r="M75" s="36"/>
      <c r="N75" s="36"/>
      <c r="O75" s="36"/>
      <c r="P75" s="16"/>
      <c r="Q75" s="36">
        <f>F75</f>
        <v>4000</v>
      </c>
      <c r="R75" s="36"/>
      <c r="S75" s="36"/>
      <c r="T75" s="400">
        <f t="shared" si="22"/>
        <v>0</v>
      </c>
      <c r="U75" s="128"/>
      <c r="V75" s="128"/>
    </row>
    <row r="76" spans="1:22" s="129" customFormat="1" ht="13.15" hidden="1" customHeight="1" x14ac:dyDescent="0.2">
      <c r="A76" s="31" t="s">
        <v>197</v>
      </c>
      <c r="B76" s="31"/>
      <c r="C76" s="30">
        <v>262</v>
      </c>
      <c r="D76" s="29" t="s">
        <v>82</v>
      </c>
      <c r="E76" s="29" t="s">
        <v>82</v>
      </c>
      <c r="F76" s="28">
        <f>SUM(F77:F77)</f>
        <v>0</v>
      </c>
      <c r="G76" s="40"/>
      <c r="H76" s="28">
        <f t="shared" ref="H76:S76" si="24">SUM(H77:H77)</f>
        <v>0</v>
      </c>
      <c r="I76" s="28">
        <f t="shared" si="24"/>
        <v>0</v>
      </c>
      <c r="J76" s="28">
        <f t="shared" si="24"/>
        <v>0</v>
      </c>
      <c r="K76" s="28">
        <f t="shared" si="24"/>
        <v>0</v>
      </c>
      <c r="L76" s="28">
        <f t="shared" si="24"/>
        <v>0</v>
      </c>
      <c r="M76" s="28">
        <f t="shared" si="24"/>
        <v>0</v>
      </c>
      <c r="N76" s="28">
        <f t="shared" si="24"/>
        <v>0</v>
      </c>
      <c r="O76" s="28">
        <f t="shared" si="24"/>
        <v>0</v>
      </c>
      <c r="P76" s="28">
        <f t="shared" si="24"/>
        <v>0</v>
      </c>
      <c r="Q76" s="28">
        <f t="shared" si="24"/>
        <v>0</v>
      </c>
      <c r="R76" s="28">
        <f t="shared" si="24"/>
        <v>0</v>
      </c>
      <c r="S76" s="28">
        <f t="shared" si="24"/>
        <v>0</v>
      </c>
      <c r="T76" s="400">
        <f t="shared" si="22"/>
        <v>0</v>
      </c>
      <c r="U76" s="128"/>
    </row>
    <row r="77" spans="1:22" s="129" customFormat="1" ht="24" hidden="1" x14ac:dyDescent="0.2">
      <c r="A77" s="35" t="s">
        <v>104</v>
      </c>
      <c r="B77" s="35"/>
      <c r="C77" s="34">
        <v>262</v>
      </c>
      <c r="D77" s="33" t="s">
        <v>38</v>
      </c>
      <c r="E77" s="32" t="s">
        <v>337</v>
      </c>
      <c r="F77" s="47">
        <f>SUM(H77:S77)</f>
        <v>0</v>
      </c>
      <c r="G77" s="27"/>
      <c r="H77" s="37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400">
        <f t="shared" si="22"/>
        <v>0</v>
      </c>
      <c r="U77" s="128"/>
      <c r="V77" s="128"/>
    </row>
    <row r="78" spans="1:22" s="129" customFormat="1" ht="12" hidden="1" x14ac:dyDescent="0.2">
      <c r="A78" s="31" t="s">
        <v>196</v>
      </c>
      <c r="B78" s="31"/>
      <c r="C78" s="30">
        <v>290</v>
      </c>
      <c r="D78" s="29" t="s">
        <v>82</v>
      </c>
      <c r="E78" s="29" t="s">
        <v>82</v>
      </c>
      <c r="F78" s="28">
        <f>SUM(F79:F86)</f>
        <v>0</v>
      </c>
      <c r="G78" s="40"/>
      <c r="H78" s="28">
        <f t="shared" ref="H78:S78" si="25">SUM(H79:H86)</f>
        <v>0</v>
      </c>
      <c r="I78" s="28">
        <f t="shared" si="25"/>
        <v>0</v>
      </c>
      <c r="J78" s="28">
        <f t="shared" si="25"/>
        <v>0</v>
      </c>
      <c r="K78" s="28">
        <f t="shared" si="25"/>
        <v>0</v>
      </c>
      <c r="L78" s="28">
        <f t="shared" si="25"/>
        <v>0</v>
      </c>
      <c r="M78" s="28">
        <f t="shared" si="25"/>
        <v>0</v>
      </c>
      <c r="N78" s="28">
        <f t="shared" si="25"/>
        <v>0</v>
      </c>
      <c r="O78" s="28">
        <f t="shared" si="25"/>
        <v>0</v>
      </c>
      <c r="P78" s="28">
        <f t="shared" si="25"/>
        <v>0</v>
      </c>
      <c r="Q78" s="28">
        <f t="shared" si="25"/>
        <v>0</v>
      </c>
      <c r="R78" s="28">
        <f t="shared" si="25"/>
        <v>0</v>
      </c>
      <c r="S78" s="28">
        <f t="shared" si="25"/>
        <v>0</v>
      </c>
      <c r="T78" s="400">
        <f t="shared" si="22"/>
        <v>0</v>
      </c>
      <c r="U78" s="128"/>
      <c r="V78" s="128"/>
    </row>
    <row r="79" spans="1:22" s="129" customFormat="1" ht="12" hidden="1" x14ac:dyDescent="0.2">
      <c r="A79" s="35" t="s">
        <v>195</v>
      </c>
      <c r="B79" s="35"/>
      <c r="C79" s="34">
        <v>290</v>
      </c>
      <c r="D79" s="33" t="s">
        <v>38</v>
      </c>
      <c r="E79" s="32" t="s">
        <v>337</v>
      </c>
      <c r="F79" s="47">
        <f>SUM(H79:S79)</f>
        <v>0</v>
      </c>
      <c r="G79" s="27"/>
      <c r="H79" s="37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400">
        <f t="shared" si="22"/>
        <v>0</v>
      </c>
      <c r="U79" s="128"/>
      <c r="V79" s="128"/>
    </row>
    <row r="80" spans="1:22" s="129" customFormat="1" ht="12" hidden="1" x14ac:dyDescent="0.2">
      <c r="A80" s="35" t="s">
        <v>195</v>
      </c>
      <c r="B80" s="35"/>
      <c r="C80" s="34">
        <v>290</v>
      </c>
      <c r="D80" s="33" t="s">
        <v>38</v>
      </c>
      <c r="E80" s="32" t="s">
        <v>337</v>
      </c>
      <c r="F80" s="47">
        <f>SUM(H80:S80)</f>
        <v>0</v>
      </c>
      <c r="G80" s="27"/>
      <c r="H80" s="37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400">
        <f t="shared" si="22"/>
        <v>0</v>
      </c>
      <c r="U80" s="128"/>
      <c r="V80" s="128"/>
    </row>
    <row r="81" spans="1:22" s="129" customFormat="1" ht="12" hidden="1" x14ac:dyDescent="0.2">
      <c r="A81" s="35" t="s">
        <v>194</v>
      </c>
      <c r="B81" s="35"/>
      <c r="C81" s="34">
        <v>290</v>
      </c>
      <c r="D81" s="33" t="s">
        <v>38</v>
      </c>
      <c r="E81" s="32" t="s">
        <v>337</v>
      </c>
      <c r="F81" s="47">
        <f>SUM(H81:S81)</f>
        <v>0</v>
      </c>
      <c r="G81" s="27"/>
      <c r="H81" s="37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400">
        <f t="shared" si="22"/>
        <v>0</v>
      </c>
      <c r="U81" s="128"/>
      <c r="V81" s="128"/>
    </row>
    <row r="82" spans="1:22" s="129" customFormat="1" ht="12" hidden="1" x14ac:dyDescent="0.2">
      <c r="A82" s="35" t="s">
        <v>193</v>
      </c>
      <c r="B82" s="35"/>
      <c r="C82" s="34">
        <v>290</v>
      </c>
      <c r="D82" s="33" t="s">
        <v>38</v>
      </c>
      <c r="E82" s="32" t="s">
        <v>337</v>
      </c>
      <c r="F82" s="47">
        <f>SUM(H82:S82)</f>
        <v>0</v>
      </c>
      <c r="G82" s="27"/>
      <c r="H82" s="37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400">
        <f t="shared" si="22"/>
        <v>0</v>
      </c>
      <c r="U82" s="128"/>
      <c r="V82" s="128"/>
    </row>
    <row r="83" spans="1:22" s="129" customFormat="1" ht="24" hidden="1" x14ac:dyDescent="0.2">
      <c r="A83" s="35" t="s">
        <v>192</v>
      </c>
      <c r="B83" s="35"/>
      <c r="C83" s="34">
        <v>290</v>
      </c>
      <c r="D83" s="33" t="s">
        <v>38</v>
      </c>
      <c r="E83" s="32" t="s">
        <v>337</v>
      </c>
      <c r="F83" s="47">
        <f>SUM(H83:S83)</f>
        <v>0</v>
      </c>
      <c r="G83" s="27"/>
      <c r="H83" s="37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400">
        <f t="shared" si="22"/>
        <v>0</v>
      </c>
      <c r="U83" s="128"/>
      <c r="V83" s="128"/>
    </row>
    <row r="84" spans="1:22" s="129" customFormat="1" ht="12" hidden="1" x14ac:dyDescent="0.2">
      <c r="A84" s="35"/>
      <c r="B84" s="35"/>
      <c r="C84" s="34"/>
      <c r="D84" s="20"/>
      <c r="E84" s="33"/>
      <c r="F84" s="39"/>
      <c r="G84" s="27"/>
      <c r="H84" s="37"/>
      <c r="I84" s="36"/>
      <c r="J84" s="36"/>
      <c r="K84" s="37"/>
      <c r="L84" s="36"/>
      <c r="M84" s="36"/>
      <c r="N84" s="37"/>
      <c r="O84" s="36"/>
      <c r="P84" s="36"/>
      <c r="Q84" s="36"/>
      <c r="R84" s="36"/>
      <c r="S84" s="36"/>
      <c r="T84" s="400">
        <f t="shared" si="22"/>
        <v>0</v>
      </c>
      <c r="U84" s="128"/>
      <c r="V84" s="128"/>
    </row>
    <row r="85" spans="1:22" s="129" customFormat="1" ht="12" hidden="1" x14ac:dyDescent="0.2">
      <c r="A85" s="35"/>
      <c r="B85" s="35"/>
      <c r="C85" s="34"/>
      <c r="D85" s="33"/>
      <c r="E85" s="33"/>
      <c r="F85" s="39"/>
      <c r="G85" s="27"/>
      <c r="H85" s="37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400">
        <f t="shared" si="22"/>
        <v>0</v>
      </c>
      <c r="U85" s="128"/>
      <c r="V85" s="128"/>
    </row>
    <row r="86" spans="1:22" s="129" customFormat="1" ht="12" hidden="1" x14ac:dyDescent="0.2">
      <c r="A86" s="35"/>
      <c r="B86" s="35"/>
      <c r="C86" s="34"/>
      <c r="D86" s="33"/>
      <c r="E86" s="33"/>
      <c r="F86" s="39"/>
      <c r="G86" s="27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400">
        <f t="shared" si="22"/>
        <v>0</v>
      </c>
      <c r="U86" s="128"/>
      <c r="V86" s="128"/>
    </row>
    <row r="87" spans="1:22" s="129" customFormat="1" ht="12" hidden="1" x14ac:dyDescent="0.2">
      <c r="A87" s="31" t="s">
        <v>164</v>
      </c>
      <c r="B87" s="31"/>
      <c r="C87" s="30">
        <v>310</v>
      </c>
      <c r="D87" s="29" t="s">
        <v>82</v>
      </c>
      <c r="E87" s="29" t="s">
        <v>82</v>
      </c>
      <c r="F87" s="28">
        <f>F88+F98</f>
        <v>0</v>
      </c>
      <c r="G87" s="28">
        <f t="shared" ref="G87:S87" si="26">G88+G98</f>
        <v>0</v>
      </c>
      <c r="H87" s="28">
        <f t="shared" si="26"/>
        <v>0</v>
      </c>
      <c r="I87" s="28">
        <f t="shared" si="26"/>
        <v>0</v>
      </c>
      <c r="J87" s="28">
        <f t="shared" si="26"/>
        <v>0</v>
      </c>
      <c r="K87" s="28">
        <f t="shared" si="26"/>
        <v>0</v>
      </c>
      <c r="L87" s="28">
        <f t="shared" si="26"/>
        <v>0</v>
      </c>
      <c r="M87" s="28">
        <f t="shared" si="26"/>
        <v>0</v>
      </c>
      <c r="N87" s="28">
        <f t="shared" si="26"/>
        <v>0</v>
      </c>
      <c r="O87" s="28">
        <f t="shared" si="26"/>
        <v>0</v>
      </c>
      <c r="P87" s="28">
        <f t="shared" si="26"/>
        <v>0</v>
      </c>
      <c r="Q87" s="28">
        <f t="shared" si="26"/>
        <v>0</v>
      </c>
      <c r="R87" s="28">
        <f t="shared" si="26"/>
        <v>0</v>
      </c>
      <c r="S87" s="28">
        <f t="shared" si="26"/>
        <v>0</v>
      </c>
      <c r="T87" s="400">
        <f t="shared" si="22"/>
        <v>0</v>
      </c>
      <c r="U87" s="128"/>
    </row>
    <row r="88" spans="1:22" s="129" customFormat="1" ht="12" hidden="1" x14ac:dyDescent="0.2">
      <c r="A88" s="31" t="s">
        <v>203</v>
      </c>
      <c r="B88" s="31"/>
      <c r="C88" s="30"/>
      <c r="D88" s="29"/>
      <c r="E88" s="29"/>
      <c r="F88" s="28">
        <f>SUM(F89:F97)</f>
        <v>0</v>
      </c>
      <c r="G88" s="28">
        <f t="shared" ref="G88:S88" si="27">SUM(G89:G97)</f>
        <v>0</v>
      </c>
      <c r="H88" s="28">
        <f t="shared" si="27"/>
        <v>0</v>
      </c>
      <c r="I88" s="28">
        <f t="shared" si="27"/>
        <v>0</v>
      </c>
      <c r="J88" s="28">
        <f t="shared" si="27"/>
        <v>0</v>
      </c>
      <c r="K88" s="28">
        <f t="shared" si="27"/>
        <v>0</v>
      </c>
      <c r="L88" s="28">
        <f t="shared" si="27"/>
        <v>0</v>
      </c>
      <c r="M88" s="28">
        <f t="shared" si="27"/>
        <v>0</v>
      </c>
      <c r="N88" s="28">
        <f t="shared" si="27"/>
        <v>0</v>
      </c>
      <c r="O88" s="28">
        <f t="shared" si="27"/>
        <v>0</v>
      </c>
      <c r="P88" s="28">
        <f t="shared" si="27"/>
        <v>0</v>
      </c>
      <c r="Q88" s="28">
        <f t="shared" si="27"/>
        <v>0</v>
      </c>
      <c r="R88" s="28">
        <f t="shared" si="27"/>
        <v>0</v>
      </c>
      <c r="S88" s="28">
        <f t="shared" si="27"/>
        <v>0</v>
      </c>
      <c r="T88" s="400">
        <f t="shared" si="22"/>
        <v>0</v>
      </c>
      <c r="U88" s="128"/>
    </row>
    <row r="89" spans="1:22" s="129" customFormat="1" ht="12" hidden="1" x14ac:dyDescent="0.2">
      <c r="A89" s="35" t="s">
        <v>191</v>
      </c>
      <c r="B89" s="35"/>
      <c r="C89" s="34">
        <v>310</v>
      </c>
      <c r="D89" s="33" t="s">
        <v>28</v>
      </c>
      <c r="E89" s="32" t="s">
        <v>138</v>
      </c>
      <c r="F89" s="47">
        <f t="shared" ref="F89:F97" si="28">SUM(H89:S89)</f>
        <v>0</v>
      </c>
      <c r="G89" s="27"/>
      <c r="H89" s="37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400">
        <f t="shared" si="22"/>
        <v>0</v>
      </c>
      <c r="U89" s="128"/>
      <c r="V89" s="128"/>
    </row>
    <row r="90" spans="1:22" s="129" customFormat="1" ht="12" hidden="1" x14ac:dyDescent="0.2">
      <c r="A90" s="35" t="s">
        <v>375</v>
      </c>
      <c r="B90" s="35" t="s">
        <v>377</v>
      </c>
      <c r="C90" s="34">
        <v>310</v>
      </c>
      <c r="D90" s="33" t="s">
        <v>28</v>
      </c>
      <c r="E90" s="32" t="s">
        <v>138</v>
      </c>
      <c r="F90" s="47">
        <f t="shared" si="28"/>
        <v>0</v>
      </c>
      <c r="G90" s="27"/>
      <c r="H90" s="37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400">
        <f t="shared" si="22"/>
        <v>0</v>
      </c>
      <c r="U90" s="128"/>
      <c r="V90" s="128"/>
    </row>
    <row r="91" spans="1:22" s="129" customFormat="1" ht="24" hidden="1" x14ac:dyDescent="0.2">
      <c r="A91" s="35" t="s">
        <v>347</v>
      </c>
      <c r="B91" s="35" t="s">
        <v>378</v>
      </c>
      <c r="C91" s="34">
        <v>310</v>
      </c>
      <c r="D91" s="33" t="s">
        <v>28</v>
      </c>
      <c r="E91" s="32" t="s">
        <v>138</v>
      </c>
      <c r="F91" s="47">
        <f t="shared" si="28"/>
        <v>0</v>
      </c>
      <c r="G91" s="27"/>
      <c r="H91" s="37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400">
        <f t="shared" si="22"/>
        <v>0</v>
      </c>
      <c r="U91" s="128"/>
      <c r="V91" s="128"/>
    </row>
    <row r="92" spans="1:22" s="129" customFormat="1" ht="12" hidden="1" x14ac:dyDescent="0.2">
      <c r="A92" s="35" t="s">
        <v>376</v>
      </c>
      <c r="B92" s="35" t="s">
        <v>378</v>
      </c>
      <c r="C92" s="34">
        <v>310</v>
      </c>
      <c r="D92" s="33" t="s">
        <v>28</v>
      </c>
      <c r="E92" s="32" t="s">
        <v>138</v>
      </c>
      <c r="F92" s="47">
        <f t="shared" si="28"/>
        <v>0</v>
      </c>
      <c r="G92" s="27"/>
      <c r="H92" s="37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400">
        <f t="shared" si="22"/>
        <v>0</v>
      </c>
      <c r="U92" s="128"/>
      <c r="V92" s="128"/>
    </row>
    <row r="93" spans="1:22" s="129" customFormat="1" ht="12" hidden="1" x14ac:dyDescent="0.2">
      <c r="A93" s="35" t="s">
        <v>190</v>
      </c>
      <c r="B93" s="35"/>
      <c r="C93" s="34">
        <v>310</v>
      </c>
      <c r="D93" s="33" t="s">
        <v>28</v>
      </c>
      <c r="E93" s="32" t="s">
        <v>138</v>
      </c>
      <c r="F93" s="47">
        <f t="shared" si="28"/>
        <v>0</v>
      </c>
      <c r="G93" s="27"/>
      <c r="H93" s="37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400">
        <f t="shared" si="22"/>
        <v>0</v>
      </c>
      <c r="U93" s="128"/>
      <c r="V93" s="128"/>
    </row>
    <row r="94" spans="1:22" s="129" customFormat="1" ht="12" hidden="1" x14ac:dyDescent="0.2">
      <c r="A94" s="35" t="s">
        <v>374</v>
      </c>
      <c r="B94" s="35" t="s">
        <v>378</v>
      </c>
      <c r="C94" s="34">
        <v>310</v>
      </c>
      <c r="D94" s="33" t="s">
        <v>28</v>
      </c>
      <c r="E94" s="32" t="s">
        <v>138</v>
      </c>
      <c r="F94" s="47">
        <f t="shared" si="28"/>
        <v>0</v>
      </c>
      <c r="G94" s="27"/>
      <c r="H94" s="37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400">
        <f t="shared" si="22"/>
        <v>0</v>
      </c>
      <c r="U94" s="128"/>
      <c r="V94" s="128"/>
    </row>
    <row r="95" spans="1:22" s="129" customFormat="1" ht="12" hidden="1" x14ac:dyDescent="0.2">
      <c r="A95" s="35" t="s">
        <v>189</v>
      </c>
      <c r="B95" s="35"/>
      <c r="C95" s="34">
        <v>310</v>
      </c>
      <c r="D95" s="33" t="s">
        <v>28</v>
      </c>
      <c r="E95" s="32" t="s">
        <v>138</v>
      </c>
      <c r="F95" s="47">
        <f t="shared" si="28"/>
        <v>0</v>
      </c>
      <c r="G95" s="27"/>
      <c r="H95" s="37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400">
        <f t="shared" si="22"/>
        <v>0</v>
      </c>
      <c r="U95" s="128"/>
      <c r="V95" s="128"/>
    </row>
    <row r="96" spans="1:22" s="129" customFormat="1" ht="12" hidden="1" x14ac:dyDescent="0.2">
      <c r="A96" s="35" t="s">
        <v>188</v>
      </c>
      <c r="B96" s="35"/>
      <c r="C96" s="34">
        <v>310</v>
      </c>
      <c r="D96" s="33" t="s">
        <v>28</v>
      </c>
      <c r="E96" s="32" t="s">
        <v>138</v>
      </c>
      <c r="F96" s="47">
        <f t="shared" si="28"/>
        <v>0</v>
      </c>
      <c r="G96" s="27"/>
      <c r="H96" s="37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400">
        <f t="shared" si="22"/>
        <v>0</v>
      </c>
      <c r="U96" s="128"/>
      <c r="V96" s="128"/>
    </row>
    <row r="97" spans="1:23" s="129" customFormat="1" ht="12" hidden="1" x14ac:dyDescent="0.2">
      <c r="A97" s="35" t="s">
        <v>187</v>
      </c>
      <c r="B97" s="35"/>
      <c r="C97" s="34">
        <v>310</v>
      </c>
      <c r="D97" s="33" t="s">
        <v>28</v>
      </c>
      <c r="E97" s="32" t="s">
        <v>138</v>
      </c>
      <c r="F97" s="47">
        <f t="shared" si="28"/>
        <v>0</v>
      </c>
      <c r="G97" s="27"/>
      <c r="H97" s="37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400">
        <f t="shared" si="22"/>
        <v>0</v>
      </c>
      <c r="U97" s="128"/>
      <c r="V97" s="128"/>
    </row>
    <row r="98" spans="1:23" s="129" customFormat="1" ht="12" hidden="1" x14ac:dyDescent="0.2">
      <c r="A98" s="31" t="s">
        <v>202</v>
      </c>
      <c r="B98" s="31"/>
      <c r="C98" s="30"/>
      <c r="D98" s="29"/>
      <c r="E98" s="29"/>
      <c r="F98" s="28">
        <f t="shared" ref="F98:S98" si="29">SUM(F99:F107)</f>
        <v>0</v>
      </c>
      <c r="G98" s="28">
        <f t="shared" si="29"/>
        <v>0</v>
      </c>
      <c r="H98" s="28">
        <f t="shared" si="29"/>
        <v>0</v>
      </c>
      <c r="I98" s="28">
        <f t="shared" si="29"/>
        <v>0</v>
      </c>
      <c r="J98" s="28">
        <f t="shared" si="29"/>
        <v>0</v>
      </c>
      <c r="K98" s="28">
        <f t="shared" si="29"/>
        <v>0</v>
      </c>
      <c r="L98" s="28">
        <f t="shared" si="29"/>
        <v>0</v>
      </c>
      <c r="M98" s="28">
        <f t="shared" si="29"/>
        <v>0</v>
      </c>
      <c r="N98" s="28">
        <f t="shared" si="29"/>
        <v>0</v>
      </c>
      <c r="O98" s="28">
        <f t="shared" si="29"/>
        <v>0</v>
      </c>
      <c r="P98" s="28">
        <f t="shared" si="29"/>
        <v>0</v>
      </c>
      <c r="Q98" s="28">
        <f t="shared" si="29"/>
        <v>0</v>
      </c>
      <c r="R98" s="28">
        <f t="shared" si="29"/>
        <v>0</v>
      </c>
      <c r="S98" s="28">
        <f t="shared" si="29"/>
        <v>0</v>
      </c>
      <c r="T98" s="400">
        <f t="shared" si="22"/>
        <v>0</v>
      </c>
      <c r="U98" s="128"/>
    </row>
    <row r="99" spans="1:23" s="129" customFormat="1" ht="12" hidden="1" x14ac:dyDescent="0.2">
      <c r="A99" s="35" t="s">
        <v>191</v>
      </c>
      <c r="B99" s="35"/>
      <c r="C99" s="34">
        <v>310</v>
      </c>
      <c r="D99" s="33" t="s">
        <v>28</v>
      </c>
      <c r="E99" s="32" t="s">
        <v>67</v>
      </c>
      <c r="F99" s="47">
        <f t="shared" ref="F99:F107" si="30">SUM(H99:S99)</f>
        <v>0</v>
      </c>
      <c r="G99" s="27"/>
      <c r="H99" s="37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400">
        <f t="shared" si="22"/>
        <v>0</v>
      </c>
      <c r="U99" s="128"/>
      <c r="V99" s="128"/>
    </row>
    <row r="100" spans="1:23" s="129" customFormat="1" ht="12" hidden="1" x14ac:dyDescent="0.2">
      <c r="A100" s="35" t="s">
        <v>375</v>
      </c>
      <c r="B100" s="35" t="s">
        <v>377</v>
      </c>
      <c r="C100" s="34">
        <v>310</v>
      </c>
      <c r="D100" s="33" t="s">
        <v>28</v>
      </c>
      <c r="E100" s="32" t="s">
        <v>67</v>
      </c>
      <c r="F100" s="47">
        <f t="shared" si="30"/>
        <v>0</v>
      </c>
      <c r="G100" s="27"/>
      <c r="H100" s="37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400">
        <f t="shared" si="22"/>
        <v>0</v>
      </c>
      <c r="U100" s="128"/>
      <c r="V100" s="128"/>
    </row>
    <row r="101" spans="1:23" s="129" customFormat="1" ht="24" hidden="1" x14ac:dyDescent="0.2">
      <c r="A101" s="35" t="s">
        <v>347</v>
      </c>
      <c r="B101" s="35" t="s">
        <v>378</v>
      </c>
      <c r="C101" s="34">
        <v>310</v>
      </c>
      <c r="D101" s="33" t="s">
        <v>28</v>
      </c>
      <c r="E101" s="32" t="s">
        <v>67</v>
      </c>
      <c r="F101" s="47">
        <f t="shared" si="30"/>
        <v>0</v>
      </c>
      <c r="G101" s="27"/>
      <c r="H101" s="37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400">
        <f t="shared" si="22"/>
        <v>0</v>
      </c>
      <c r="U101" s="128"/>
      <c r="V101" s="128"/>
    </row>
    <row r="102" spans="1:23" s="129" customFormat="1" ht="12" hidden="1" x14ac:dyDescent="0.2">
      <c r="A102" s="35" t="s">
        <v>376</v>
      </c>
      <c r="B102" s="35" t="s">
        <v>378</v>
      </c>
      <c r="C102" s="34">
        <v>310</v>
      </c>
      <c r="D102" s="33" t="s">
        <v>28</v>
      </c>
      <c r="E102" s="32" t="s">
        <v>67</v>
      </c>
      <c r="F102" s="47">
        <f t="shared" si="30"/>
        <v>0</v>
      </c>
      <c r="G102" s="27"/>
      <c r="H102" s="37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400">
        <f t="shared" si="22"/>
        <v>0</v>
      </c>
      <c r="U102" s="128"/>
      <c r="V102" s="128"/>
    </row>
    <row r="103" spans="1:23" s="129" customFormat="1" ht="12" hidden="1" x14ac:dyDescent="0.2">
      <c r="A103" s="35" t="s">
        <v>190</v>
      </c>
      <c r="B103" s="35" t="s">
        <v>378</v>
      </c>
      <c r="C103" s="34">
        <v>310</v>
      </c>
      <c r="D103" s="33" t="s">
        <v>28</v>
      </c>
      <c r="E103" s="32" t="s">
        <v>67</v>
      </c>
      <c r="F103" s="47">
        <f t="shared" si="30"/>
        <v>0</v>
      </c>
      <c r="G103" s="27"/>
      <c r="H103" s="37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400">
        <f t="shared" si="22"/>
        <v>0</v>
      </c>
      <c r="U103" s="128"/>
      <c r="V103" s="128"/>
    </row>
    <row r="104" spans="1:23" s="129" customFormat="1" ht="12" hidden="1" x14ac:dyDescent="0.2">
      <c r="A104" s="35" t="s">
        <v>374</v>
      </c>
      <c r="B104" s="35" t="s">
        <v>379</v>
      </c>
      <c r="C104" s="34">
        <v>310</v>
      </c>
      <c r="D104" s="33" t="s">
        <v>28</v>
      </c>
      <c r="E104" s="32" t="s">
        <v>67</v>
      </c>
      <c r="F104" s="47">
        <f t="shared" si="30"/>
        <v>0</v>
      </c>
      <c r="G104" s="27"/>
      <c r="H104" s="37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400">
        <f t="shared" si="22"/>
        <v>0</v>
      </c>
      <c r="U104" s="128"/>
      <c r="V104" s="128"/>
    </row>
    <row r="105" spans="1:23" s="129" customFormat="1" ht="12" hidden="1" x14ac:dyDescent="0.2">
      <c r="A105" s="35" t="s">
        <v>189</v>
      </c>
      <c r="B105" s="35" t="s">
        <v>379</v>
      </c>
      <c r="C105" s="34">
        <v>310</v>
      </c>
      <c r="D105" s="33" t="s">
        <v>28</v>
      </c>
      <c r="E105" s="32" t="s">
        <v>67</v>
      </c>
      <c r="F105" s="47">
        <f t="shared" si="30"/>
        <v>0</v>
      </c>
      <c r="G105" s="27"/>
      <c r="H105" s="37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400">
        <f t="shared" si="22"/>
        <v>0</v>
      </c>
      <c r="U105" s="128"/>
      <c r="V105" s="128"/>
    </row>
    <row r="106" spans="1:23" s="129" customFormat="1" ht="12" hidden="1" x14ac:dyDescent="0.2">
      <c r="A106" s="35" t="s">
        <v>188</v>
      </c>
      <c r="B106" s="35"/>
      <c r="C106" s="34">
        <v>310</v>
      </c>
      <c r="D106" s="33" t="s">
        <v>28</v>
      </c>
      <c r="E106" s="32" t="s">
        <v>67</v>
      </c>
      <c r="F106" s="47">
        <f t="shared" si="30"/>
        <v>0</v>
      </c>
      <c r="G106" s="27"/>
      <c r="H106" s="37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400">
        <f t="shared" si="22"/>
        <v>0</v>
      </c>
      <c r="U106" s="128"/>
      <c r="V106" s="128"/>
    </row>
    <row r="107" spans="1:23" s="129" customFormat="1" ht="12" hidden="1" x14ac:dyDescent="0.2">
      <c r="A107" s="35" t="s">
        <v>345</v>
      </c>
      <c r="B107" s="35" t="s">
        <v>379</v>
      </c>
      <c r="C107" s="34">
        <v>310</v>
      </c>
      <c r="D107" s="33" t="s">
        <v>28</v>
      </c>
      <c r="E107" s="32" t="s">
        <v>67</v>
      </c>
      <c r="F107" s="47">
        <f t="shared" si="30"/>
        <v>0</v>
      </c>
      <c r="G107" s="27"/>
      <c r="H107" s="37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400">
        <f t="shared" si="22"/>
        <v>0</v>
      </c>
      <c r="U107" s="128"/>
      <c r="V107" s="128"/>
    </row>
    <row r="108" spans="1:23" s="409" customFormat="1" ht="13.5" customHeight="1" x14ac:dyDescent="0.2">
      <c r="A108" s="404" t="s">
        <v>691</v>
      </c>
      <c r="B108" s="404"/>
      <c r="C108" s="405">
        <v>340</v>
      </c>
      <c r="D108" s="406" t="s">
        <v>82</v>
      </c>
      <c r="E108" s="406" t="s">
        <v>82</v>
      </c>
      <c r="F108" s="407">
        <f>F109+F116</f>
        <v>0</v>
      </c>
      <c r="G108" s="407">
        <f t="shared" ref="G108:S108" si="31">G109+G116</f>
        <v>0</v>
      </c>
      <c r="H108" s="407">
        <f t="shared" si="31"/>
        <v>0</v>
      </c>
      <c r="I108" s="407">
        <f t="shared" si="31"/>
        <v>7580</v>
      </c>
      <c r="J108" s="407">
        <f t="shared" si="31"/>
        <v>7580</v>
      </c>
      <c r="K108" s="407">
        <f t="shared" si="31"/>
        <v>7580</v>
      </c>
      <c r="L108" s="407">
        <f t="shared" si="31"/>
        <v>7580</v>
      </c>
      <c r="M108" s="407">
        <f t="shared" si="31"/>
        <v>7580</v>
      </c>
      <c r="N108" s="407">
        <f t="shared" si="31"/>
        <v>7580</v>
      </c>
      <c r="O108" s="407">
        <f t="shared" si="31"/>
        <v>7580</v>
      </c>
      <c r="P108" s="407">
        <f t="shared" si="31"/>
        <v>7580</v>
      </c>
      <c r="Q108" s="407">
        <f t="shared" si="31"/>
        <v>7580</v>
      </c>
      <c r="R108" s="407">
        <f t="shared" si="31"/>
        <v>7580</v>
      </c>
      <c r="S108" s="407">
        <f t="shared" si="31"/>
        <v>15150</v>
      </c>
      <c r="T108" s="420">
        <f t="shared" si="22"/>
        <v>-90950</v>
      </c>
      <c r="U108" s="408"/>
    </row>
    <row r="109" spans="1:23" s="129" customFormat="1" ht="12" hidden="1" x14ac:dyDescent="0.2">
      <c r="A109" s="31" t="s">
        <v>203</v>
      </c>
      <c r="B109" s="31"/>
      <c r="C109" s="30"/>
      <c r="D109" s="29"/>
      <c r="E109" s="29"/>
      <c r="F109" s="28">
        <f t="shared" ref="F109:S109" si="32">SUM(F110:F115)</f>
        <v>0</v>
      </c>
      <c r="G109" s="28">
        <f t="shared" si="32"/>
        <v>0</v>
      </c>
      <c r="H109" s="28">
        <f t="shared" si="32"/>
        <v>0</v>
      </c>
      <c r="I109" s="28">
        <f t="shared" si="32"/>
        <v>0</v>
      </c>
      <c r="J109" s="28">
        <f t="shared" si="32"/>
        <v>0</v>
      </c>
      <c r="K109" s="28">
        <f t="shared" si="32"/>
        <v>0</v>
      </c>
      <c r="L109" s="28">
        <f t="shared" si="32"/>
        <v>0</v>
      </c>
      <c r="M109" s="28">
        <f t="shared" si="32"/>
        <v>0</v>
      </c>
      <c r="N109" s="28">
        <f t="shared" si="32"/>
        <v>0</v>
      </c>
      <c r="O109" s="28">
        <f t="shared" si="32"/>
        <v>0</v>
      </c>
      <c r="P109" s="28">
        <f t="shared" si="32"/>
        <v>0</v>
      </c>
      <c r="Q109" s="28">
        <f t="shared" si="32"/>
        <v>0</v>
      </c>
      <c r="R109" s="28">
        <f t="shared" si="32"/>
        <v>0</v>
      </c>
      <c r="S109" s="28">
        <f t="shared" si="32"/>
        <v>0</v>
      </c>
      <c r="T109" s="400">
        <f t="shared" si="22"/>
        <v>0</v>
      </c>
      <c r="U109" s="128"/>
    </row>
    <row r="110" spans="1:23" s="129" customFormat="1" ht="12" hidden="1" x14ac:dyDescent="0.2">
      <c r="A110" s="35" t="s">
        <v>380</v>
      </c>
      <c r="B110" s="35" t="s">
        <v>381</v>
      </c>
      <c r="C110" s="34">
        <v>346</v>
      </c>
      <c r="D110" s="33" t="s">
        <v>28</v>
      </c>
      <c r="E110" s="32" t="s">
        <v>138</v>
      </c>
      <c r="F110" s="47">
        <f t="shared" ref="F110:F115" si="33">SUM(H110:S110)</f>
        <v>0</v>
      </c>
      <c r="G110" s="27"/>
      <c r="H110" s="37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400">
        <f t="shared" si="22"/>
        <v>0</v>
      </c>
      <c r="U110" s="128"/>
      <c r="V110" s="128"/>
    </row>
    <row r="111" spans="1:23" s="129" customFormat="1" ht="12" hidden="1" x14ac:dyDescent="0.2">
      <c r="A111" s="35" t="s">
        <v>162</v>
      </c>
      <c r="B111" s="35"/>
      <c r="C111" s="34">
        <v>342</v>
      </c>
      <c r="D111" s="33" t="s">
        <v>38</v>
      </c>
      <c r="E111" s="32" t="s">
        <v>337</v>
      </c>
      <c r="F111" s="47">
        <f t="shared" si="33"/>
        <v>0</v>
      </c>
      <c r="G111" s="27"/>
      <c r="H111" s="37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400">
        <f t="shared" si="22"/>
        <v>0</v>
      </c>
      <c r="U111" s="128"/>
      <c r="V111" s="128"/>
    </row>
    <row r="112" spans="1:23" s="148" customFormat="1" ht="12" hidden="1" x14ac:dyDescent="0.2">
      <c r="A112" s="22" t="s">
        <v>184</v>
      </c>
      <c r="B112" s="22"/>
      <c r="C112" s="21">
        <v>349</v>
      </c>
      <c r="D112" s="33" t="s">
        <v>38</v>
      </c>
      <c r="E112" s="32" t="s">
        <v>337</v>
      </c>
      <c r="F112" s="47">
        <f t="shared" si="33"/>
        <v>0</v>
      </c>
      <c r="G112" s="27"/>
      <c r="H112" s="37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400">
        <f t="shared" si="22"/>
        <v>0</v>
      </c>
      <c r="U112" s="128"/>
      <c r="V112" s="128"/>
      <c r="W112" s="129"/>
    </row>
    <row r="113" spans="1:23" s="148" customFormat="1" ht="12" hidden="1" x14ac:dyDescent="0.2">
      <c r="A113" s="22" t="s">
        <v>382</v>
      </c>
      <c r="B113" s="22" t="s">
        <v>379</v>
      </c>
      <c r="C113" s="21">
        <v>346</v>
      </c>
      <c r="D113" s="33" t="s">
        <v>28</v>
      </c>
      <c r="E113" s="32" t="s">
        <v>138</v>
      </c>
      <c r="F113" s="47">
        <f t="shared" si="33"/>
        <v>0</v>
      </c>
      <c r="G113" s="27"/>
      <c r="H113" s="37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400">
        <f t="shared" si="22"/>
        <v>0</v>
      </c>
      <c r="U113" s="128"/>
      <c r="V113" s="128"/>
      <c r="W113" s="129"/>
    </row>
    <row r="114" spans="1:23" s="129" customFormat="1" ht="26.25" hidden="1" customHeight="1" x14ac:dyDescent="0.2">
      <c r="A114" s="35" t="s">
        <v>383</v>
      </c>
      <c r="B114" s="35" t="s">
        <v>379</v>
      </c>
      <c r="C114" s="34">
        <v>346</v>
      </c>
      <c r="D114" s="33" t="s">
        <v>28</v>
      </c>
      <c r="E114" s="32" t="s">
        <v>138</v>
      </c>
      <c r="F114" s="47">
        <f t="shared" si="33"/>
        <v>0</v>
      </c>
      <c r="G114" s="27"/>
      <c r="H114" s="37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400">
        <f t="shared" si="22"/>
        <v>0</v>
      </c>
      <c r="U114" s="128"/>
      <c r="V114" s="128"/>
    </row>
    <row r="115" spans="1:23" s="129" customFormat="1" ht="24" hidden="1" x14ac:dyDescent="0.2">
      <c r="A115" s="35" t="s">
        <v>182</v>
      </c>
      <c r="B115" s="35"/>
      <c r="C115" s="34">
        <v>346</v>
      </c>
      <c r="D115" s="33" t="s">
        <v>38</v>
      </c>
      <c r="E115" s="32" t="s">
        <v>337</v>
      </c>
      <c r="F115" s="47">
        <f t="shared" si="33"/>
        <v>0</v>
      </c>
      <c r="G115" s="27"/>
      <c r="H115" s="37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400">
        <f t="shared" si="22"/>
        <v>0</v>
      </c>
      <c r="U115" s="128"/>
      <c r="V115" s="128"/>
    </row>
    <row r="116" spans="1:23" s="129" customFormat="1" ht="12" hidden="1" x14ac:dyDescent="0.2">
      <c r="A116" s="31" t="s">
        <v>202</v>
      </c>
      <c r="B116" s="31"/>
      <c r="C116" s="30"/>
      <c r="D116" s="29"/>
      <c r="E116" s="29"/>
      <c r="F116" s="28">
        <f t="shared" ref="F116:S116" si="34">SUM(F117:F124)</f>
        <v>0</v>
      </c>
      <c r="G116" s="28">
        <f t="shared" si="34"/>
        <v>0</v>
      </c>
      <c r="H116" s="28">
        <f t="shared" si="34"/>
        <v>0</v>
      </c>
      <c r="I116" s="28">
        <f t="shared" si="34"/>
        <v>7580</v>
      </c>
      <c r="J116" s="28">
        <f t="shared" si="34"/>
        <v>7580</v>
      </c>
      <c r="K116" s="28">
        <f t="shared" si="34"/>
        <v>7580</v>
      </c>
      <c r="L116" s="28">
        <f t="shared" si="34"/>
        <v>7580</v>
      </c>
      <c r="M116" s="28">
        <f t="shared" si="34"/>
        <v>7580</v>
      </c>
      <c r="N116" s="28">
        <f t="shared" si="34"/>
        <v>7580</v>
      </c>
      <c r="O116" s="28">
        <f t="shared" si="34"/>
        <v>7580</v>
      </c>
      <c r="P116" s="28">
        <f t="shared" si="34"/>
        <v>7580</v>
      </c>
      <c r="Q116" s="28">
        <f t="shared" si="34"/>
        <v>7580</v>
      </c>
      <c r="R116" s="28">
        <f t="shared" si="34"/>
        <v>7580</v>
      </c>
      <c r="S116" s="28">
        <f t="shared" si="34"/>
        <v>15150</v>
      </c>
      <c r="T116" s="400">
        <f t="shared" si="22"/>
        <v>-90950</v>
      </c>
      <c r="U116" s="128"/>
    </row>
    <row r="117" spans="1:23" s="129" customFormat="1" ht="15" customHeight="1" x14ac:dyDescent="0.2">
      <c r="A117" s="166" t="s">
        <v>692</v>
      </c>
      <c r="B117" s="166" t="s">
        <v>371</v>
      </c>
      <c r="C117" s="167">
        <v>346</v>
      </c>
      <c r="D117" s="168" t="s">
        <v>38</v>
      </c>
      <c r="E117" s="169" t="s">
        <v>91</v>
      </c>
      <c r="F117" s="498">
        <f>'4 (2025)'!J776</f>
        <v>0</v>
      </c>
      <c r="G117" s="173"/>
      <c r="H117" s="171"/>
      <c r="I117" s="172">
        <v>7580</v>
      </c>
      <c r="J117" s="172">
        <f>I117</f>
        <v>7580</v>
      </c>
      <c r="K117" s="172">
        <f t="shared" ref="K117:R117" si="35">J117</f>
        <v>7580</v>
      </c>
      <c r="L117" s="172">
        <f t="shared" si="35"/>
        <v>7580</v>
      </c>
      <c r="M117" s="172">
        <f t="shared" si="35"/>
        <v>7580</v>
      </c>
      <c r="N117" s="172">
        <f t="shared" si="35"/>
        <v>7580</v>
      </c>
      <c r="O117" s="172">
        <f t="shared" si="35"/>
        <v>7580</v>
      </c>
      <c r="P117" s="172">
        <f t="shared" si="35"/>
        <v>7580</v>
      </c>
      <c r="Q117" s="172">
        <f t="shared" si="35"/>
        <v>7580</v>
      </c>
      <c r="R117" s="172">
        <f t="shared" si="35"/>
        <v>7580</v>
      </c>
      <c r="S117" s="172">
        <v>15150</v>
      </c>
      <c r="T117" s="400">
        <f t="shared" si="22"/>
        <v>-90950</v>
      </c>
      <c r="U117" s="128"/>
      <c r="V117" s="128"/>
    </row>
    <row r="118" spans="1:23" s="129" customFormat="1" ht="12" hidden="1" x14ac:dyDescent="0.2">
      <c r="A118" s="35" t="s">
        <v>185</v>
      </c>
      <c r="B118" s="35" t="s">
        <v>371</v>
      </c>
      <c r="C118" s="34">
        <v>343</v>
      </c>
      <c r="D118" s="33" t="s">
        <v>38</v>
      </c>
      <c r="E118" s="32" t="s">
        <v>91</v>
      </c>
      <c r="F118" s="47">
        <f t="shared" ref="F118:F124" si="36">SUM(H118:S118)</f>
        <v>0</v>
      </c>
      <c r="G118" s="27"/>
      <c r="H118" s="37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400">
        <f t="shared" si="22"/>
        <v>0</v>
      </c>
      <c r="U118" s="128"/>
      <c r="V118" s="128"/>
    </row>
    <row r="119" spans="1:23" s="129" customFormat="1" ht="12" hidden="1" x14ac:dyDescent="0.2">
      <c r="A119" s="35" t="s">
        <v>380</v>
      </c>
      <c r="B119" s="35" t="s">
        <v>379</v>
      </c>
      <c r="C119" s="34">
        <v>346</v>
      </c>
      <c r="D119" s="33" t="s">
        <v>28</v>
      </c>
      <c r="E119" s="32" t="s">
        <v>67</v>
      </c>
      <c r="F119" s="47">
        <f t="shared" si="36"/>
        <v>0</v>
      </c>
      <c r="G119" s="27"/>
      <c r="H119" s="37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400">
        <f t="shared" si="22"/>
        <v>0</v>
      </c>
      <c r="U119" s="128"/>
      <c r="V119" s="128"/>
    </row>
    <row r="120" spans="1:23" s="148" customFormat="1" ht="12" hidden="1" x14ac:dyDescent="0.2">
      <c r="A120" s="22" t="s">
        <v>184</v>
      </c>
      <c r="B120" s="22"/>
      <c r="C120" s="34">
        <v>346</v>
      </c>
      <c r="D120" s="33" t="s">
        <v>28</v>
      </c>
      <c r="E120" s="32" t="s">
        <v>67</v>
      </c>
      <c r="F120" s="47">
        <f t="shared" si="36"/>
        <v>0</v>
      </c>
      <c r="G120" s="27"/>
      <c r="H120" s="37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400">
        <f t="shared" si="22"/>
        <v>0</v>
      </c>
      <c r="U120" s="128"/>
      <c r="V120" s="128"/>
      <c r="W120" s="129"/>
    </row>
    <row r="121" spans="1:23" s="148" customFormat="1" ht="12" hidden="1" x14ac:dyDescent="0.2">
      <c r="A121" s="22" t="s">
        <v>183</v>
      </c>
      <c r="B121" s="22"/>
      <c r="C121" s="34">
        <v>346</v>
      </c>
      <c r="D121" s="33" t="s">
        <v>28</v>
      </c>
      <c r="E121" s="32" t="s">
        <v>67</v>
      </c>
      <c r="F121" s="47">
        <f t="shared" si="36"/>
        <v>0</v>
      </c>
      <c r="G121" s="27"/>
      <c r="H121" s="37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400">
        <f t="shared" si="22"/>
        <v>0</v>
      </c>
      <c r="U121" s="128"/>
      <c r="V121" s="128"/>
      <c r="W121" s="129"/>
    </row>
    <row r="122" spans="1:23" s="129" customFormat="1" ht="12" hidden="1" x14ac:dyDescent="0.2">
      <c r="A122" s="22" t="s">
        <v>382</v>
      </c>
      <c r="B122" s="35" t="s">
        <v>379</v>
      </c>
      <c r="C122" s="34">
        <v>346</v>
      </c>
      <c r="D122" s="33" t="s">
        <v>28</v>
      </c>
      <c r="E122" s="32" t="s">
        <v>67</v>
      </c>
      <c r="F122" s="47">
        <f t="shared" si="36"/>
        <v>0</v>
      </c>
      <c r="G122" s="27"/>
      <c r="H122" s="37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400">
        <f t="shared" si="22"/>
        <v>0</v>
      </c>
      <c r="U122" s="128"/>
      <c r="V122" s="128"/>
    </row>
    <row r="123" spans="1:23" s="129" customFormat="1" ht="24" hidden="1" x14ac:dyDescent="0.2">
      <c r="A123" s="35" t="s">
        <v>383</v>
      </c>
      <c r="B123" s="35" t="s">
        <v>379</v>
      </c>
      <c r="C123" s="34">
        <v>346</v>
      </c>
      <c r="D123" s="33" t="s">
        <v>28</v>
      </c>
      <c r="E123" s="32" t="s">
        <v>67</v>
      </c>
      <c r="F123" s="47">
        <f t="shared" si="36"/>
        <v>0</v>
      </c>
      <c r="G123" s="27"/>
      <c r="H123" s="37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400">
        <f t="shared" si="22"/>
        <v>0</v>
      </c>
      <c r="U123" s="128"/>
      <c r="V123" s="128"/>
    </row>
    <row r="124" spans="1:23" s="129" customFormat="1" ht="12" hidden="1" x14ac:dyDescent="0.2">
      <c r="A124" s="35" t="s">
        <v>348</v>
      </c>
      <c r="B124" s="35" t="s">
        <v>379</v>
      </c>
      <c r="C124" s="34">
        <v>346</v>
      </c>
      <c r="D124" s="33" t="s">
        <v>28</v>
      </c>
      <c r="E124" s="32" t="s">
        <v>67</v>
      </c>
      <c r="F124" s="47">
        <f t="shared" si="36"/>
        <v>0</v>
      </c>
      <c r="G124" s="27"/>
      <c r="H124" s="37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400">
        <f t="shared" si="22"/>
        <v>0</v>
      </c>
      <c r="U124" s="128"/>
      <c r="V124" s="128"/>
    </row>
    <row r="125" spans="1:23" s="402" customFormat="1" ht="15.75" x14ac:dyDescent="0.25">
      <c r="A125" s="396" t="s">
        <v>181</v>
      </c>
      <c r="B125" s="396"/>
      <c r="C125" s="397"/>
      <c r="D125" s="398"/>
      <c r="E125" s="398"/>
      <c r="F125" s="399" t="e">
        <f>F149+F164</f>
        <v>#REF!</v>
      </c>
      <c r="G125" s="399">
        <f>G129+G143+G149+G159+G127+G139+G162+G166+G146+G164</f>
        <v>0</v>
      </c>
      <c r="H125" s="399">
        <f>H149+H164</f>
        <v>0</v>
      </c>
      <c r="I125" s="399">
        <f t="shared" ref="I125:S125" si="37">I149+I164</f>
        <v>0</v>
      </c>
      <c r="J125" s="399" t="e">
        <f t="shared" si="37"/>
        <v>#REF!</v>
      </c>
      <c r="K125" s="399">
        <f t="shared" si="37"/>
        <v>0</v>
      </c>
      <c r="L125" s="399" t="e">
        <f t="shared" si="37"/>
        <v>#REF!</v>
      </c>
      <c r="M125" s="399">
        <f t="shared" si="37"/>
        <v>0</v>
      </c>
      <c r="N125" s="399" t="e">
        <f t="shared" si="37"/>
        <v>#REF!</v>
      </c>
      <c r="O125" s="399">
        <f t="shared" si="37"/>
        <v>0</v>
      </c>
      <c r="P125" s="399">
        <f t="shared" si="37"/>
        <v>0</v>
      </c>
      <c r="Q125" s="399">
        <f t="shared" si="37"/>
        <v>0</v>
      </c>
      <c r="R125" s="399">
        <f t="shared" si="37"/>
        <v>0</v>
      </c>
      <c r="S125" s="399">
        <f t="shared" si="37"/>
        <v>0</v>
      </c>
      <c r="T125" s="400" t="e">
        <f t="shared" si="22"/>
        <v>#REF!</v>
      </c>
      <c r="U125" s="401"/>
      <c r="W125" s="403"/>
    </row>
    <row r="126" spans="1:23" s="129" customFormat="1" ht="12" x14ac:dyDescent="0.2">
      <c r="A126" s="43" t="s">
        <v>30</v>
      </c>
      <c r="B126" s="43"/>
      <c r="C126" s="21"/>
      <c r="D126" s="44"/>
      <c r="E126" s="44"/>
      <c r="F126" s="18"/>
      <c r="G126" s="27"/>
      <c r="H126" s="17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400">
        <f t="shared" si="22"/>
        <v>0</v>
      </c>
      <c r="U126" s="128"/>
    </row>
    <row r="127" spans="1:23" s="129" customFormat="1" ht="12" hidden="1" x14ac:dyDescent="0.2">
      <c r="A127" s="31" t="s">
        <v>180</v>
      </c>
      <c r="B127" s="31"/>
      <c r="C127" s="30">
        <v>211</v>
      </c>
      <c r="D127" s="29" t="s">
        <v>82</v>
      </c>
      <c r="E127" s="29" t="s">
        <v>82</v>
      </c>
      <c r="F127" s="28">
        <f>SUM(F128:F128)</f>
        <v>0</v>
      </c>
      <c r="G127" s="40"/>
      <c r="H127" s="28">
        <f t="shared" ref="H127:S127" si="38">SUM(H128:H128)</f>
        <v>0</v>
      </c>
      <c r="I127" s="28">
        <f t="shared" si="38"/>
        <v>0</v>
      </c>
      <c r="J127" s="28">
        <f t="shared" si="38"/>
        <v>0</v>
      </c>
      <c r="K127" s="28">
        <f t="shared" si="38"/>
        <v>0</v>
      </c>
      <c r="L127" s="28">
        <f t="shared" si="38"/>
        <v>0</v>
      </c>
      <c r="M127" s="28">
        <f t="shared" si="38"/>
        <v>0</v>
      </c>
      <c r="N127" s="28">
        <f t="shared" si="38"/>
        <v>0</v>
      </c>
      <c r="O127" s="28">
        <f t="shared" si="38"/>
        <v>0</v>
      </c>
      <c r="P127" s="28">
        <f t="shared" si="38"/>
        <v>0</v>
      </c>
      <c r="Q127" s="28">
        <f t="shared" si="38"/>
        <v>0</v>
      </c>
      <c r="R127" s="28">
        <f t="shared" si="38"/>
        <v>0</v>
      </c>
      <c r="S127" s="28">
        <f t="shared" si="38"/>
        <v>0</v>
      </c>
      <c r="T127" s="400">
        <f t="shared" si="22"/>
        <v>0</v>
      </c>
      <c r="U127" s="128"/>
    </row>
    <row r="128" spans="1:23" s="129" customFormat="1" ht="12" hidden="1" x14ac:dyDescent="0.2">
      <c r="A128" s="43" t="s">
        <v>179</v>
      </c>
      <c r="B128" s="43"/>
      <c r="C128" s="21">
        <v>211</v>
      </c>
      <c r="D128" s="33" t="s">
        <v>38</v>
      </c>
      <c r="E128" s="32" t="s">
        <v>337</v>
      </c>
      <c r="F128" s="47">
        <f>SUM(H128:S128)</f>
        <v>0</v>
      </c>
      <c r="G128" s="27"/>
      <c r="H128" s="37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400">
        <f t="shared" si="22"/>
        <v>0</v>
      </c>
      <c r="U128" s="128"/>
      <c r="V128" s="128"/>
    </row>
    <row r="129" spans="1:46" s="129" customFormat="1" ht="12" hidden="1" x14ac:dyDescent="0.2">
      <c r="A129" s="31" t="s">
        <v>178</v>
      </c>
      <c r="B129" s="31"/>
      <c r="C129" s="30">
        <v>212</v>
      </c>
      <c r="D129" s="29" t="s">
        <v>82</v>
      </c>
      <c r="E129" s="41" t="s">
        <v>82</v>
      </c>
      <c r="F129" s="28">
        <f t="shared" ref="F129:S129" si="39">SUM(F130:F138)</f>
        <v>0</v>
      </c>
      <c r="G129" s="28">
        <f t="shared" si="39"/>
        <v>0</v>
      </c>
      <c r="H129" s="28">
        <f t="shared" si="39"/>
        <v>0</v>
      </c>
      <c r="I129" s="28">
        <f t="shared" si="39"/>
        <v>0</v>
      </c>
      <c r="J129" s="28">
        <f t="shared" si="39"/>
        <v>0</v>
      </c>
      <c r="K129" s="28">
        <f t="shared" si="39"/>
        <v>0</v>
      </c>
      <c r="L129" s="28">
        <f t="shared" si="39"/>
        <v>0</v>
      </c>
      <c r="M129" s="28">
        <f t="shared" si="39"/>
        <v>0</v>
      </c>
      <c r="N129" s="28">
        <f t="shared" si="39"/>
        <v>0</v>
      </c>
      <c r="O129" s="28">
        <f t="shared" si="39"/>
        <v>0</v>
      </c>
      <c r="P129" s="28">
        <f t="shared" si="39"/>
        <v>0</v>
      </c>
      <c r="Q129" s="28">
        <f t="shared" si="39"/>
        <v>0</v>
      </c>
      <c r="R129" s="28">
        <f t="shared" si="39"/>
        <v>0</v>
      </c>
      <c r="S129" s="28">
        <f t="shared" si="39"/>
        <v>0</v>
      </c>
      <c r="T129" s="400">
        <f t="shared" si="22"/>
        <v>0</v>
      </c>
      <c r="U129" s="128"/>
    </row>
    <row r="130" spans="1:46" s="129" customFormat="1" ht="12" hidden="1" x14ac:dyDescent="0.2">
      <c r="A130" s="35" t="s">
        <v>177</v>
      </c>
      <c r="B130" s="35"/>
      <c r="C130" s="34">
        <v>212</v>
      </c>
      <c r="D130" s="33" t="s">
        <v>38</v>
      </c>
      <c r="E130" s="32" t="s">
        <v>337</v>
      </c>
      <c r="F130" s="47">
        <f t="shared" ref="F130:F138" si="40">SUM(H130:S130)</f>
        <v>0</v>
      </c>
      <c r="G130" s="27"/>
      <c r="H130" s="37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400">
        <f t="shared" si="22"/>
        <v>0</v>
      </c>
      <c r="U130" s="128"/>
      <c r="V130" s="128"/>
    </row>
    <row r="131" spans="1:46" s="148" customFormat="1" ht="24" hidden="1" x14ac:dyDescent="0.2">
      <c r="A131" s="22" t="s">
        <v>386</v>
      </c>
      <c r="B131" s="22"/>
      <c r="C131" s="21">
        <v>214</v>
      </c>
      <c r="D131" s="33" t="s">
        <v>62</v>
      </c>
      <c r="E131" s="32" t="s">
        <v>337</v>
      </c>
      <c r="F131" s="47">
        <f t="shared" si="40"/>
        <v>0</v>
      </c>
      <c r="G131" s="27"/>
      <c r="H131" s="37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400">
        <f t="shared" si="22"/>
        <v>0</v>
      </c>
      <c r="U131" s="128"/>
      <c r="V131" s="128"/>
      <c r="W131" s="129"/>
    </row>
    <row r="132" spans="1:46" s="148" customFormat="1" ht="24" hidden="1" x14ac:dyDescent="0.2">
      <c r="A132" s="22" t="s">
        <v>387</v>
      </c>
      <c r="B132" s="22"/>
      <c r="C132" s="21">
        <v>214</v>
      </c>
      <c r="D132" s="33" t="s">
        <v>62</v>
      </c>
      <c r="E132" s="32" t="s">
        <v>91</v>
      </c>
      <c r="F132" s="47">
        <f t="shared" si="40"/>
        <v>0</v>
      </c>
      <c r="G132" s="27"/>
      <c r="H132" s="37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400">
        <f t="shared" ref="T132:T171" si="41">F132-H132-I132-J132-K132-L132-M132-N132-O132-P132-Q132-R132-S132</f>
        <v>0</v>
      </c>
      <c r="U132" s="128"/>
      <c r="V132" s="128"/>
      <c r="W132" s="129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</row>
    <row r="133" spans="1:46" s="148" customFormat="1" ht="12" hidden="1" x14ac:dyDescent="0.2">
      <c r="A133" s="22" t="s">
        <v>176</v>
      </c>
      <c r="B133" s="22"/>
      <c r="C133" s="21">
        <v>214</v>
      </c>
      <c r="D133" s="33" t="s">
        <v>62</v>
      </c>
      <c r="E133" s="32" t="s">
        <v>337</v>
      </c>
      <c r="F133" s="47">
        <f t="shared" si="40"/>
        <v>0</v>
      </c>
      <c r="G133" s="27"/>
      <c r="H133" s="37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400">
        <f t="shared" si="41"/>
        <v>0</v>
      </c>
      <c r="U133" s="128"/>
      <c r="V133" s="128"/>
      <c r="W133" s="129"/>
    </row>
    <row r="134" spans="1:46" s="148" customFormat="1" ht="24" hidden="1" x14ac:dyDescent="0.2">
      <c r="A134" s="22" t="s">
        <v>388</v>
      </c>
      <c r="B134" s="22"/>
      <c r="C134" s="21">
        <v>266</v>
      </c>
      <c r="D134" s="33" t="s">
        <v>62</v>
      </c>
      <c r="E134" s="32" t="s">
        <v>337</v>
      </c>
      <c r="F134" s="47">
        <f t="shared" si="40"/>
        <v>0</v>
      </c>
      <c r="G134" s="27"/>
      <c r="H134" s="37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400">
        <f t="shared" si="41"/>
        <v>0</v>
      </c>
      <c r="U134" s="128"/>
      <c r="V134" s="128"/>
      <c r="W134" s="129"/>
    </row>
    <row r="135" spans="1:46" s="148" customFormat="1" ht="24" hidden="1" x14ac:dyDescent="0.2">
      <c r="A135" s="22" t="s">
        <v>389</v>
      </c>
      <c r="B135" s="22"/>
      <c r="C135" s="21">
        <v>266</v>
      </c>
      <c r="D135" s="33" t="s">
        <v>62</v>
      </c>
      <c r="E135" s="32" t="s">
        <v>91</v>
      </c>
      <c r="F135" s="47">
        <f t="shared" si="40"/>
        <v>0</v>
      </c>
      <c r="G135" s="27"/>
      <c r="H135" s="37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400">
        <f t="shared" si="41"/>
        <v>0</v>
      </c>
      <c r="U135" s="128"/>
      <c r="V135" s="128"/>
      <c r="W135" s="129"/>
    </row>
    <row r="136" spans="1:46" s="148" customFormat="1" ht="12" hidden="1" x14ac:dyDescent="0.2">
      <c r="A136" s="22" t="s">
        <v>390</v>
      </c>
      <c r="B136" s="22"/>
      <c r="C136" s="21">
        <v>267</v>
      </c>
      <c r="D136" s="33" t="s">
        <v>62</v>
      </c>
      <c r="E136" s="32" t="s">
        <v>337</v>
      </c>
      <c r="F136" s="47">
        <f t="shared" si="40"/>
        <v>0</v>
      </c>
      <c r="G136" s="27"/>
      <c r="H136" s="37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400">
        <f t="shared" si="41"/>
        <v>0</v>
      </c>
      <c r="U136" s="128"/>
      <c r="V136" s="128"/>
      <c r="W136" s="129"/>
    </row>
    <row r="137" spans="1:46" s="152" customFormat="1" hidden="1" x14ac:dyDescent="0.25">
      <c r="A137" s="22" t="s">
        <v>391</v>
      </c>
      <c r="B137" s="22"/>
      <c r="C137" s="21">
        <v>267</v>
      </c>
      <c r="D137" s="33" t="s">
        <v>62</v>
      </c>
      <c r="E137" s="32" t="s">
        <v>91</v>
      </c>
      <c r="F137" s="47">
        <f t="shared" si="40"/>
        <v>0</v>
      </c>
      <c r="G137" s="27"/>
      <c r="H137" s="37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400">
        <f t="shared" si="41"/>
        <v>0</v>
      </c>
      <c r="U137" s="128"/>
      <c r="V137" s="128"/>
      <c r="W137" s="129"/>
    </row>
    <row r="138" spans="1:46" s="148" customFormat="1" ht="12" hidden="1" x14ac:dyDescent="0.2">
      <c r="A138" s="22" t="s">
        <v>175</v>
      </c>
      <c r="B138" s="22"/>
      <c r="C138" s="21">
        <v>214</v>
      </c>
      <c r="D138" s="33" t="s">
        <v>105</v>
      </c>
      <c r="E138" s="32" t="s">
        <v>91</v>
      </c>
      <c r="F138" s="47">
        <f t="shared" si="40"/>
        <v>0</v>
      </c>
      <c r="G138" s="27"/>
      <c r="H138" s="37"/>
      <c r="I138" s="37"/>
      <c r="J138" s="37"/>
      <c r="K138" s="37"/>
      <c r="L138" s="37"/>
      <c r="M138" s="37"/>
      <c r="N138" s="37"/>
      <c r="O138" s="37"/>
      <c r="P138" s="37"/>
      <c r="Q138" s="36"/>
      <c r="R138" s="36"/>
      <c r="S138" s="36"/>
      <c r="T138" s="400">
        <f t="shared" si="41"/>
        <v>0</v>
      </c>
      <c r="U138" s="128"/>
      <c r="V138" s="128"/>
      <c r="W138" s="129"/>
    </row>
    <row r="139" spans="1:46" s="129" customFormat="1" ht="13.5" hidden="1" customHeight="1" x14ac:dyDescent="0.2">
      <c r="A139" s="31" t="s">
        <v>174</v>
      </c>
      <c r="B139" s="31"/>
      <c r="C139" s="30">
        <v>213</v>
      </c>
      <c r="D139" s="29" t="s">
        <v>82</v>
      </c>
      <c r="E139" s="29" t="s">
        <v>82</v>
      </c>
      <c r="F139" s="28">
        <f>SUM(F140:F142)</f>
        <v>0</v>
      </c>
      <c r="G139" s="40"/>
      <c r="H139" s="28">
        <f t="shared" ref="H139:S139" si="42">SUM(H140:H142)</f>
        <v>0</v>
      </c>
      <c r="I139" s="28">
        <f t="shared" si="42"/>
        <v>0</v>
      </c>
      <c r="J139" s="28">
        <f t="shared" si="42"/>
        <v>0</v>
      </c>
      <c r="K139" s="28">
        <f t="shared" si="42"/>
        <v>0</v>
      </c>
      <c r="L139" s="28">
        <f t="shared" si="42"/>
        <v>0</v>
      </c>
      <c r="M139" s="28">
        <f t="shared" si="42"/>
        <v>0</v>
      </c>
      <c r="N139" s="28">
        <f t="shared" si="42"/>
        <v>0</v>
      </c>
      <c r="O139" s="28">
        <f t="shared" si="42"/>
        <v>0</v>
      </c>
      <c r="P139" s="28">
        <f t="shared" si="42"/>
        <v>0</v>
      </c>
      <c r="Q139" s="28">
        <f t="shared" si="42"/>
        <v>0</v>
      </c>
      <c r="R139" s="28">
        <f t="shared" si="42"/>
        <v>0</v>
      </c>
      <c r="S139" s="28">
        <f t="shared" si="42"/>
        <v>0</v>
      </c>
      <c r="T139" s="400">
        <f t="shared" si="41"/>
        <v>0</v>
      </c>
      <c r="U139" s="128"/>
    </row>
    <row r="140" spans="1:46" s="129" customFormat="1" ht="12" hidden="1" x14ac:dyDescent="0.2">
      <c r="A140" s="35" t="s">
        <v>392</v>
      </c>
      <c r="B140" s="35"/>
      <c r="C140" s="34">
        <v>213</v>
      </c>
      <c r="D140" s="33" t="s">
        <v>62</v>
      </c>
      <c r="E140" s="32" t="s">
        <v>337</v>
      </c>
      <c r="F140" s="47">
        <f>SUM(H140:S140)</f>
        <v>0</v>
      </c>
      <c r="G140" s="27"/>
      <c r="H140" s="37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400">
        <f t="shared" si="41"/>
        <v>0</v>
      </c>
      <c r="U140" s="128"/>
      <c r="V140" s="128"/>
    </row>
    <row r="141" spans="1:46" s="129" customFormat="1" ht="12" hidden="1" x14ac:dyDescent="0.2">
      <c r="A141" s="35" t="s">
        <v>393</v>
      </c>
      <c r="B141" s="35"/>
      <c r="C141" s="34">
        <v>213</v>
      </c>
      <c r="D141" s="33" t="s">
        <v>62</v>
      </c>
      <c r="E141" s="32" t="s">
        <v>91</v>
      </c>
      <c r="F141" s="47">
        <f>SUM(H141:S141)</f>
        <v>0</v>
      </c>
      <c r="G141" s="27"/>
      <c r="H141" s="37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400">
        <f t="shared" si="41"/>
        <v>0</v>
      </c>
      <c r="U141" s="128"/>
      <c r="V141" s="128"/>
    </row>
    <row r="142" spans="1:46" s="129" customFormat="1" ht="12" hidden="1" x14ac:dyDescent="0.2">
      <c r="A142" s="35" t="s">
        <v>173</v>
      </c>
      <c r="B142" s="35"/>
      <c r="C142" s="34">
        <v>213</v>
      </c>
      <c r="D142" s="33" t="s">
        <v>38</v>
      </c>
      <c r="E142" s="32" t="s">
        <v>337</v>
      </c>
      <c r="F142" s="47">
        <f>SUM(H142:S142)</f>
        <v>0</v>
      </c>
      <c r="G142" s="27"/>
      <c r="H142" s="37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400">
        <f t="shared" si="41"/>
        <v>0</v>
      </c>
      <c r="U142" s="128"/>
      <c r="V142" s="128"/>
    </row>
    <row r="143" spans="1:46" s="129" customFormat="1" ht="13.5" hidden="1" customHeight="1" x14ac:dyDescent="0.2">
      <c r="A143" s="31" t="s">
        <v>172</v>
      </c>
      <c r="B143" s="31"/>
      <c r="C143" s="30">
        <v>222</v>
      </c>
      <c r="D143" s="29" t="s">
        <v>82</v>
      </c>
      <c r="E143" s="29" t="s">
        <v>82</v>
      </c>
      <c r="F143" s="28">
        <f t="shared" ref="F143:S143" si="43">SUM(F144:F145)</f>
        <v>0</v>
      </c>
      <c r="G143" s="28">
        <f t="shared" si="43"/>
        <v>0</v>
      </c>
      <c r="H143" s="28">
        <f t="shared" si="43"/>
        <v>0</v>
      </c>
      <c r="I143" s="28">
        <f t="shared" si="43"/>
        <v>0</v>
      </c>
      <c r="J143" s="28">
        <f t="shared" si="43"/>
        <v>0</v>
      </c>
      <c r="K143" s="28">
        <f t="shared" si="43"/>
        <v>0</v>
      </c>
      <c r="L143" s="28">
        <f t="shared" si="43"/>
        <v>0</v>
      </c>
      <c r="M143" s="28">
        <f t="shared" si="43"/>
        <v>0</v>
      </c>
      <c r="N143" s="28">
        <f t="shared" si="43"/>
        <v>0</v>
      </c>
      <c r="O143" s="28">
        <f t="shared" si="43"/>
        <v>0</v>
      </c>
      <c r="P143" s="28">
        <f t="shared" si="43"/>
        <v>0</v>
      </c>
      <c r="Q143" s="28">
        <f t="shared" si="43"/>
        <v>0</v>
      </c>
      <c r="R143" s="28">
        <f t="shared" si="43"/>
        <v>0</v>
      </c>
      <c r="S143" s="28">
        <f t="shared" si="43"/>
        <v>0</v>
      </c>
      <c r="T143" s="400">
        <f t="shared" si="41"/>
        <v>0</v>
      </c>
      <c r="U143" s="128"/>
    </row>
    <row r="144" spans="1:46" s="129" customFormat="1" ht="48" hidden="1" x14ac:dyDescent="0.2">
      <c r="A144" s="35" t="s">
        <v>167</v>
      </c>
      <c r="B144" s="35"/>
      <c r="C144" s="34">
        <v>222</v>
      </c>
      <c r="D144" s="33" t="s">
        <v>38</v>
      </c>
      <c r="E144" s="32" t="s">
        <v>337</v>
      </c>
      <c r="F144" s="47">
        <f>SUM(H144:S144)</f>
        <v>0</v>
      </c>
      <c r="G144" s="27"/>
      <c r="H144" s="37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400">
        <f t="shared" si="41"/>
        <v>0</v>
      </c>
      <c r="U144" s="128"/>
      <c r="V144" s="128"/>
    </row>
    <row r="145" spans="1:23" s="129" customFormat="1" ht="48" hidden="1" x14ac:dyDescent="0.2">
      <c r="A145" s="35" t="s">
        <v>167</v>
      </c>
      <c r="B145" s="35"/>
      <c r="C145" s="34">
        <v>222</v>
      </c>
      <c r="D145" s="33" t="s">
        <v>38</v>
      </c>
      <c r="E145" s="32" t="s">
        <v>337</v>
      </c>
      <c r="F145" s="47">
        <f>SUM(H145:S145)</f>
        <v>0</v>
      </c>
      <c r="G145" s="27"/>
      <c r="H145" s="37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400">
        <f t="shared" si="41"/>
        <v>0</v>
      </c>
      <c r="U145" s="128"/>
      <c r="V145" s="128"/>
    </row>
    <row r="146" spans="1:23" s="129" customFormat="1" ht="14.25" hidden="1" customHeight="1" x14ac:dyDescent="0.2">
      <c r="A146" s="31" t="s">
        <v>171</v>
      </c>
      <c r="B146" s="31"/>
      <c r="C146" s="30">
        <v>225</v>
      </c>
      <c r="D146" s="29" t="s">
        <v>82</v>
      </c>
      <c r="E146" s="29" t="s">
        <v>82</v>
      </c>
      <c r="F146" s="28">
        <f t="shared" ref="F146:S146" si="44">F147+F148</f>
        <v>0</v>
      </c>
      <c r="G146" s="28">
        <f t="shared" si="44"/>
        <v>0</v>
      </c>
      <c r="H146" s="28">
        <f t="shared" si="44"/>
        <v>0</v>
      </c>
      <c r="I146" s="28">
        <f t="shared" si="44"/>
        <v>0</v>
      </c>
      <c r="J146" s="28">
        <f t="shared" si="44"/>
        <v>0</v>
      </c>
      <c r="K146" s="28">
        <f t="shared" si="44"/>
        <v>0</v>
      </c>
      <c r="L146" s="28">
        <f t="shared" si="44"/>
        <v>0</v>
      </c>
      <c r="M146" s="28">
        <f t="shared" si="44"/>
        <v>0</v>
      </c>
      <c r="N146" s="28">
        <f t="shared" si="44"/>
        <v>0</v>
      </c>
      <c r="O146" s="28">
        <f t="shared" si="44"/>
        <v>0</v>
      </c>
      <c r="P146" s="28">
        <f t="shared" si="44"/>
        <v>0</v>
      </c>
      <c r="Q146" s="28">
        <f t="shared" si="44"/>
        <v>0</v>
      </c>
      <c r="R146" s="28">
        <f t="shared" si="44"/>
        <v>0</v>
      </c>
      <c r="S146" s="28">
        <f t="shared" si="44"/>
        <v>0</v>
      </c>
      <c r="T146" s="400">
        <f t="shared" si="41"/>
        <v>0</v>
      </c>
      <c r="U146" s="128"/>
    </row>
    <row r="147" spans="1:23" s="148" customFormat="1" ht="24" hidden="1" x14ac:dyDescent="0.2">
      <c r="A147" s="22" t="s">
        <v>86</v>
      </c>
      <c r="B147" s="22"/>
      <c r="C147" s="21">
        <v>225</v>
      </c>
      <c r="D147" s="33" t="s">
        <v>38</v>
      </c>
      <c r="E147" s="32" t="s">
        <v>337</v>
      </c>
      <c r="F147" s="47">
        <f>SUM(H147:S147)</f>
        <v>0</v>
      </c>
      <c r="G147" s="27"/>
      <c r="H147" s="37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400">
        <f t="shared" si="41"/>
        <v>0</v>
      </c>
      <c r="U147" s="128"/>
      <c r="V147" s="128"/>
      <c r="W147" s="129"/>
    </row>
    <row r="148" spans="1:23" s="129" customFormat="1" ht="12" hidden="1" x14ac:dyDescent="0.2">
      <c r="A148" s="35"/>
      <c r="B148" s="35"/>
      <c r="C148" s="34"/>
      <c r="D148" s="33"/>
      <c r="E148" s="32"/>
      <c r="F148" s="38"/>
      <c r="G148" s="27"/>
      <c r="H148" s="37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400">
        <f t="shared" si="41"/>
        <v>0</v>
      </c>
      <c r="U148" s="128"/>
    </row>
    <row r="149" spans="1:23" s="428" customFormat="1" ht="14.25" customHeight="1" x14ac:dyDescent="0.2">
      <c r="A149" s="422" t="s">
        <v>170</v>
      </c>
      <c r="B149" s="422"/>
      <c r="C149" s="423">
        <v>226</v>
      </c>
      <c r="D149" s="424" t="s">
        <v>82</v>
      </c>
      <c r="E149" s="424" t="s">
        <v>82</v>
      </c>
      <c r="F149" s="425" t="e">
        <f t="shared" ref="F149:S149" si="45">SUM(F150:F158)</f>
        <v>#REF!</v>
      </c>
      <c r="G149" s="425">
        <f t="shared" si="45"/>
        <v>0</v>
      </c>
      <c r="H149" s="425">
        <f t="shared" si="45"/>
        <v>0</v>
      </c>
      <c r="I149" s="425">
        <f t="shared" si="45"/>
        <v>0</v>
      </c>
      <c r="J149" s="425" t="e">
        <f t="shared" si="45"/>
        <v>#REF!</v>
      </c>
      <c r="K149" s="425">
        <f t="shared" si="45"/>
        <v>0</v>
      </c>
      <c r="L149" s="425">
        <f t="shared" si="45"/>
        <v>0</v>
      </c>
      <c r="M149" s="425">
        <f t="shared" si="45"/>
        <v>0</v>
      </c>
      <c r="N149" s="425">
        <f t="shared" si="45"/>
        <v>0</v>
      </c>
      <c r="O149" s="425">
        <f t="shared" si="45"/>
        <v>0</v>
      </c>
      <c r="P149" s="425">
        <f t="shared" si="45"/>
        <v>0</v>
      </c>
      <c r="Q149" s="425">
        <f t="shared" si="45"/>
        <v>0</v>
      </c>
      <c r="R149" s="425">
        <f t="shared" si="45"/>
        <v>0</v>
      </c>
      <c r="S149" s="425">
        <f t="shared" si="45"/>
        <v>0</v>
      </c>
      <c r="T149" s="426" t="e">
        <f t="shared" si="41"/>
        <v>#REF!</v>
      </c>
      <c r="U149" s="427"/>
    </row>
    <row r="150" spans="1:23" s="129" customFormat="1" ht="24" hidden="1" x14ac:dyDescent="0.2">
      <c r="A150" s="22" t="s">
        <v>169</v>
      </c>
      <c r="B150" s="22"/>
      <c r="C150" s="21">
        <v>226</v>
      </c>
      <c r="D150" s="33" t="s">
        <v>38</v>
      </c>
      <c r="E150" s="32" t="s">
        <v>337</v>
      </c>
      <c r="F150" s="47">
        <f t="shared" ref="F150:F158" si="46">SUM(H150:S150)</f>
        <v>0</v>
      </c>
      <c r="G150" s="27"/>
      <c r="H150" s="37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400">
        <f t="shared" si="41"/>
        <v>0</v>
      </c>
      <c r="U150" s="128"/>
      <c r="V150" s="128"/>
    </row>
    <row r="151" spans="1:23" s="129" customFormat="1" ht="12" hidden="1" x14ac:dyDescent="0.2">
      <c r="A151" s="22" t="s">
        <v>168</v>
      </c>
      <c r="B151" s="22"/>
      <c r="C151" s="21">
        <v>226</v>
      </c>
      <c r="D151" s="33" t="s">
        <v>38</v>
      </c>
      <c r="E151" s="32" t="s">
        <v>337</v>
      </c>
      <c r="F151" s="47">
        <f t="shared" si="46"/>
        <v>0</v>
      </c>
      <c r="G151" s="27"/>
      <c r="H151" s="37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400">
        <f t="shared" si="41"/>
        <v>0</v>
      </c>
      <c r="U151" s="128"/>
      <c r="V151" s="128"/>
    </row>
    <row r="152" spans="1:23" s="129" customFormat="1" ht="12" hidden="1" x14ac:dyDescent="0.2">
      <c r="A152" s="22" t="s">
        <v>168</v>
      </c>
      <c r="B152" s="22"/>
      <c r="C152" s="21">
        <v>226</v>
      </c>
      <c r="D152" s="33" t="s">
        <v>38</v>
      </c>
      <c r="E152" s="32" t="s">
        <v>337</v>
      </c>
      <c r="F152" s="47">
        <f>SUM(H152:S152)</f>
        <v>0</v>
      </c>
      <c r="G152" s="27"/>
      <c r="H152" s="37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400">
        <f t="shared" si="41"/>
        <v>0</v>
      </c>
      <c r="U152" s="128"/>
      <c r="V152" s="128"/>
    </row>
    <row r="153" spans="1:23" s="148" customFormat="1" ht="25.5" customHeight="1" x14ac:dyDescent="0.2">
      <c r="A153" s="22" t="s">
        <v>649</v>
      </c>
      <c r="B153" s="22" t="s">
        <v>371</v>
      </c>
      <c r="C153" s="21">
        <v>226</v>
      </c>
      <c r="D153" s="20" t="s">
        <v>648</v>
      </c>
      <c r="E153" s="19" t="s">
        <v>91</v>
      </c>
      <c r="F153" s="18" t="e">
        <f>#REF!</f>
        <v>#REF!</v>
      </c>
      <c r="G153" s="18"/>
      <c r="H153" s="17"/>
      <c r="I153" s="16"/>
      <c r="J153" s="16" t="e">
        <f>F153</f>
        <v>#REF!</v>
      </c>
      <c r="K153" s="16"/>
      <c r="L153" s="16"/>
      <c r="M153" s="16"/>
      <c r="N153" s="16"/>
      <c r="O153" s="16"/>
      <c r="P153" s="16"/>
      <c r="Q153" s="16"/>
      <c r="R153" s="16"/>
      <c r="S153" s="16"/>
      <c r="T153" s="488" t="e">
        <f t="shared" si="41"/>
        <v>#REF!</v>
      </c>
      <c r="U153" s="147"/>
      <c r="V153" s="147"/>
    </row>
    <row r="154" spans="1:23" s="148" customFormat="1" ht="12" hidden="1" x14ac:dyDescent="0.2">
      <c r="A154" s="22"/>
      <c r="B154" s="22" t="s">
        <v>371</v>
      </c>
      <c r="C154" s="21">
        <v>226</v>
      </c>
      <c r="D154" s="33" t="s">
        <v>112</v>
      </c>
      <c r="E154" s="32" t="s">
        <v>113</v>
      </c>
      <c r="F154" s="47">
        <f>SUM(H154:S154)</f>
        <v>0</v>
      </c>
      <c r="G154" s="27"/>
      <c r="H154" s="37"/>
      <c r="I154" s="36"/>
      <c r="J154" s="36"/>
      <c r="K154" s="36"/>
      <c r="L154" s="36"/>
      <c r="M154" s="16"/>
      <c r="N154" s="36"/>
      <c r="O154" s="36"/>
      <c r="P154" s="36"/>
      <c r="Q154" s="36"/>
      <c r="R154" s="36"/>
      <c r="S154" s="36"/>
      <c r="T154" s="400">
        <f t="shared" si="41"/>
        <v>0</v>
      </c>
      <c r="U154" s="128"/>
      <c r="V154" s="128"/>
      <c r="W154" s="129"/>
    </row>
    <row r="155" spans="1:23" s="148" customFormat="1" ht="12" hidden="1" x14ac:dyDescent="0.2">
      <c r="A155" s="22"/>
      <c r="B155" s="22"/>
      <c r="C155" s="21">
        <v>226</v>
      </c>
      <c r="D155" s="33" t="s">
        <v>38</v>
      </c>
      <c r="E155" s="32" t="s">
        <v>337</v>
      </c>
      <c r="F155" s="47">
        <f t="shared" si="46"/>
        <v>0</v>
      </c>
      <c r="G155" s="27"/>
      <c r="H155" s="37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400">
        <f t="shared" si="41"/>
        <v>0</v>
      </c>
      <c r="U155" s="128"/>
      <c r="V155" s="128"/>
      <c r="W155" s="129"/>
    </row>
    <row r="156" spans="1:23" s="129" customFormat="1" ht="12" hidden="1" x14ac:dyDescent="0.2">
      <c r="A156" s="35"/>
      <c r="B156" s="35"/>
      <c r="C156" s="34">
        <v>226</v>
      </c>
      <c r="D156" s="33" t="s">
        <v>38</v>
      </c>
      <c r="E156" s="32" t="s">
        <v>337</v>
      </c>
      <c r="F156" s="47">
        <f t="shared" si="46"/>
        <v>0</v>
      </c>
      <c r="G156" s="27"/>
      <c r="H156" s="37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400">
        <f t="shared" si="41"/>
        <v>0</v>
      </c>
      <c r="U156" s="128"/>
      <c r="V156" s="128"/>
    </row>
    <row r="157" spans="1:23" s="129" customFormat="1" ht="12" hidden="1" x14ac:dyDescent="0.2">
      <c r="A157" s="159"/>
      <c r="B157" s="159" t="s">
        <v>371</v>
      </c>
      <c r="C157" s="160">
        <v>226</v>
      </c>
      <c r="D157" s="161" t="s">
        <v>110</v>
      </c>
      <c r="E157" s="162" t="s">
        <v>92</v>
      </c>
      <c r="F157" s="163">
        <f>SUM(H157:S157)</f>
        <v>0</v>
      </c>
      <c r="G157" s="170"/>
      <c r="H157" s="164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400">
        <f t="shared" si="41"/>
        <v>0</v>
      </c>
      <c r="U157" s="128"/>
      <c r="V157" s="128"/>
    </row>
    <row r="158" spans="1:23" s="129" customFormat="1" ht="12" hidden="1" x14ac:dyDescent="0.2">
      <c r="A158" s="22"/>
      <c r="B158" s="22"/>
      <c r="C158" s="21">
        <v>226</v>
      </c>
      <c r="D158" s="33" t="s">
        <v>355</v>
      </c>
      <c r="E158" s="32" t="s">
        <v>337</v>
      </c>
      <c r="F158" s="47">
        <f t="shared" si="46"/>
        <v>0</v>
      </c>
      <c r="G158" s="27"/>
      <c r="H158" s="37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400">
        <f t="shared" si="41"/>
        <v>0</v>
      </c>
      <c r="U158" s="128"/>
      <c r="V158" s="128"/>
    </row>
    <row r="159" spans="1:23" s="129" customFormat="1" ht="12" hidden="1" x14ac:dyDescent="0.2">
      <c r="A159" s="31" t="s">
        <v>166</v>
      </c>
      <c r="B159" s="31"/>
      <c r="C159" s="30">
        <v>296</v>
      </c>
      <c r="D159" s="29" t="s">
        <v>82</v>
      </c>
      <c r="E159" s="29" t="s">
        <v>82</v>
      </c>
      <c r="F159" s="28">
        <f t="shared" ref="F159:S159" si="47">SUM(F160:F161)</f>
        <v>0</v>
      </c>
      <c r="G159" s="28">
        <f t="shared" si="47"/>
        <v>0</v>
      </c>
      <c r="H159" s="28">
        <f t="shared" si="47"/>
        <v>0</v>
      </c>
      <c r="I159" s="28">
        <f t="shared" si="47"/>
        <v>0</v>
      </c>
      <c r="J159" s="28">
        <f t="shared" si="47"/>
        <v>0</v>
      </c>
      <c r="K159" s="28">
        <f t="shared" si="47"/>
        <v>0</v>
      </c>
      <c r="L159" s="28">
        <f t="shared" si="47"/>
        <v>0</v>
      </c>
      <c r="M159" s="28">
        <f t="shared" si="47"/>
        <v>0</v>
      </c>
      <c r="N159" s="28">
        <f t="shared" si="47"/>
        <v>0</v>
      </c>
      <c r="O159" s="28">
        <f t="shared" si="47"/>
        <v>0</v>
      </c>
      <c r="P159" s="28">
        <f t="shared" si="47"/>
        <v>0</v>
      </c>
      <c r="Q159" s="28">
        <f t="shared" si="47"/>
        <v>0</v>
      </c>
      <c r="R159" s="28">
        <f t="shared" si="47"/>
        <v>0</v>
      </c>
      <c r="S159" s="28">
        <f t="shared" si="47"/>
        <v>0</v>
      </c>
      <c r="T159" s="400">
        <f t="shared" si="41"/>
        <v>0</v>
      </c>
      <c r="U159" s="128"/>
    </row>
    <row r="160" spans="1:23" s="129" customFormat="1" ht="24" hidden="1" x14ac:dyDescent="0.2">
      <c r="A160" s="22" t="s">
        <v>394</v>
      </c>
      <c r="B160" s="22"/>
      <c r="C160" s="21">
        <v>296</v>
      </c>
      <c r="D160" s="33" t="s">
        <v>102</v>
      </c>
      <c r="E160" s="32" t="s">
        <v>337</v>
      </c>
      <c r="F160" s="47">
        <f>SUM(H160:S160)</f>
        <v>0</v>
      </c>
      <c r="G160" s="27"/>
      <c r="H160" s="37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400">
        <f t="shared" si="41"/>
        <v>0</v>
      </c>
      <c r="U160" s="128"/>
      <c r="V160" s="128"/>
    </row>
    <row r="161" spans="1:23" s="129" customFormat="1" ht="24" hidden="1" x14ac:dyDescent="0.2">
      <c r="A161" s="22" t="s">
        <v>395</v>
      </c>
      <c r="B161" s="15"/>
      <c r="C161" s="14">
        <v>296</v>
      </c>
      <c r="D161" s="33" t="s">
        <v>102</v>
      </c>
      <c r="E161" s="32" t="s">
        <v>91</v>
      </c>
      <c r="F161" s="47">
        <f>SUM(H161:S161)</f>
        <v>0</v>
      </c>
      <c r="G161" s="27"/>
      <c r="H161" s="37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400">
        <f t="shared" si="41"/>
        <v>0</v>
      </c>
      <c r="U161" s="128"/>
      <c r="V161" s="128"/>
    </row>
    <row r="162" spans="1:23" s="150" customFormat="1" ht="12" hidden="1" x14ac:dyDescent="0.2">
      <c r="A162" s="26" t="s">
        <v>165</v>
      </c>
      <c r="B162" s="25"/>
      <c r="C162" s="13">
        <v>349</v>
      </c>
      <c r="D162" s="24"/>
      <c r="E162" s="24"/>
      <c r="F162" s="23">
        <f t="shared" ref="F162:S162" si="48">F163</f>
        <v>0</v>
      </c>
      <c r="G162" s="23">
        <f t="shared" si="48"/>
        <v>0</v>
      </c>
      <c r="H162" s="23">
        <f t="shared" si="48"/>
        <v>0</v>
      </c>
      <c r="I162" s="23">
        <f t="shared" si="48"/>
        <v>0</v>
      </c>
      <c r="J162" s="23">
        <f t="shared" si="48"/>
        <v>0</v>
      </c>
      <c r="K162" s="23">
        <f t="shared" si="48"/>
        <v>0</v>
      </c>
      <c r="L162" s="23">
        <f t="shared" si="48"/>
        <v>0</v>
      </c>
      <c r="M162" s="23">
        <f t="shared" si="48"/>
        <v>0</v>
      </c>
      <c r="N162" s="23">
        <f t="shared" si="48"/>
        <v>0</v>
      </c>
      <c r="O162" s="23">
        <f t="shared" si="48"/>
        <v>0</v>
      </c>
      <c r="P162" s="23">
        <f t="shared" si="48"/>
        <v>0</v>
      </c>
      <c r="Q162" s="23">
        <f t="shared" si="48"/>
        <v>0</v>
      </c>
      <c r="R162" s="23">
        <f t="shared" si="48"/>
        <v>0</v>
      </c>
      <c r="S162" s="23">
        <f t="shared" si="48"/>
        <v>0</v>
      </c>
      <c r="T162" s="400">
        <f t="shared" si="41"/>
        <v>0</v>
      </c>
      <c r="U162" s="149"/>
    </row>
    <row r="163" spans="1:23" s="148" customFormat="1" ht="14.45" hidden="1" customHeight="1" x14ac:dyDescent="0.2">
      <c r="A163" s="15" t="s">
        <v>396</v>
      </c>
      <c r="B163" s="15"/>
      <c r="C163" s="14">
        <v>349</v>
      </c>
      <c r="D163" s="33" t="s">
        <v>38</v>
      </c>
      <c r="E163" s="32" t="s">
        <v>337</v>
      </c>
      <c r="F163" s="47">
        <f>SUM(H163:S163)</f>
        <v>0</v>
      </c>
      <c r="G163" s="27"/>
      <c r="H163" s="37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400">
        <f t="shared" si="41"/>
        <v>0</v>
      </c>
      <c r="U163" s="128"/>
      <c r="V163" s="128"/>
      <c r="W163" s="129"/>
    </row>
    <row r="164" spans="1:23" s="409" customFormat="1" ht="12" x14ac:dyDescent="0.2">
      <c r="A164" s="404" t="s">
        <v>164</v>
      </c>
      <c r="B164" s="429"/>
      <c r="C164" s="443">
        <v>310</v>
      </c>
      <c r="D164" s="430"/>
      <c r="E164" s="430"/>
      <c r="F164" s="444" t="e">
        <f>SUM(F165:F170)</f>
        <v>#REF!</v>
      </c>
      <c r="G164" s="444">
        <f t="shared" ref="G164:S164" si="49">SUM(G165:G170)</f>
        <v>0</v>
      </c>
      <c r="H164" s="444">
        <f t="shared" si="49"/>
        <v>0</v>
      </c>
      <c r="I164" s="444">
        <f t="shared" si="49"/>
        <v>0</v>
      </c>
      <c r="J164" s="444">
        <f t="shared" si="49"/>
        <v>0</v>
      </c>
      <c r="K164" s="444">
        <f t="shared" si="49"/>
        <v>0</v>
      </c>
      <c r="L164" s="444" t="e">
        <f t="shared" si="49"/>
        <v>#REF!</v>
      </c>
      <c r="M164" s="444">
        <f t="shared" si="49"/>
        <v>0</v>
      </c>
      <c r="N164" s="444" t="e">
        <f t="shared" si="49"/>
        <v>#REF!</v>
      </c>
      <c r="O164" s="444">
        <f t="shared" si="49"/>
        <v>0</v>
      </c>
      <c r="P164" s="444">
        <f t="shared" si="49"/>
        <v>0</v>
      </c>
      <c r="Q164" s="444">
        <f t="shared" si="49"/>
        <v>0</v>
      </c>
      <c r="R164" s="444">
        <f t="shared" si="49"/>
        <v>0</v>
      </c>
      <c r="S164" s="444">
        <f t="shared" si="49"/>
        <v>0</v>
      </c>
      <c r="T164" s="420" t="e">
        <f t="shared" si="41"/>
        <v>#REF!</v>
      </c>
      <c r="U164" s="408"/>
    </row>
    <row r="165" spans="1:23" s="148" customFormat="1" ht="74.25" customHeight="1" x14ac:dyDescent="0.2">
      <c r="A165" s="15" t="s">
        <v>646</v>
      </c>
      <c r="B165" s="15"/>
      <c r="C165" s="14">
        <v>310</v>
      </c>
      <c r="D165" s="20" t="s">
        <v>645</v>
      </c>
      <c r="E165" s="19" t="s">
        <v>91</v>
      </c>
      <c r="F165" s="18" t="e">
        <f>#REF!</f>
        <v>#REF!</v>
      </c>
      <c r="G165" s="18"/>
      <c r="H165" s="17"/>
      <c r="I165" s="16"/>
      <c r="J165" s="16"/>
      <c r="K165" s="16"/>
      <c r="L165" s="16" t="e">
        <f>F165</f>
        <v>#REF!</v>
      </c>
      <c r="M165" s="16"/>
      <c r="N165" s="16"/>
      <c r="O165" s="16"/>
      <c r="P165" s="16"/>
      <c r="Q165" s="16"/>
      <c r="R165" s="16"/>
      <c r="S165" s="16"/>
      <c r="T165" s="488" t="e">
        <f t="shared" si="41"/>
        <v>#REF!</v>
      </c>
      <c r="U165" s="147"/>
      <c r="V165" s="147"/>
    </row>
    <row r="166" spans="1:23" s="150" customFormat="1" ht="12" hidden="1" x14ac:dyDescent="0.2">
      <c r="A166" s="447" t="s">
        <v>163</v>
      </c>
      <c r="B166" s="447"/>
      <c r="C166" s="446"/>
      <c r="D166" s="448"/>
      <c r="E166" s="448"/>
      <c r="F166" s="449">
        <f>SUM(F167:F169)</f>
        <v>0</v>
      </c>
      <c r="G166" s="449">
        <f>G167</f>
        <v>0</v>
      </c>
      <c r="H166" s="449">
        <f t="shared" ref="H166:S166" si="50">H167+H169+H168</f>
        <v>0</v>
      </c>
      <c r="I166" s="449">
        <f t="shared" si="50"/>
        <v>0</v>
      </c>
      <c r="J166" s="449">
        <f t="shared" si="50"/>
        <v>0</v>
      </c>
      <c r="K166" s="449">
        <f t="shared" si="50"/>
        <v>0</v>
      </c>
      <c r="L166" s="449">
        <f t="shared" si="50"/>
        <v>0</v>
      </c>
      <c r="M166" s="449">
        <f t="shared" si="50"/>
        <v>0</v>
      </c>
      <c r="N166" s="449">
        <f t="shared" si="50"/>
        <v>0</v>
      </c>
      <c r="O166" s="449">
        <f t="shared" si="50"/>
        <v>0</v>
      </c>
      <c r="P166" s="449">
        <f t="shared" si="50"/>
        <v>0</v>
      </c>
      <c r="Q166" s="449">
        <f t="shared" si="50"/>
        <v>0</v>
      </c>
      <c r="R166" s="449">
        <f t="shared" si="50"/>
        <v>0</v>
      </c>
      <c r="S166" s="449">
        <f t="shared" si="50"/>
        <v>0</v>
      </c>
      <c r="T166" s="400">
        <f t="shared" si="41"/>
        <v>0</v>
      </c>
      <c r="U166" s="149"/>
    </row>
    <row r="167" spans="1:23" s="148" customFormat="1" ht="12" hidden="1" x14ac:dyDescent="0.2">
      <c r="A167" s="445" t="s">
        <v>97</v>
      </c>
      <c r="B167" s="445"/>
      <c r="C167" s="446">
        <v>340</v>
      </c>
      <c r="D167" s="438" t="s">
        <v>38</v>
      </c>
      <c r="E167" s="439" t="s">
        <v>337</v>
      </c>
      <c r="F167" s="450">
        <f>SUM(H167:S167)</f>
        <v>0</v>
      </c>
      <c r="G167" s="440"/>
      <c r="H167" s="442"/>
      <c r="I167" s="441"/>
      <c r="J167" s="441"/>
      <c r="K167" s="441"/>
      <c r="L167" s="441"/>
      <c r="M167" s="441"/>
      <c r="N167" s="441"/>
      <c r="O167" s="441"/>
      <c r="P167" s="441"/>
      <c r="Q167" s="441"/>
      <c r="R167" s="441"/>
      <c r="S167" s="441"/>
      <c r="T167" s="400">
        <f t="shared" si="41"/>
        <v>0</v>
      </c>
      <c r="U167" s="128"/>
      <c r="V167" s="128"/>
      <c r="W167" s="129"/>
    </row>
    <row r="168" spans="1:23" s="148" customFormat="1" ht="12" hidden="1" x14ac:dyDescent="0.2">
      <c r="A168" s="436" t="s">
        <v>162</v>
      </c>
      <c r="B168" s="436"/>
      <c r="C168" s="437">
        <v>342</v>
      </c>
      <c r="D168" s="438" t="s">
        <v>134</v>
      </c>
      <c r="E168" s="439" t="s">
        <v>337</v>
      </c>
      <c r="F168" s="450">
        <f>SUM(H168:S168)</f>
        <v>0</v>
      </c>
      <c r="G168" s="440"/>
      <c r="H168" s="442"/>
      <c r="I168" s="441"/>
      <c r="J168" s="441"/>
      <c r="K168" s="441"/>
      <c r="L168" s="441"/>
      <c r="M168" s="441"/>
      <c r="N168" s="441"/>
      <c r="O168" s="441"/>
      <c r="P168" s="441"/>
      <c r="Q168" s="441"/>
      <c r="R168" s="441"/>
      <c r="S168" s="441"/>
      <c r="T168" s="400">
        <f t="shared" si="41"/>
        <v>0</v>
      </c>
      <c r="U168" s="128"/>
      <c r="V168" s="128"/>
      <c r="W168" s="129"/>
    </row>
    <row r="169" spans="1:23" s="148" customFormat="1" ht="12" hidden="1" x14ac:dyDescent="0.2">
      <c r="A169" s="445" t="s">
        <v>161</v>
      </c>
      <c r="B169" s="445"/>
      <c r="C169" s="446">
        <v>340</v>
      </c>
      <c r="D169" s="438" t="s">
        <v>38</v>
      </c>
      <c r="E169" s="439" t="s">
        <v>337</v>
      </c>
      <c r="F169" s="450">
        <f>SUM(H169:S169)</f>
        <v>0</v>
      </c>
      <c r="G169" s="440"/>
      <c r="H169" s="442"/>
      <c r="I169" s="441"/>
      <c r="J169" s="441"/>
      <c r="K169" s="441"/>
      <c r="L169" s="441"/>
      <c r="M169" s="441"/>
      <c r="N169" s="441"/>
      <c r="O169" s="441"/>
      <c r="P169" s="441"/>
      <c r="Q169" s="441"/>
      <c r="R169" s="441"/>
      <c r="S169" s="441"/>
      <c r="T169" s="400">
        <f t="shared" si="41"/>
        <v>0</v>
      </c>
      <c r="U169" s="128"/>
      <c r="V169" s="128"/>
      <c r="W169" s="129"/>
    </row>
    <row r="170" spans="1:23" s="148" customFormat="1" ht="41.25" customHeight="1" x14ac:dyDescent="0.2">
      <c r="A170" s="489" t="s">
        <v>647</v>
      </c>
      <c r="B170" s="489"/>
      <c r="C170" s="490">
        <v>310</v>
      </c>
      <c r="D170" s="491" t="s">
        <v>648</v>
      </c>
      <c r="E170" s="492" t="s">
        <v>91</v>
      </c>
      <c r="F170" s="493" t="e">
        <f>#REF!</f>
        <v>#REF!</v>
      </c>
      <c r="G170" s="493"/>
      <c r="H170" s="494"/>
      <c r="I170" s="495"/>
      <c r="J170" s="495"/>
      <c r="K170" s="495"/>
      <c r="L170" s="495"/>
      <c r="M170" s="495"/>
      <c r="N170" s="495" t="e">
        <f>F170</f>
        <v>#REF!</v>
      </c>
      <c r="O170" s="495"/>
      <c r="P170" s="495"/>
      <c r="Q170" s="495"/>
      <c r="R170" s="495"/>
      <c r="S170" s="495"/>
      <c r="T170" s="488" t="e">
        <f t="shared" si="41"/>
        <v>#REF!</v>
      </c>
      <c r="U170" s="147"/>
      <c r="V170" s="147"/>
    </row>
    <row r="171" spans="1:23" s="402" customFormat="1" ht="12" x14ac:dyDescent="0.2">
      <c r="A171" s="431" t="s">
        <v>160</v>
      </c>
      <c r="B171" s="431"/>
      <c r="C171" s="432"/>
      <c r="D171" s="433"/>
      <c r="E171" s="433"/>
      <c r="F171" s="434" t="e">
        <f>F7+F125</f>
        <v>#REF!</v>
      </c>
      <c r="G171" s="434">
        <f t="shared" ref="G171:S171" si="51">G7+G125</f>
        <v>0</v>
      </c>
      <c r="H171" s="434">
        <f t="shared" si="51"/>
        <v>101787.39</v>
      </c>
      <c r="I171" s="434">
        <f t="shared" si="51"/>
        <v>404041.43</v>
      </c>
      <c r="J171" s="434" t="e">
        <f t="shared" si="51"/>
        <v>#REF!</v>
      </c>
      <c r="K171" s="434">
        <f t="shared" si="51"/>
        <v>327984.33</v>
      </c>
      <c r="L171" s="434" t="e">
        <f t="shared" si="51"/>
        <v>#REF!</v>
      </c>
      <c r="M171" s="434">
        <f t="shared" si="51"/>
        <v>189999.33</v>
      </c>
      <c r="N171" s="434" t="e">
        <f t="shared" si="51"/>
        <v>#REF!</v>
      </c>
      <c r="O171" s="434">
        <f t="shared" si="51"/>
        <v>368239.33</v>
      </c>
      <c r="P171" s="434" t="e">
        <f t="shared" si="51"/>
        <v>#REF!</v>
      </c>
      <c r="Q171" s="434">
        <f t="shared" si="51"/>
        <v>172773.48</v>
      </c>
      <c r="R171" s="434">
        <f t="shared" si="51"/>
        <v>240659.35</v>
      </c>
      <c r="S171" s="434">
        <f t="shared" si="51"/>
        <v>195623.77</v>
      </c>
      <c r="T171" s="400" t="e">
        <f t="shared" si="41"/>
        <v>#REF!</v>
      </c>
      <c r="U171" s="403"/>
    </row>
    <row r="172" spans="1:23" x14ac:dyDescent="0.25">
      <c r="A172" s="12"/>
      <c r="B172" s="12"/>
      <c r="C172" s="11"/>
      <c r="D172" s="10"/>
      <c r="E172" s="10"/>
      <c r="F172" s="9"/>
      <c r="G172" s="8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6"/>
    </row>
    <row r="173" spans="1:23" s="143" customFormat="1" ht="15.75" x14ac:dyDescent="0.25">
      <c r="A173" s="2611" t="s">
        <v>356</v>
      </c>
      <c r="B173" s="2611"/>
      <c r="C173" s="2611"/>
      <c r="D173" s="2611"/>
      <c r="E173" s="139"/>
      <c r="F173" s="130" t="e">
        <f>F171='[23]Бюджет в ДО 2019'!H1595</f>
        <v>#REF!</v>
      </c>
      <c r="G173" s="131"/>
      <c r="H173" s="132"/>
      <c r="I173" s="133"/>
      <c r="J173" s="144"/>
      <c r="K173" s="144"/>
      <c r="L173" s="144"/>
      <c r="M173" s="144"/>
      <c r="N173" s="133"/>
      <c r="O173" s="133"/>
      <c r="P173" s="133"/>
      <c r="Q173" s="2601" t="s">
        <v>357</v>
      </c>
      <c r="R173" s="2602"/>
      <c r="S173" s="2601"/>
      <c r="T173" s="2602"/>
    </row>
    <row r="174" spans="1:23" s="143" customFormat="1" ht="15.75" x14ac:dyDescent="0.25">
      <c r="A174" s="141"/>
      <c r="B174" s="141"/>
      <c r="C174" s="134"/>
      <c r="D174" s="139"/>
      <c r="E174" s="139"/>
      <c r="F174" s="130" t="e">
        <f>F171-'[23]Бюджет в ДО 2019'!H1595</f>
        <v>#REF!</v>
      </c>
      <c r="G174" s="131"/>
      <c r="H174" s="132"/>
      <c r="I174" s="133"/>
      <c r="J174" s="133"/>
      <c r="K174" s="133"/>
      <c r="L174" s="133"/>
      <c r="M174" s="133"/>
      <c r="N174" s="133"/>
      <c r="O174" s="133"/>
      <c r="P174" s="133"/>
      <c r="Q174" s="133"/>
      <c r="R174" s="140"/>
      <c r="S174" s="133"/>
      <c r="T174" s="140"/>
    </row>
    <row r="175" spans="1:23" s="143" customFormat="1" ht="15.75" x14ac:dyDescent="0.25">
      <c r="A175" s="142" t="s">
        <v>159</v>
      </c>
      <c r="B175" s="142"/>
      <c r="C175" s="135"/>
      <c r="D175" s="136"/>
      <c r="E175" s="136"/>
      <c r="F175" s="137"/>
      <c r="G175" s="138"/>
      <c r="H175" s="132"/>
      <c r="I175" s="133"/>
      <c r="J175" s="144"/>
      <c r="K175" s="144"/>
      <c r="L175" s="144"/>
      <c r="M175" s="144"/>
      <c r="N175" s="133"/>
      <c r="O175" s="133"/>
      <c r="P175" s="133"/>
      <c r="Q175" s="2601" t="s">
        <v>397</v>
      </c>
      <c r="R175" s="2602"/>
      <c r="S175" s="2601"/>
      <c r="T175" s="2602"/>
    </row>
    <row r="176" spans="1:23" s="143" customFormat="1" ht="15.75" x14ac:dyDescent="0.25">
      <c r="G176" s="153"/>
    </row>
    <row r="177" spans="1:20" s="143" customFormat="1" ht="15.75" x14ac:dyDescent="0.25">
      <c r="A177" s="143" t="s">
        <v>239</v>
      </c>
      <c r="F177" s="154"/>
      <c r="G177" s="154"/>
      <c r="H177" s="154"/>
      <c r="I177" s="154"/>
      <c r="J177" s="155"/>
      <c r="K177" s="155"/>
      <c r="L177" s="155"/>
      <c r="M177" s="155"/>
      <c r="N177" s="154"/>
      <c r="O177" s="154"/>
      <c r="P177" s="154"/>
      <c r="Q177" s="2601" t="s">
        <v>620</v>
      </c>
      <c r="R177" s="2602"/>
      <c r="S177" s="2601"/>
      <c r="T177" s="2602"/>
    </row>
    <row r="178" spans="1:20" x14ac:dyDescent="0.25">
      <c r="D178" s="5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</row>
    <row r="180" spans="1:20" x14ac:dyDescent="0.25"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</row>
  </sheetData>
  <autoFilter ref="A8:AT66"/>
  <mergeCells count="29">
    <mergeCell ref="A173:D173"/>
    <mergeCell ref="H4:H5"/>
    <mergeCell ref="E3:E5"/>
    <mergeCell ref="G4:G5"/>
    <mergeCell ref="C3:C5"/>
    <mergeCell ref="A3:A5"/>
    <mergeCell ref="F3:F5"/>
    <mergeCell ref="B3:B5"/>
    <mergeCell ref="C1:R1"/>
    <mergeCell ref="T3:T5"/>
    <mergeCell ref="P4:P5"/>
    <mergeCell ref="N4:N5"/>
    <mergeCell ref="Q4:Q5"/>
    <mergeCell ref="L4:L5"/>
    <mergeCell ref="I4:I5"/>
    <mergeCell ref="M4:M5"/>
    <mergeCell ref="H3:S3"/>
    <mergeCell ref="O4:O5"/>
    <mergeCell ref="S4:S5"/>
    <mergeCell ref="R4:R5"/>
    <mergeCell ref="D3:D5"/>
    <mergeCell ref="J4:J5"/>
    <mergeCell ref="K4:K5"/>
    <mergeCell ref="Q173:R173"/>
    <mergeCell ref="Q175:R175"/>
    <mergeCell ref="Q177:R177"/>
    <mergeCell ref="S173:T173"/>
    <mergeCell ref="S175:T175"/>
    <mergeCell ref="S177:T177"/>
  </mergeCells>
  <pageMargins left="0.16" right="0.18" top="0.57999999999999996" bottom="0.32" header="0.2" footer="0.17"/>
  <pageSetup paperSize="9" scale="55" fitToHeight="10" orientation="landscape" r:id="rId1"/>
  <rowBreaks count="1" manualBreakCount="1">
    <brk id="94" max="1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view="pageBreakPreview" zoomScale="80" zoomScaleSheetLayoutView="80" workbookViewId="0">
      <selection activeCell="I19" sqref="I19:T19"/>
    </sheetView>
  </sheetViews>
  <sheetFormatPr defaultRowHeight="15" x14ac:dyDescent="0.25"/>
  <cols>
    <col min="1" max="1" width="18.28515625" customWidth="1"/>
    <col min="2" max="2" width="11.5703125" customWidth="1"/>
    <col min="3" max="3" width="17.5703125" customWidth="1"/>
    <col min="4" max="4" width="12.28515625" customWidth="1"/>
    <col min="5" max="8" width="12.28515625" style="487" customWidth="1"/>
    <col min="9" max="19" width="14.42578125" customWidth="1"/>
    <col min="20" max="20" width="16.42578125" customWidth="1"/>
    <col min="21" max="21" width="12.5703125" bestFit="1" customWidth="1"/>
    <col min="22" max="22" width="14.140625" customWidth="1"/>
  </cols>
  <sheetData>
    <row r="1" spans="1:23" s="451" customFormat="1" x14ac:dyDescent="0.25">
      <c r="A1" s="451" t="s">
        <v>657</v>
      </c>
      <c r="U1" s="452" t="s">
        <v>658</v>
      </c>
      <c r="V1" s="452" t="s">
        <v>659</v>
      </c>
      <c r="W1" s="453" t="s">
        <v>660</v>
      </c>
    </row>
    <row r="2" spans="1:23" x14ac:dyDescent="0.25">
      <c r="A2" s="2620" t="s">
        <v>661</v>
      </c>
      <c r="B2" s="2621" t="s">
        <v>650</v>
      </c>
      <c r="C2" s="2621"/>
      <c r="D2" s="2621" t="s">
        <v>662</v>
      </c>
      <c r="E2" s="2616"/>
      <c r="F2" s="2616"/>
      <c r="G2" s="2616"/>
      <c r="H2" s="2616"/>
      <c r="I2" s="2616"/>
      <c r="J2" s="2616"/>
      <c r="K2" s="2616"/>
      <c r="L2" s="2616"/>
      <c r="M2" s="2616"/>
      <c r="N2" s="2616"/>
      <c r="O2" s="2616"/>
      <c r="P2" s="2616"/>
      <c r="Q2" s="2616"/>
      <c r="R2" s="2616"/>
      <c r="S2" s="2616"/>
      <c r="T2" s="2616"/>
      <c r="U2" s="454">
        <v>1907.76</v>
      </c>
      <c r="V2" s="455">
        <v>8.0399999999999991</v>
      </c>
      <c r="W2" s="455">
        <v>728.95</v>
      </c>
    </row>
    <row r="3" spans="1:23" x14ac:dyDescent="0.25">
      <c r="A3" s="2620"/>
      <c r="B3" s="2621"/>
      <c r="C3" s="2621"/>
      <c r="D3" s="2621"/>
      <c r="E3" s="2616" t="s">
        <v>30</v>
      </c>
      <c r="F3" s="2616"/>
      <c r="G3" s="2616"/>
      <c r="H3" s="2616"/>
      <c r="I3" s="2616"/>
      <c r="J3" s="2616"/>
      <c r="K3" s="2616"/>
      <c r="L3" s="2616"/>
      <c r="M3" s="2616"/>
      <c r="N3" s="2616"/>
      <c r="O3" s="2616"/>
      <c r="P3" s="2616"/>
      <c r="Q3" s="2616"/>
      <c r="R3" s="2616"/>
      <c r="S3" s="2616"/>
      <c r="T3" s="2616"/>
      <c r="V3" s="455">
        <v>8.36</v>
      </c>
      <c r="W3" s="455">
        <v>753.75</v>
      </c>
    </row>
    <row r="4" spans="1:23" x14ac:dyDescent="0.25">
      <c r="A4" s="2620"/>
      <c r="B4" s="2621"/>
      <c r="C4" s="2621"/>
      <c r="D4" s="2621"/>
      <c r="E4" s="2622" t="s">
        <v>663</v>
      </c>
      <c r="F4" s="2623"/>
      <c r="G4" s="2623"/>
      <c r="H4" s="2624"/>
      <c r="I4" s="2616" t="s">
        <v>664</v>
      </c>
      <c r="J4" s="2616"/>
      <c r="K4" s="2616"/>
      <c r="L4" s="2616"/>
      <c r="M4" s="2616"/>
      <c r="N4" s="2616"/>
      <c r="O4" s="2616"/>
      <c r="P4" s="2616"/>
      <c r="Q4" s="2616"/>
      <c r="R4" s="2616"/>
      <c r="S4" s="2616"/>
      <c r="T4" s="2616"/>
    </row>
    <row r="5" spans="1:23" x14ac:dyDescent="0.25">
      <c r="A5" s="2620"/>
      <c r="B5" s="2621"/>
      <c r="C5" s="2621"/>
      <c r="D5" s="2621"/>
      <c r="E5" s="456" t="s">
        <v>665</v>
      </c>
      <c r="F5" s="456" t="s">
        <v>666</v>
      </c>
      <c r="G5" s="456" t="s">
        <v>667</v>
      </c>
      <c r="H5" s="456" t="s">
        <v>668</v>
      </c>
      <c r="I5" s="457" t="s">
        <v>669</v>
      </c>
      <c r="J5" s="457" t="s">
        <v>670</v>
      </c>
      <c r="K5" s="457" t="s">
        <v>671</v>
      </c>
      <c r="L5" s="457" t="s">
        <v>672</v>
      </c>
      <c r="M5" s="457" t="s">
        <v>673</v>
      </c>
      <c r="N5" s="457" t="s">
        <v>674</v>
      </c>
      <c r="O5" s="457" t="s">
        <v>675</v>
      </c>
      <c r="P5" s="457" t="s">
        <v>676</v>
      </c>
      <c r="Q5" s="457" t="s">
        <v>677</v>
      </c>
      <c r="R5" s="457" t="s">
        <v>678</v>
      </c>
      <c r="S5" s="457" t="s">
        <v>679</v>
      </c>
      <c r="T5" s="457" t="s">
        <v>680</v>
      </c>
    </row>
    <row r="6" spans="1:23" ht="30" x14ac:dyDescent="0.25">
      <c r="A6" s="458" t="s">
        <v>56</v>
      </c>
      <c r="B6" s="459">
        <f>SUM(I6:T6)</f>
        <v>964519.73</v>
      </c>
      <c r="C6" s="460" t="s">
        <v>681</v>
      </c>
      <c r="D6" s="461"/>
      <c r="E6" s="462">
        <f>SUM(E7:E8)</f>
        <v>595221.12</v>
      </c>
      <c r="F6" s="462">
        <f>SUM(F7:F8)</f>
        <v>302547.59999999998</v>
      </c>
      <c r="G6" s="462">
        <f>SUM(G7:G8)</f>
        <v>66751.009999999995</v>
      </c>
      <c r="H6" s="462">
        <f>SUM(H7:H8)</f>
        <v>0</v>
      </c>
      <c r="I6" s="463">
        <f>(150*U2)*0.8</f>
        <v>228931.20000000001</v>
      </c>
      <c r="J6" s="463">
        <f>(130*U2)*0.8</f>
        <v>198407.04000000001</v>
      </c>
      <c r="K6" s="463">
        <f>(110*U2)*0.8</f>
        <v>167882.88</v>
      </c>
      <c r="L6" s="463">
        <f>(80*U2)</f>
        <v>152620.79999999999</v>
      </c>
      <c r="M6" s="463">
        <f>(55*U2)</f>
        <v>104926.8</v>
      </c>
      <c r="N6" s="463">
        <v>45000</v>
      </c>
      <c r="O6" s="463"/>
      <c r="P6" s="463"/>
      <c r="Q6" s="463">
        <v>66751.009999999995</v>
      </c>
      <c r="R6" s="463"/>
      <c r="S6" s="463"/>
      <c r="T6" s="463"/>
      <c r="U6" s="464" t="e">
        <f>'4 (2025)'!#REF!</f>
        <v>#REF!</v>
      </c>
      <c r="V6" s="464" t="e">
        <f>U6-I6-J6-K6-L6-M6-N6-O6-P6-Q6-R6-S6-T6</f>
        <v>#REF!</v>
      </c>
      <c r="W6" s="465"/>
    </row>
    <row r="7" spans="1:23" x14ac:dyDescent="0.25">
      <c r="A7" s="466" t="s">
        <v>682</v>
      </c>
      <c r="B7" s="459">
        <f>SUM(I7:T7)</f>
        <v>289355.90999999997</v>
      </c>
      <c r="C7" s="467" t="s">
        <v>683</v>
      </c>
      <c r="D7" s="468">
        <v>0.3</v>
      </c>
      <c r="E7" s="462">
        <f>I7+J7+K7</f>
        <v>178566.33</v>
      </c>
      <c r="F7" s="462">
        <f>L7+M7+N7</f>
        <v>90764.28</v>
      </c>
      <c r="G7" s="462">
        <f>O7+P7+Q7</f>
        <v>20025.3</v>
      </c>
      <c r="H7" s="462">
        <f>R7+S7+T7</f>
        <v>0</v>
      </c>
      <c r="I7" s="469">
        <f>I6*D7</f>
        <v>68679.360000000001</v>
      </c>
      <c r="J7" s="469">
        <f>J6*D7</f>
        <v>59522.11</v>
      </c>
      <c r="K7" s="469">
        <f>K6*D7</f>
        <v>50364.86</v>
      </c>
      <c r="L7" s="469">
        <f>L6*D7</f>
        <v>45786.239999999998</v>
      </c>
      <c r="M7" s="469">
        <f>M6*D7</f>
        <v>31478.04</v>
      </c>
      <c r="N7" s="469">
        <f>N6*D7</f>
        <v>13500</v>
      </c>
      <c r="O7" s="469">
        <f>O6*D7</f>
        <v>0</v>
      </c>
      <c r="P7" s="469">
        <f>P6*D7</f>
        <v>0</v>
      </c>
      <c r="Q7" s="469">
        <f>Q6*D7</f>
        <v>20025.3</v>
      </c>
      <c r="R7" s="469">
        <f>R6*D7</f>
        <v>0</v>
      </c>
      <c r="S7" s="469">
        <f>S6*D7</f>
        <v>0</v>
      </c>
      <c r="T7" s="469">
        <f>T6</f>
        <v>0</v>
      </c>
      <c r="U7" s="111"/>
      <c r="V7" s="464"/>
    </row>
    <row r="8" spans="1:23" x14ac:dyDescent="0.25">
      <c r="A8" s="466" t="s">
        <v>684</v>
      </c>
      <c r="B8" s="459">
        <f t="shared" ref="B8:B18" si="0">SUM(I8:T8)</f>
        <v>675163.82</v>
      </c>
      <c r="C8" s="467" t="s">
        <v>683</v>
      </c>
      <c r="D8" s="461"/>
      <c r="E8" s="462">
        <f>I8+J8+K8</f>
        <v>416654.79</v>
      </c>
      <c r="F8" s="462">
        <f>L8+M8+N8</f>
        <v>211783.32</v>
      </c>
      <c r="G8" s="462">
        <f>O8+P8+Q8</f>
        <v>46725.71</v>
      </c>
      <c r="H8" s="462">
        <f>R8+S8+T8</f>
        <v>0</v>
      </c>
      <c r="I8" s="459">
        <f>I6-I7</f>
        <v>160251.84</v>
      </c>
      <c r="J8" s="459">
        <f t="shared" ref="J8:S8" si="1">J6-J7</f>
        <v>138884.93</v>
      </c>
      <c r="K8" s="459">
        <f t="shared" si="1"/>
        <v>117518.02</v>
      </c>
      <c r="L8" s="459">
        <f t="shared" si="1"/>
        <v>106834.56</v>
      </c>
      <c r="M8" s="459">
        <f t="shared" si="1"/>
        <v>73448.759999999995</v>
      </c>
      <c r="N8" s="459">
        <f t="shared" si="1"/>
        <v>31500</v>
      </c>
      <c r="O8" s="459">
        <f t="shared" si="1"/>
        <v>0</v>
      </c>
      <c r="P8" s="459">
        <f t="shared" si="1"/>
        <v>0</v>
      </c>
      <c r="Q8" s="459">
        <f t="shared" si="1"/>
        <v>46725.71</v>
      </c>
      <c r="R8" s="459">
        <f t="shared" si="1"/>
        <v>0</v>
      </c>
      <c r="S8" s="459">
        <f t="shared" si="1"/>
        <v>0</v>
      </c>
      <c r="T8" s="459"/>
      <c r="U8" s="111"/>
      <c r="V8" s="464"/>
    </row>
    <row r="9" spans="1:23" ht="30" x14ac:dyDescent="0.25">
      <c r="A9" s="458" t="s">
        <v>685</v>
      </c>
      <c r="B9" s="459">
        <f t="shared" si="0"/>
        <v>1399520</v>
      </c>
      <c r="C9" s="460" t="s">
        <v>681</v>
      </c>
      <c r="D9" s="461"/>
      <c r="E9" s="462">
        <f>SUM(E10:E11)</f>
        <v>568820</v>
      </c>
      <c r="F9" s="462">
        <f>SUM(F10:F11)</f>
        <v>337680</v>
      </c>
      <c r="G9" s="462">
        <f>SUM(G10:G11)</f>
        <v>267520</v>
      </c>
      <c r="H9" s="462">
        <f>SUM(H10:H11)</f>
        <v>225500</v>
      </c>
      <c r="I9" s="463">
        <f>30000*V2</f>
        <v>241200</v>
      </c>
      <c r="J9" s="463">
        <f>26000*V2</f>
        <v>209040</v>
      </c>
      <c r="K9" s="463">
        <f>22000*5.39</f>
        <v>118580</v>
      </c>
      <c r="L9" s="463">
        <f>16000*V2</f>
        <v>128640</v>
      </c>
      <c r="M9" s="463">
        <f>14000*V2</f>
        <v>112560</v>
      </c>
      <c r="N9" s="463">
        <f>12000*V2</f>
        <v>96480</v>
      </c>
      <c r="O9" s="463">
        <f>7000*V3</f>
        <v>58520</v>
      </c>
      <c r="P9" s="463">
        <f>7000*V3</f>
        <v>58520</v>
      </c>
      <c r="Q9" s="463">
        <f>18000*V3</f>
        <v>150480</v>
      </c>
      <c r="R9" s="463">
        <f>20000*V3</f>
        <v>167200</v>
      </c>
      <c r="S9" s="463">
        <v>58300</v>
      </c>
      <c r="T9" s="463"/>
      <c r="U9" s="464" t="e">
        <f>'4 (2025)'!#REF!</f>
        <v>#REF!</v>
      </c>
      <c r="V9" s="464" t="e">
        <f>U9-I9-J9-K9-L9-M9-N9-O9-P9-Q9-R9-S9-T9</f>
        <v>#REF!</v>
      </c>
    </row>
    <row r="10" spans="1:23" x14ac:dyDescent="0.25">
      <c r="A10" s="466" t="s">
        <v>682</v>
      </c>
      <c r="B10" s="459">
        <f t="shared" si="0"/>
        <v>979664</v>
      </c>
      <c r="C10" s="467" t="s">
        <v>683</v>
      </c>
      <c r="D10" s="468">
        <v>0.7</v>
      </c>
      <c r="E10" s="462">
        <f>I10+J10+K10</f>
        <v>398174</v>
      </c>
      <c r="F10" s="462">
        <f>L10+M10+N10</f>
        <v>236376</v>
      </c>
      <c r="G10" s="462">
        <f>O10+P10+Q10</f>
        <v>187264</v>
      </c>
      <c r="H10" s="462">
        <f>R10+S10+T10</f>
        <v>157850</v>
      </c>
      <c r="I10" s="469">
        <f>I9*D10</f>
        <v>168840</v>
      </c>
      <c r="J10" s="469">
        <f>J9*D10</f>
        <v>146328</v>
      </c>
      <c r="K10" s="469">
        <f>K9*D10</f>
        <v>83006</v>
      </c>
      <c r="L10" s="469">
        <f>L9*D10</f>
        <v>90048</v>
      </c>
      <c r="M10" s="469">
        <f>M9*D10</f>
        <v>78792</v>
      </c>
      <c r="N10" s="469">
        <f>N9*D10</f>
        <v>67536</v>
      </c>
      <c r="O10" s="469">
        <f>O9*D10</f>
        <v>40964</v>
      </c>
      <c r="P10" s="469">
        <f>P9*D10</f>
        <v>40964</v>
      </c>
      <c r="Q10" s="469">
        <f>Q9*D10</f>
        <v>105336</v>
      </c>
      <c r="R10" s="469">
        <f>R9*D10</f>
        <v>117040</v>
      </c>
      <c r="S10" s="469">
        <f>S9*D10</f>
        <v>40810</v>
      </c>
      <c r="T10" s="469">
        <f>T9</f>
        <v>0</v>
      </c>
      <c r="U10" s="111"/>
      <c r="V10" s="464"/>
    </row>
    <row r="11" spans="1:23" x14ac:dyDescent="0.25">
      <c r="A11" s="466" t="s">
        <v>684</v>
      </c>
      <c r="B11" s="459">
        <f t="shared" si="0"/>
        <v>419856</v>
      </c>
      <c r="C11" s="467" t="s">
        <v>683</v>
      </c>
      <c r="D11" s="461"/>
      <c r="E11" s="462">
        <f>I11+J11+K11</f>
        <v>170646</v>
      </c>
      <c r="F11" s="462">
        <f>L11+M11+N11</f>
        <v>101304</v>
      </c>
      <c r="G11" s="462">
        <f>O11+P11+Q11</f>
        <v>80256</v>
      </c>
      <c r="H11" s="462">
        <f>R11+S11+T11</f>
        <v>67650</v>
      </c>
      <c r="I11" s="459">
        <f t="shared" ref="I11:S11" si="2">I9-I10</f>
        <v>72360</v>
      </c>
      <c r="J11" s="459">
        <f t="shared" si="2"/>
        <v>62712</v>
      </c>
      <c r="K11" s="459">
        <f t="shared" si="2"/>
        <v>35574</v>
      </c>
      <c r="L11" s="459">
        <f t="shared" si="2"/>
        <v>38592</v>
      </c>
      <c r="M11" s="459">
        <f t="shared" si="2"/>
        <v>33768</v>
      </c>
      <c r="N11" s="459">
        <f t="shared" si="2"/>
        <v>28944</v>
      </c>
      <c r="O11" s="459">
        <f t="shared" si="2"/>
        <v>17556</v>
      </c>
      <c r="P11" s="459">
        <f t="shared" si="2"/>
        <v>17556</v>
      </c>
      <c r="Q11" s="459">
        <f t="shared" si="2"/>
        <v>45144</v>
      </c>
      <c r="R11" s="459">
        <f t="shared" si="2"/>
        <v>50160</v>
      </c>
      <c r="S11" s="459">
        <f t="shared" si="2"/>
        <v>17490</v>
      </c>
      <c r="T11" s="459"/>
      <c r="U11" s="111"/>
      <c r="V11" s="464"/>
    </row>
    <row r="12" spans="1:23" ht="45" x14ac:dyDescent="0.25">
      <c r="A12" s="458" t="s">
        <v>686</v>
      </c>
      <c r="B12" s="459">
        <f t="shared" si="0"/>
        <v>220247.5</v>
      </c>
      <c r="C12" s="460" t="s">
        <v>681</v>
      </c>
      <c r="D12" s="461"/>
      <c r="E12" s="462">
        <f>SUM(E13:E14)</f>
        <v>101561.5</v>
      </c>
      <c r="F12" s="462">
        <f>SUM(F13:F14)</f>
        <v>49906.5</v>
      </c>
      <c r="G12" s="462">
        <f>SUM(G13:G14)</f>
        <v>29547.5</v>
      </c>
      <c r="H12" s="462">
        <f>SUM(H13:H14)</f>
        <v>39232</v>
      </c>
      <c r="I12" s="463">
        <f>(350*49.57)+(400*53.74)+1000</f>
        <v>39845.5</v>
      </c>
      <c r="J12" s="463">
        <f>(300*49.57)+(350*53.74)+1000</f>
        <v>34680</v>
      </c>
      <c r="K12" s="463">
        <f>(200*49.57)+(300*53.74)+1000</f>
        <v>27036</v>
      </c>
      <c r="L12" s="463">
        <f>(150*49.57)+(250*53.74)+1000</f>
        <v>21870.5</v>
      </c>
      <c r="M12" s="463">
        <f>(100*49.57)+(200*53.74)+1000</f>
        <v>16705</v>
      </c>
      <c r="N12" s="463">
        <f>(100*49.57)+(100*53.74)+1000</f>
        <v>11331</v>
      </c>
      <c r="O12" s="463">
        <f>(50*51.25)+(50*54.94)+1000</f>
        <v>6309.5</v>
      </c>
      <c r="P12" s="463">
        <f>(50*51.25)+(50*54.94)+1000</f>
        <v>6309.5</v>
      </c>
      <c r="Q12" s="463">
        <f>(150*51.25)+(150*54.94)+1000</f>
        <v>16928.5</v>
      </c>
      <c r="R12" s="463">
        <f>(200*51.25)+(300*54.94)+1000</f>
        <v>27732</v>
      </c>
      <c r="S12" s="463">
        <v>11500</v>
      </c>
      <c r="T12" s="463"/>
      <c r="U12" s="464" t="e">
        <f>'4 (2025)'!#REF!</f>
        <v>#REF!</v>
      </c>
      <c r="V12" s="464" t="e">
        <f>U12-I12-J12-K12-L12-M12-N12-O12-P12-Q12-R12-S12-T12</f>
        <v>#REF!</v>
      </c>
    </row>
    <row r="13" spans="1:23" x14ac:dyDescent="0.25">
      <c r="A13" s="466" t="s">
        <v>682</v>
      </c>
      <c r="B13" s="459">
        <f t="shared" si="0"/>
        <v>0</v>
      </c>
      <c r="C13" s="467" t="s">
        <v>683</v>
      </c>
      <c r="D13" s="468"/>
      <c r="E13" s="462">
        <f>I13+J13+K13</f>
        <v>0</v>
      </c>
      <c r="F13" s="462">
        <f>L13+M13+N13</f>
        <v>0</v>
      </c>
      <c r="G13" s="462">
        <f>O13+P13+Q13</f>
        <v>0</v>
      </c>
      <c r="H13" s="462">
        <f>R13+S13+T13</f>
        <v>0</v>
      </c>
      <c r="I13" s="469">
        <f>I12*D13</f>
        <v>0</v>
      </c>
      <c r="J13" s="469">
        <f>J12*D13</f>
        <v>0</v>
      </c>
      <c r="K13" s="469">
        <f>K12*D13</f>
        <v>0</v>
      </c>
      <c r="L13" s="469">
        <f>L12*D13</f>
        <v>0</v>
      </c>
      <c r="M13" s="469">
        <f>M12*D13</f>
        <v>0</v>
      </c>
      <c r="N13" s="469">
        <f>N12*D13</f>
        <v>0</v>
      </c>
      <c r="O13" s="469">
        <f>O12*D13</f>
        <v>0</v>
      </c>
      <c r="P13" s="469">
        <f>P12*D13</f>
        <v>0</v>
      </c>
      <c r="Q13" s="469">
        <f>Q12*D13</f>
        <v>0</v>
      </c>
      <c r="R13" s="469">
        <f>R12*D13</f>
        <v>0</v>
      </c>
      <c r="S13" s="469">
        <f>S12*D13</f>
        <v>0</v>
      </c>
      <c r="T13" s="469">
        <f>T12</f>
        <v>0</v>
      </c>
      <c r="U13" s="111"/>
      <c r="V13" s="464"/>
    </row>
    <row r="14" spans="1:23" x14ac:dyDescent="0.25">
      <c r="A14" s="466" t="s">
        <v>684</v>
      </c>
      <c r="B14" s="459">
        <f t="shared" si="0"/>
        <v>220247.5</v>
      </c>
      <c r="C14" s="467" t="s">
        <v>683</v>
      </c>
      <c r="D14" s="461"/>
      <c r="E14" s="462">
        <f>I14+J14+K14</f>
        <v>101561.5</v>
      </c>
      <c r="F14" s="462">
        <f>L14+M14+N14</f>
        <v>49906.5</v>
      </c>
      <c r="G14" s="462">
        <f>O14+P14+Q14</f>
        <v>29547.5</v>
      </c>
      <c r="H14" s="462">
        <f>R14+S14+T14</f>
        <v>39232</v>
      </c>
      <c r="I14" s="459">
        <f t="shared" ref="I14:S14" si="3">I12-I13</f>
        <v>39845.5</v>
      </c>
      <c r="J14" s="459">
        <f t="shared" si="3"/>
        <v>34680</v>
      </c>
      <c r="K14" s="459">
        <f t="shared" si="3"/>
        <v>27036</v>
      </c>
      <c r="L14" s="459">
        <f t="shared" si="3"/>
        <v>21870.5</v>
      </c>
      <c r="M14" s="459">
        <f t="shared" si="3"/>
        <v>16705</v>
      </c>
      <c r="N14" s="459">
        <f t="shared" si="3"/>
        <v>11331</v>
      </c>
      <c r="O14" s="459">
        <f t="shared" si="3"/>
        <v>6309.5</v>
      </c>
      <c r="P14" s="459">
        <f t="shared" si="3"/>
        <v>6309.5</v>
      </c>
      <c r="Q14" s="459">
        <f t="shared" si="3"/>
        <v>16928.5</v>
      </c>
      <c r="R14" s="459">
        <f t="shared" si="3"/>
        <v>27732</v>
      </c>
      <c r="S14" s="459">
        <f t="shared" si="3"/>
        <v>11500</v>
      </c>
      <c r="T14" s="459"/>
      <c r="U14" s="111"/>
      <c r="V14" s="464"/>
    </row>
    <row r="15" spans="1:23" ht="30" x14ac:dyDescent="0.25">
      <c r="A15" s="458" t="s">
        <v>525</v>
      </c>
      <c r="B15" s="459">
        <f t="shared" si="0"/>
        <v>231127.08</v>
      </c>
      <c r="C15" s="460" t="s">
        <v>681</v>
      </c>
      <c r="D15" s="461"/>
      <c r="E15" s="462">
        <f>SUM(E16:E17)</f>
        <v>108434.87</v>
      </c>
      <c r="F15" s="462">
        <f>SUM(F16:F17)</f>
        <v>64304.4</v>
      </c>
      <c r="G15" s="462">
        <f>SUM(G16:G17)</f>
        <v>33001.03</v>
      </c>
      <c r="H15" s="462">
        <f>SUM(H16:H17)</f>
        <v>25386.78</v>
      </c>
      <c r="I15" s="463">
        <f>(160*49.57)+(16.992*1907.76)</f>
        <v>40347.86</v>
      </c>
      <c r="J15" s="463">
        <f>(150*49.57)+(15.93*1907.76)</f>
        <v>37826.120000000003</v>
      </c>
      <c r="K15" s="463">
        <f>(120*49.57)+(12.744*1907.76)</f>
        <v>30260.89</v>
      </c>
      <c r="L15" s="463">
        <f>(105*49.57)+(11.151*1907.76)</f>
        <v>26478.28</v>
      </c>
      <c r="M15" s="463">
        <f>(80*49.57)+(8.496*1907.76)</f>
        <v>20173.93</v>
      </c>
      <c r="N15" s="463">
        <f>(70*49.57)+(7.434*1907.76)</f>
        <v>17652.189999999999</v>
      </c>
      <c r="O15" s="463">
        <f>(25*51.25)+(2.655*1907.76)</f>
        <v>6346.35</v>
      </c>
      <c r="P15" s="463">
        <f>(25*51.25)+(2.655*1907.76)</f>
        <v>6346.35</v>
      </c>
      <c r="Q15" s="463">
        <f>(80*51.25)+(8.496*1907.76)</f>
        <v>20308.330000000002</v>
      </c>
      <c r="R15" s="463">
        <f>(100*51.25)+(10.62*1907.76)+1.37</f>
        <v>25386.78</v>
      </c>
      <c r="S15" s="463"/>
      <c r="T15" s="463"/>
      <c r="U15" s="464" t="e">
        <f>'4 (2025)'!#REF!</f>
        <v>#REF!</v>
      </c>
      <c r="V15" s="464" t="e">
        <f>U15-I15-J15-K15-L15-M15-N15-O15-P15-Q15-R15-S15-T15</f>
        <v>#REF!</v>
      </c>
    </row>
    <row r="16" spans="1:23" x14ac:dyDescent="0.25">
      <c r="A16" s="466" t="s">
        <v>682</v>
      </c>
      <c r="B16" s="459">
        <f t="shared" si="0"/>
        <v>0</v>
      </c>
      <c r="C16" s="467" t="s">
        <v>683</v>
      </c>
      <c r="D16" s="468"/>
      <c r="E16" s="462">
        <f>I16+J16+K16</f>
        <v>0</v>
      </c>
      <c r="F16" s="462">
        <f>L16+M16+N16</f>
        <v>0</v>
      </c>
      <c r="G16" s="462">
        <f>O16+P16+Q16</f>
        <v>0</v>
      </c>
      <c r="H16" s="462">
        <f>R16+S16+T16</f>
        <v>0</v>
      </c>
      <c r="I16" s="469">
        <f>I15*D16</f>
        <v>0</v>
      </c>
      <c r="J16" s="469">
        <f>J15*D16</f>
        <v>0</v>
      </c>
      <c r="K16" s="469">
        <f>K15*D16</f>
        <v>0</v>
      </c>
      <c r="L16" s="469">
        <f>L15*D16</f>
        <v>0</v>
      </c>
      <c r="M16" s="469">
        <f>M15*D16</f>
        <v>0</v>
      </c>
      <c r="N16" s="469">
        <f>N15*D16</f>
        <v>0</v>
      </c>
      <c r="O16" s="469">
        <f>O15*D16</f>
        <v>0</v>
      </c>
      <c r="P16" s="469">
        <f>P15*D16</f>
        <v>0</v>
      </c>
      <c r="Q16" s="469">
        <f>Q15*D16</f>
        <v>0</v>
      </c>
      <c r="R16" s="469">
        <f>R15*D16</f>
        <v>0</v>
      </c>
      <c r="S16" s="469">
        <f>S15*D16</f>
        <v>0</v>
      </c>
      <c r="T16" s="469">
        <f>T15*D16</f>
        <v>0</v>
      </c>
      <c r="U16" s="110"/>
      <c r="V16" s="464"/>
    </row>
    <row r="17" spans="1:22" x14ac:dyDescent="0.25">
      <c r="A17" s="466" t="s">
        <v>684</v>
      </c>
      <c r="B17" s="459">
        <f t="shared" si="0"/>
        <v>231127.08</v>
      </c>
      <c r="C17" s="467" t="s">
        <v>683</v>
      </c>
      <c r="D17" s="461"/>
      <c r="E17" s="462">
        <f>I17+J17+K17</f>
        <v>108434.87</v>
      </c>
      <c r="F17" s="462">
        <f>L17+M17+N17</f>
        <v>64304.4</v>
      </c>
      <c r="G17" s="462">
        <f>O17+P17+Q17</f>
        <v>33001.03</v>
      </c>
      <c r="H17" s="462">
        <f>R17+S17+T17</f>
        <v>25386.78</v>
      </c>
      <c r="I17" s="459">
        <f>I15</f>
        <v>40347.86</v>
      </c>
      <c r="J17" s="459">
        <f t="shared" ref="J17:T17" si="4">J15-J16</f>
        <v>37826.120000000003</v>
      </c>
      <c r="K17" s="459">
        <f t="shared" si="4"/>
        <v>30260.89</v>
      </c>
      <c r="L17" s="459">
        <f t="shared" si="4"/>
        <v>26478.28</v>
      </c>
      <c r="M17" s="459">
        <f t="shared" si="4"/>
        <v>20173.93</v>
      </c>
      <c r="N17" s="459">
        <f t="shared" si="4"/>
        <v>17652.189999999999</v>
      </c>
      <c r="O17" s="459">
        <f t="shared" si="4"/>
        <v>6346.35</v>
      </c>
      <c r="P17" s="459">
        <f t="shared" si="4"/>
        <v>6346.35</v>
      </c>
      <c r="Q17" s="459">
        <f t="shared" si="4"/>
        <v>20308.330000000002</v>
      </c>
      <c r="R17" s="459">
        <f t="shared" si="4"/>
        <v>25386.78</v>
      </c>
      <c r="S17" s="459">
        <f t="shared" si="4"/>
        <v>0</v>
      </c>
      <c r="T17" s="459">
        <f t="shared" si="4"/>
        <v>0</v>
      </c>
      <c r="V17" s="464"/>
    </row>
    <row r="18" spans="1:22" x14ac:dyDescent="0.25">
      <c r="A18" s="458" t="s">
        <v>687</v>
      </c>
      <c r="B18" s="459">
        <f t="shared" si="0"/>
        <v>359999.21</v>
      </c>
      <c r="C18" s="467"/>
      <c r="D18" s="461"/>
      <c r="E18" s="462">
        <f>I18+J18+K18</f>
        <v>81788.2</v>
      </c>
      <c r="F18" s="462">
        <f>L18+M18+N18</f>
        <v>84193.74</v>
      </c>
      <c r="G18" s="462">
        <f>O18+P18+Q18</f>
        <v>97007.64</v>
      </c>
      <c r="H18" s="462">
        <f>R18+S18+T18</f>
        <v>97009.63</v>
      </c>
      <c r="I18" s="459">
        <f>29.7*W2</f>
        <v>21649.82</v>
      </c>
      <c r="J18" s="459">
        <f>39.6*W2</f>
        <v>28866.42</v>
      </c>
      <c r="K18" s="459">
        <f>42.9*W2</f>
        <v>31271.96</v>
      </c>
      <c r="L18" s="459">
        <f>42.9*W2</f>
        <v>31271.96</v>
      </c>
      <c r="M18" s="459">
        <f>36.3*W2</f>
        <v>26460.89</v>
      </c>
      <c r="N18" s="459">
        <f>36.3*W2</f>
        <v>26460.89</v>
      </c>
      <c r="O18" s="459">
        <f>42.9*W3</f>
        <v>32335.88</v>
      </c>
      <c r="P18" s="459">
        <f>42.9*W3</f>
        <v>32335.88</v>
      </c>
      <c r="Q18" s="459">
        <f>42.9*W3</f>
        <v>32335.88</v>
      </c>
      <c r="R18" s="459">
        <f>42.9*W3</f>
        <v>32335.88</v>
      </c>
      <c r="S18" s="459">
        <f>42.9*W3</f>
        <v>32335.88</v>
      </c>
      <c r="T18" s="459">
        <f>42.9*W3+1.99</f>
        <v>32337.87</v>
      </c>
      <c r="U18" s="470">
        <f>'4 (2025)'!J274</f>
        <v>0</v>
      </c>
      <c r="V18" s="464">
        <f>U18-I18-J18-K18-L18-M18-N18-O18-P18-Q18-R18-S18-T18</f>
        <v>-359999.21</v>
      </c>
    </row>
    <row r="19" spans="1:22" ht="28.5" x14ac:dyDescent="0.25">
      <c r="A19" s="471" t="s">
        <v>688</v>
      </c>
      <c r="B19" s="472">
        <f>B6+B9+B12+B15+B18</f>
        <v>3175413.52</v>
      </c>
      <c r="C19" s="467" t="s">
        <v>683</v>
      </c>
      <c r="D19" s="473" t="s">
        <v>82</v>
      </c>
      <c r="E19" s="474">
        <f>E7+E8+E10+E11+E13+E14+E16+E17+E18</f>
        <v>1455825.69</v>
      </c>
      <c r="F19" s="474">
        <f>F7+F8+F10+F11+F13+F14+F16+F17+F18</f>
        <v>838632.24</v>
      </c>
      <c r="G19" s="474">
        <f>G7+G8+G10+G11+G13+G14+G16+G17+G18</f>
        <v>493827.18</v>
      </c>
      <c r="H19" s="474">
        <f>H7+H8+H10+H11+H13+H14+H16+H17+H18</f>
        <v>387128.41</v>
      </c>
      <c r="I19" s="475">
        <f>I7+I10+I13++I16+I8+I11+I14+I17+I18</f>
        <v>571974.38</v>
      </c>
      <c r="J19" s="475">
        <f t="shared" ref="J19:T19" si="5">J7+J10+J13++J16+J8+J11+J14+J17+J18</f>
        <v>508819.58</v>
      </c>
      <c r="K19" s="475">
        <f t="shared" si="5"/>
        <v>375031.73</v>
      </c>
      <c r="L19" s="475">
        <f t="shared" si="5"/>
        <v>360881.54</v>
      </c>
      <c r="M19" s="475">
        <f t="shared" si="5"/>
        <v>280826.62</v>
      </c>
      <c r="N19" s="475">
        <f t="shared" si="5"/>
        <v>196924.08</v>
      </c>
      <c r="O19" s="475">
        <f t="shared" si="5"/>
        <v>103511.73</v>
      </c>
      <c r="P19" s="475">
        <f t="shared" si="5"/>
        <v>103511.73</v>
      </c>
      <c r="Q19" s="475">
        <f t="shared" si="5"/>
        <v>286803.71999999997</v>
      </c>
      <c r="R19" s="475">
        <f t="shared" si="5"/>
        <v>252654.66</v>
      </c>
      <c r="S19" s="475">
        <f t="shared" si="5"/>
        <v>102135.88</v>
      </c>
      <c r="T19" s="496">
        <f t="shared" si="5"/>
        <v>32337.87</v>
      </c>
      <c r="U19" s="497" t="b">
        <f>B19=I19+J19+K19+L19+M19+N19+O19+P19+Q19+R19+S19+T19</f>
        <v>1</v>
      </c>
    </row>
    <row r="20" spans="1:22" s="451" customFormat="1" hidden="1" x14ac:dyDescent="0.25">
      <c r="A20" s="451" t="s">
        <v>689</v>
      </c>
    </row>
    <row r="21" spans="1:22" hidden="1" x14ac:dyDescent="0.25">
      <c r="A21" s="476"/>
      <c r="B21" s="477"/>
      <c r="C21" s="2620"/>
      <c r="D21" s="2621"/>
      <c r="E21" s="2622" t="s">
        <v>663</v>
      </c>
      <c r="F21" s="2623"/>
      <c r="G21" s="2623"/>
      <c r="H21" s="2624"/>
      <c r="I21" s="2616" t="s">
        <v>664</v>
      </c>
      <c r="J21" s="2616"/>
      <c r="K21" s="2616"/>
      <c r="L21" s="2616"/>
      <c r="M21" s="2616"/>
      <c r="N21" s="2616"/>
      <c r="O21" s="2616"/>
      <c r="P21" s="2616"/>
      <c r="Q21" s="2616"/>
      <c r="R21" s="2616"/>
      <c r="S21" s="2616"/>
      <c r="T21" s="2616"/>
    </row>
    <row r="22" spans="1:22" hidden="1" x14ac:dyDescent="0.25">
      <c r="A22" s="476"/>
      <c r="B22" s="477"/>
      <c r="C22" s="2620"/>
      <c r="D22" s="2621"/>
      <c r="E22" s="456" t="s">
        <v>665</v>
      </c>
      <c r="F22" s="456" t="s">
        <v>666</v>
      </c>
      <c r="G22" s="456" t="s">
        <v>667</v>
      </c>
      <c r="H22" s="456" t="s">
        <v>668</v>
      </c>
      <c r="I22" s="457" t="s">
        <v>669</v>
      </c>
      <c r="J22" s="457" t="s">
        <v>670</v>
      </c>
      <c r="K22" s="457" t="s">
        <v>671</v>
      </c>
      <c r="L22" s="457" t="s">
        <v>672</v>
      </c>
      <c r="M22" s="457" t="s">
        <v>673</v>
      </c>
      <c r="N22" s="457" t="s">
        <v>674</v>
      </c>
      <c r="O22" s="457" t="s">
        <v>675</v>
      </c>
      <c r="P22" s="457" t="s">
        <v>676</v>
      </c>
      <c r="Q22" s="457" t="s">
        <v>677</v>
      </c>
      <c r="R22" s="457" t="s">
        <v>678</v>
      </c>
      <c r="S22" s="457" t="s">
        <v>679</v>
      </c>
      <c r="T22" s="457" t="s">
        <v>680</v>
      </c>
    </row>
    <row r="23" spans="1:22" ht="30" hidden="1" x14ac:dyDescent="0.25">
      <c r="A23" s="478"/>
      <c r="B23" s="479"/>
      <c r="C23" s="458" t="s">
        <v>56</v>
      </c>
      <c r="D23" s="459">
        <f>SUM(K23:V23)</f>
        <v>0</v>
      </c>
      <c r="E23" s="462">
        <f>SUM(E24:E25)</f>
        <v>0</v>
      </c>
      <c r="F23" s="462">
        <f>SUM(F24:F25)</f>
        <v>0</v>
      </c>
      <c r="G23" s="462">
        <f>SUM(G24:G25)</f>
        <v>0</v>
      </c>
      <c r="H23" s="462">
        <f>SUM(H24:H25)</f>
        <v>0</v>
      </c>
      <c r="I23" s="463">
        <f>I24+I25</f>
        <v>0</v>
      </c>
      <c r="J23" s="463">
        <f t="shared" ref="J23:T23" si="6">J24+J25</f>
        <v>0</v>
      </c>
      <c r="K23" s="463">
        <f t="shared" si="6"/>
        <v>0</v>
      </c>
      <c r="L23" s="463">
        <f t="shared" si="6"/>
        <v>0</v>
      </c>
      <c r="M23" s="463">
        <f t="shared" si="6"/>
        <v>0</v>
      </c>
      <c r="N23" s="463">
        <f t="shared" si="6"/>
        <v>0</v>
      </c>
      <c r="O23" s="463">
        <f t="shared" si="6"/>
        <v>0</v>
      </c>
      <c r="P23" s="463">
        <f t="shared" si="6"/>
        <v>0</v>
      </c>
      <c r="Q23" s="463">
        <f t="shared" si="6"/>
        <v>0</v>
      </c>
      <c r="R23" s="463">
        <f t="shared" si="6"/>
        <v>0</v>
      </c>
      <c r="S23" s="463">
        <f t="shared" si="6"/>
        <v>0</v>
      </c>
      <c r="T23" s="463">
        <f t="shared" si="6"/>
        <v>0</v>
      </c>
    </row>
    <row r="24" spans="1:22" hidden="1" x14ac:dyDescent="0.25">
      <c r="A24" s="480"/>
      <c r="B24" s="479"/>
      <c r="C24" s="466" t="s">
        <v>682</v>
      </c>
      <c r="D24" s="459">
        <f>SUM(K24:V24)</f>
        <v>0</v>
      </c>
      <c r="E24" s="462">
        <f>I24+J24+K24</f>
        <v>0</v>
      </c>
      <c r="F24" s="462">
        <f>L24+M24+N24</f>
        <v>0</v>
      </c>
      <c r="G24" s="462">
        <f>O24+P24+Q24</f>
        <v>0</v>
      </c>
      <c r="H24" s="462">
        <f>R24+S24+T24</f>
        <v>0</v>
      </c>
      <c r="I24" s="469"/>
      <c r="J24" s="469"/>
      <c r="K24" s="469"/>
      <c r="L24" s="469"/>
      <c r="M24" s="469"/>
      <c r="N24" s="469"/>
      <c r="O24" s="469"/>
      <c r="P24" s="469"/>
      <c r="Q24" s="469"/>
      <c r="R24" s="469"/>
      <c r="S24" s="469"/>
      <c r="T24" s="469"/>
    </row>
    <row r="25" spans="1:22" hidden="1" x14ac:dyDescent="0.25">
      <c r="A25" s="480"/>
      <c r="B25" s="479"/>
      <c r="C25" s="466" t="s">
        <v>684</v>
      </c>
      <c r="D25" s="459">
        <f t="shared" ref="D25:D37" si="7">SUM(K25:V25)</f>
        <v>0</v>
      </c>
      <c r="E25" s="462">
        <f>I25+J25+K25</f>
        <v>0</v>
      </c>
      <c r="F25" s="462">
        <f>L25+M25+N25</f>
        <v>0</v>
      </c>
      <c r="G25" s="462">
        <f>O25+P25+Q25</f>
        <v>0</v>
      </c>
      <c r="H25" s="462">
        <f>R25+S25+T25</f>
        <v>0</v>
      </c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59"/>
      <c r="T25" s="459"/>
    </row>
    <row r="26" spans="1:22" hidden="1" x14ac:dyDescent="0.25">
      <c r="A26" s="480"/>
      <c r="B26" s="479"/>
      <c r="C26" s="2617" t="s">
        <v>690</v>
      </c>
      <c r="D26" s="2618"/>
      <c r="E26" s="2618"/>
      <c r="F26" s="2618"/>
      <c r="G26" s="2618"/>
      <c r="H26" s="2619"/>
      <c r="I26" s="459">
        <f t="shared" ref="I26:T26" si="8">I6-I23</f>
        <v>228931.20000000001</v>
      </c>
      <c r="J26" s="459">
        <f t="shared" si="8"/>
        <v>198407.04000000001</v>
      </c>
      <c r="K26" s="459">
        <f t="shared" si="8"/>
        <v>167882.88</v>
      </c>
      <c r="L26" s="459">
        <f t="shared" si="8"/>
        <v>152620.79999999999</v>
      </c>
      <c r="M26" s="459">
        <f t="shared" si="8"/>
        <v>104926.8</v>
      </c>
      <c r="N26" s="459">
        <f t="shared" si="8"/>
        <v>45000</v>
      </c>
      <c r="O26" s="459">
        <f t="shared" si="8"/>
        <v>0</v>
      </c>
      <c r="P26" s="459">
        <f t="shared" si="8"/>
        <v>0</v>
      </c>
      <c r="Q26" s="459">
        <f t="shared" si="8"/>
        <v>66751.009999999995</v>
      </c>
      <c r="R26" s="459">
        <f t="shared" si="8"/>
        <v>0</v>
      </c>
      <c r="S26" s="459">
        <f t="shared" si="8"/>
        <v>0</v>
      </c>
      <c r="T26" s="459">
        <f t="shared" si="8"/>
        <v>0</v>
      </c>
    </row>
    <row r="27" spans="1:22" ht="30" hidden="1" x14ac:dyDescent="0.25">
      <c r="A27" s="478"/>
      <c r="B27" s="479"/>
      <c r="C27" s="458" t="s">
        <v>685</v>
      </c>
      <c r="D27" s="459">
        <f t="shared" si="7"/>
        <v>0</v>
      </c>
      <c r="E27" s="462">
        <f>SUM(E28:E29)</f>
        <v>0</v>
      </c>
      <c r="F27" s="462">
        <f>SUM(F28:F29)</f>
        <v>0</v>
      </c>
      <c r="G27" s="462">
        <f>SUM(G28:G29)</f>
        <v>0</v>
      </c>
      <c r="H27" s="462">
        <f>SUM(H28:H29)</f>
        <v>0</v>
      </c>
      <c r="I27" s="463">
        <f>SUM(I28:I29)</f>
        <v>0</v>
      </c>
      <c r="J27" s="463">
        <f t="shared" ref="J27:T27" si="9">SUM(J28:J29)</f>
        <v>0</v>
      </c>
      <c r="K27" s="463">
        <f t="shared" si="9"/>
        <v>0</v>
      </c>
      <c r="L27" s="463">
        <f t="shared" si="9"/>
        <v>0</v>
      </c>
      <c r="M27" s="463">
        <f t="shared" si="9"/>
        <v>0</v>
      </c>
      <c r="N27" s="463">
        <f t="shared" si="9"/>
        <v>0</v>
      </c>
      <c r="O27" s="463">
        <f t="shared" si="9"/>
        <v>0</v>
      </c>
      <c r="P27" s="463">
        <f t="shared" si="9"/>
        <v>0</v>
      </c>
      <c r="Q27" s="463">
        <f t="shared" si="9"/>
        <v>0</v>
      </c>
      <c r="R27" s="463">
        <f t="shared" si="9"/>
        <v>0</v>
      </c>
      <c r="S27" s="463">
        <f t="shared" si="9"/>
        <v>0</v>
      </c>
      <c r="T27" s="463">
        <f t="shared" si="9"/>
        <v>0</v>
      </c>
    </row>
    <row r="28" spans="1:22" hidden="1" x14ac:dyDescent="0.25">
      <c r="A28" s="480"/>
      <c r="B28" s="479"/>
      <c r="C28" s="466" t="s">
        <v>682</v>
      </c>
      <c r="D28" s="459">
        <f t="shared" si="7"/>
        <v>0</v>
      </c>
      <c r="E28" s="462">
        <f>I28+J28+K28</f>
        <v>0</v>
      </c>
      <c r="F28" s="462">
        <f>L28+M28+N28</f>
        <v>0</v>
      </c>
      <c r="G28" s="462">
        <f>O28+P28+Q28</f>
        <v>0</v>
      </c>
      <c r="H28" s="462">
        <f>R28+S28+T28</f>
        <v>0</v>
      </c>
      <c r="I28" s="469"/>
      <c r="J28" s="469"/>
      <c r="K28" s="469"/>
      <c r="L28" s="469"/>
      <c r="M28" s="469"/>
      <c r="N28" s="469"/>
      <c r="O28" s="469"/>
      <c r="P28" s="469"/>
      <c r="Q28" s="469"/>
      <c r="R28" s="469"/>
      <c r="S28" s="469"/>
      <c r="T28" s="469"/>
    </row>
    <row r="29" spans="1:22" hidden="1" x14ac:dyDescent="0.25">
      <c r="A29" s="480"/>
      <c r="B29" s="479"/>
      <c r="C29" s="466" t="s">
        <v>684</v>
      </c>
      <c r="D29" s="459">
        <f t="shared" si="7"/>
        <v>0</v>
      </c>
      <c r="E29" s="462">
        <f>I29+J29+K29</f>
        <v>0</v>
      </c>
      <c r="F29" s="462">
        <f>L29+M29+N29</f>
        <v>0</v>
      </c>
      <c r="G29" s="462">
        <f>O29+P29+Q29</f>
        <v>0</v>
      </c>
      <c r="H29" s="462">
        <f>R29+S29+T29</f>
        <v>0</v>
      </c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</row>
    <row r="30" spans="1:22" hidden="1" x14ac:dyDescent="0.25">
      <c r="A30" s="480"/>
      <c r="B30" s="479"/>
      <c r="C30" s="2617" t="s">
        <v>690</v>
      </c>
      <c r="D30" s="2618"/>
      <c r="E30" s="2618"/>
      <c r="F30" s="2618"/>
      <c r="G30" s="2618"/>
      <c r="H30" s="2619"/>
      <c r="I30" s="459">
        <f t="shared" ref="I30:T30" si="10">I9-I27</f>
        <v>241200</v>
      </c>
      <c r="J30" s="459">
        <f t="shared" si="10"/>
        <v>209040</v>
      </c>
      <c r="K30" s="459">
        <f t="shared" si="10"/>
        <v>118580</v>
      </c>
      <c r="L30" s="459">
        <f t="shared" si="10"/>
        <v>128640</v>
      </c>
      <c r="M30" s="459">
        <f t="shared" si="10"/>
        <v>112560</v>
      </c>
      <c r="N30" s="459">
        <f t="shared" si="10"/>
        <v>96480</v>
      </c>
      <c r="O30" s="459">
        <f t="shared" si="10"/>
        <v>58520</v>
      </c>
      <c r="P30" s="459">
        <f t="shared" si="10"/>
        <v>58520</v>
      </c>
      <c r="Q30" s="459">
        <f t="shared" si="10"/>
        <v>150480</v>
      </c>
      <c r="R30" s="459">
        <f t="shared" si="10"/>
        <v>167200</v>
      </c>
      <c r="S30" s="459">
        <f t="shared" si="10"/>
        <v>58300</v>
      </c>
      <c r="T30" s="459">
        <f t="shared" si="10"/>
        <v>0</v>
      </c>
    </row>
    <row r="31" spans="1:22" ht="45" hidden="1" x14ac:dyDescent="0.25">
      <c r="A31" s="478"/>
      <c r="B31" s="479"/>
      <c r="C31" s="458" t="s">
        <v>686</v>
      </c>
      <c r="D31" s="459">
        <f t="shared" si="7"/>
        <v>0</v>
      </c>
      <c r="E31" s="462">
        <f>SUM(E32:E33)</f>
        <v>0</v>
      </c>
      <c r="F31" s="462">
        <f>SUM(F32:F33)</f>
        <v>0</v>
      </c>
      <c r="G31" s="462">
        <f>SUM(G32:G33)</f>
        <v>0</v>
      </c>
      <c r="H31" s="462">
        <f>SUM(H32:H33)</f>
        <v>0</v>
      </c>
      <c r="I31" s="463">
        <f>SUM(I32:I33)</f>
        <v>0</v>
      </c>
      <c r="J31" s="463">
        <f t="shared" ref="J31:T31" si="11">SUM(J32:J33)</f>
        <v>0</v>
      </c>
      <c r="K31" s="463">
        <f t="shared" si="11"/>
        <v>0</v>
      </c>
      <c r="L31" s="463">
        <f t="shared" si="11"/>
        <v>0</v>
      </c>
      <c r="M31" s="463">
        <f t="shared" si="11"/>
        <v>0</v>
      </c>
      <c r="N31" s="463">
        <f t="shared" si="11"/>
        <v>0</v>
      </c>
      <c r="O31" s="463">
        <f t="shared" si="11"/>
        <v>0</v>
      </c>
      <c r="P31" s="463">
        <f t="shared" si="11"/>
        <v>0</v>
      </c>
      <c r="Q31" s="463">
        <f t="shared" si="11"/>
        <v>0</v>
      </c>
      <c r="R31" s="463">
        <f t="shared" si="11"/>
        <v>0</v>
      </c>
      <c r="S31" s="463">
        <f t="shared" si="11"/>
        <v>0</v>
      </c>
      <c r="T31" s="463">
        <f t="shared" si="11"/>
        <v>0</v>
      </c>
    </row>
    <row r="32" spans="1:22" hidden="1" x14ac:dyDescent="0.25">
      <c r="A32" s="480"/>
      <c r="B32" s="479"/>
      <c r="C32" s="466" t="s">
        <v>682</v>
      </c>
      <c r="D32" s="459">
        <f t="shared" si="7"/>
        <v>0</v>
      </c>
      <c r="E32" s="462">
        <f>I32+J32+K32</f>
        <v>0</v>
      </c>
      <c r="F32" s="462">
        <f>L32+M32+N32</f>
        <v>0</v>
      </c>
      <c r="G32" s="462">
        <f>O32+P32+Q32</f>
        <v>0</v>
      </c>
      <c r="H32" s="462">
        <f>R32+S32+T32</f>
        <v>0</v>
      </c>
      <c r="I32" s="469"/>
      <c r="J32" s="469"/>
      <c r="K32" s="469"/>
      <c r="L32" s="469"/>
      <c r="M32" s="469"/>
      <c r="N32" s="469"/>
      <c r="O32" s="469"/>
      <c r="P32" s="469"/>
      <c r="Q32" s="469"/>
      <c r="R32" s="469"/>
      <c r="S32" s="469"/>
      <c r="T32" s="469"/>
    </row>
    <row r="33" spans="1:20" hidden="1" x14ac:dyDescent="0.25">
      <c r="A33" s="480"/>
      <c r="B33" s="479"/>
      <c r="C33" s="466" t="s">
        <v>684</v>
      </c>
      <c r="D33" s="459">
        <f t="shared" si="7"/>
        <v>0</v>
      </c>
      <c r="E33" s="462">
        <f>I33+J33+K33</f>
        <v>0</v>
      </c>
      <c r="F33" s="462">
        <f>L33+M33+N33</f>
        <v>0</v>
      </c>
      <c r="G33" s="462">
        <f>O33+P33+Q33</f>
        <v>0</v>
      </c>
      <c r="H33" s="462">
        <f>R33+S33+T33</f>
        <v>0</v>
      </c>
      <c r="I33" s="459"/>
      <c r="J33" s="459"/>
      <c r="K33" s="459"/>
      <c r="L33" s="459"/>
      <c r="M33" s="459"/>
      <c r="N33" s="459"/>
      <c r="O33" s="459"/>
      <c r="P33" s="459"/>
      <c r="Q33" s="459"/>
      <c r="R33" s="459"/>
      <c r="S33" s="459"/>
      <c r="T33" s="459"/>
    </row>
    <row r="34" spans="1:20" hidden="1" x14ac:dyDescent="0.25">
      <c r="A34" s="480"/>
      <c r="B34" s="479"/>
      <c r="C34" s="2617" t="s">
        <v>690</v>
      </c>
      <c r="D34" s="2618"/>
      <c r="E34" s="2618"/>
      <c r="F34" s="2618"/>
      <c r="G34" s="2618"/>
      <c r="H34" s="2619"/>
      <c r="I34" s="459">
        <f t="shared" ref="I34:T34" si="12">I12-I31</f>
        <v>39845.5</v>
      </c>
      <c r="J34" s="459">
        <f t="shared" si="12"/>
        <v>34680</v>
      </c>
      <c r="K34" s="459">
        <f t="shared" si="12"/>
        <v>27036</v>
      </c>
      <c r="L34" s="459">
        <f t="shared" si="12"/>
        <v>21870.5</v>
      </c>
      <c r="M34" s="459">
        <f t="shared" si="12"/>
        <v>16705</v>
      </c>
      <c r="N34" s="459">
        <f t="shared" si="12"/>
        <v>11331</v>
      </c>
      <c r="O34" s="459">
        <f t="shared" si="12"/>
        <v>6309.5</v>
      </c>
      <c r="P34" s="459">
        <f t="shared" si="12"/>
        <v>6309.5</v>
      </c>
      <c r="Q34" s="459">
        <f t="shared" si="12"/>
        <v>16928.5</v>
      </c>
      <c r="R34" s="459">
        <f t="shared" si="12"/>
        <v>27732</v>
      </c>
      <c r="S34" s="459">
        <f t="shared" si="12"/>
        <v>11500</v>
      </c>
      <c r="T34" s="459">
        <f t="shared" si="12"/>
        <v>0</v>
      </c>
    </row>
    <row r="35" spans="1:20" ht="30" hidden="1" x14ac:dyDescent="0.25">
      <c r="A35" s="478"/>
      <c r="B35" s="479"/>
      <c r="C35" s="458" t="s">
        <v>525</v>
      </c>
      <c r="D35" s="459">
        <f t="shared" si="7"/>
        <v>0</v>
      </c>
      <c r="E35" s="462">
        <f>SUM(E36:E37)</f>
        <v>0</v>
      </c>
      <c r="F35" s="462">
        <f>SUM(F36:F37)</f>
        <v>0</v>
      </c>
      <c r="G35" s="462">
        <f>SUM(G36:G37)</f>
        <v>0</v>
      </c>
      <c r="H35" s="462">
        <f>SUM(H36:H37)</f>
        <v>0</v>
      </c>
      <c r="I35" s="463">
        <f>SUM(I36:I37)</f>
        <v>0</v>
      </c>
      <c r="J35" s="463">
        <f t="shared" ref="J35:T35" si="13">SUM(J36:J37)</f>
        <v>0</v>
      </c>
      <c r="K35" s="463">
        <f t="shared" si="13"/>
        <v>0</v>
      </c>
      <c r="L35" s="463">
        <f t="shared" si="13"/>
        <v>0</v>
      </c>
      <c r="M35" s="463">
        <f t="shared" si="13"/>
        <v>0</v>
      </c>
      <c r="N35" s="463">
        <f t="shared" si="13"/>
        <v>0</v>
      </c>
      <c r="O35" s="463">
        <f t="shared" si="13"/>
        <v>0</v>
      </c>
      <c r="P35" s="463">
        <f t="shared" si="13"/>
        <v>0</v>
      </c>
      <c r="Q35" s="463">
        <f t="shared" si="13"/>
        <v>0</v>
      </c>
      <c r="R35" s="463">
        <f t="shared" si="13"/>
        <v>0</v>
      </c>
      <c r="S35" s="463">
        <f t="shared" si="13"/>
        <v>0</v>
      </c>
      <c r="T35" s="463">
        <f t="shared" si="13"/>
        <v>0</v>
      </c>
    </row>
    <row r="36" spans="1:20" hidden="1" x14ac:dyDescent="0.25">
      <c r="A36" s="480"/>
      <c r="B36" s="479"/>
      <c r="C36" s="466" t="s">
        <v>682</v>
      </c>
      <c r="D36" s="459">
        <f t="shared" si="7"/>
        <v>0</v>
      </c>
      <c r="E36" s="462">
        <f>I36+J36+K36</f>
        <v>0</v>
      </c>
      <c r="F36" s="462">
        <f>L36+M36+N36</f>
        <v>0</v>
      </c>
      <c r="G36" s="462">
        <f>O36+P36+Q36</f>
        <v>0</v>
      </c>
      <c r="H36" s="462">
        <f>R36+S36+T36</f>
        <v>0</v>
      </c>
      <c r="I36" s="469"/>
      <c r="J36" s="469"/>
      <c r="K36" s="469"/>
      <c r="L36" s="469"/>
      <c r="M36" s="469"/>
      <c r="N36" s="469"/>
      <c r="O36" s="469"/>
      <c r="P36" s="469"/>
      <c r="Q36" s="469"/>
      <c r="R36" s="469"/>
      <c r="S36" s="469"/>
      <c r="T36" s="469"/>
    </row>
    <row r="37" spans="1:20" hidden="1" x14ac:dyDescent="0.25">
      <c r="A37" s="480"/>
      <c r="B37" s="479"/>
      <c r="C37" s="466" t="s">
        <v>684</v>
      </c>
      <c r="D37" s="459">
        <f t="shared" si="7"/>
        <v>0</v>
      </c>
      <c r="E37" s="462">
        <f>I37+J37+K37</f>
        <v>0</v>
      </c>
      <c r="F37" s="462">
        <f>L37+M37+N37</f>
        <v>0</v>
      </c>
      <c r="G37" s="462">
        <f>O37+P37+Q37</f>
        <v>0</v>
      </c>
      <c r="H37" s="462">
        <f>R37+S37+T37</f>
        <v>0</v>
      </c>
      <c r="I37" s="459"/>
      <c r="J37" s="459"/>
      <c r="K37" s="459"/>
      <c r="L37" s="459"/>
      <c r="M37" s="459"/>
      <c r="N37" s="459"/>
      <c r="O37" s="459"/>
      <c r="P37" s="459"/>
      <c r="Q37" s="459"/>
      <c r="R37" s="459"/>
      <c r="S37" s="459"/>
      <c r="T37" s="459"/>
    </row>
    <row r="38" spans="1:20" hidden="1" x14ac:dyDescent="0.25">
      <c r="A38" s="480"/>
      <c r="B38" s="479"/>
      <c r="C38" s="2617" t="s">
        <v>690</v>
      </c>
      <c r="D38" s="2618"/>
      <c r="E38" s="2618"/>
      <c r="F38" s="2618"/>
      <c r="G38" s="2618"/>
      <c r="H38" s="2619"/>
      <c r="I38" s="459">
        <f t="shared" ref="I38:T38" si="14">I15-I35</f>
        <v>40347.86</v>
      </c>
      <c r="J38" s="459">
        <f t="shared" si="14"/>
        <v>37826.120000000003</v>
      </c>
      <c r="K38" s="459">
        <f t="shared" si="14"/>
        <v>30260.89</v>
      </c>
      <c r="L38" s="459">
        <f t="shared" si="14"/>
        <v>26478.28</v>
      </c>
      <c r="M38" s="459">
        <f t="shared" si="14"/>
        <v>20173.93</v>
      </c>
      <c r="N38" s="459">
        <f t="shared" si="14"/>
        <v>17652.189999999999</v>
      </c>
      <c r="O38" s="459">
        <f t="shared" si="14"/>
        <v>6346.35</v>
      </c>
      <c r="P38" s="459">
        <f t="shared" si="14"/>
        <v>6346.35</v>
      </c>
      <c r="Q38" s="459">
        <f t="shared" si="14"/>
        <v>20308.330000000002</v>
      </c>
      <c r="R38" s="459">
        <f t="shared" si="14"/>
        <v>25386.78</v>
      </c>
      <c r="S38" s="459">
        <f t="shared" si="14"/>
        <v>0</v>
      </c>
      <c r="T38" s="459">
        <f t="shared" si="14"/>
        <v>0</v>
      </c>
    </row>
    <row r="39" spans="1:20" ht="28.5" hidden="1" x14ac:dyDescent="0.25">
      <c r="A39" s="481"/>
      <c r="B39" s="482"/>
      <c r="C39" s="471" t="s">
        <v>688</v>
      </c>
      <c r="D39" s="472">
        <f>SUM(K39:V39)</f>
        <v>0</v>
      </c>
      <c r="E39" s="474">
        <f>E24+E25+E28+E29+E32+E33+E36+E37</f>
        <v>0</v>
      </c>
      <c r="F39" s="474">
        <f>F24+F25+F28+F29+F32+F33+F36+F37</f>
        <v>0</v>
      </c>
      <c r="G39" s="474">
        <f>G24+G25+G28+G29+G32+G33+G36+G37</f>
        <v>0</v>
      </c>
      <c r="H39" s="474">
        <f>H24+H25+H28+H29+H32+H33+H36+H37</f>
        <v>0</v>
      </c>
      <c r="I39" s="475">
        <f>I23+I27+I31+I35</f>
        <v>0</v>
      </c>
      <c r="J39" s="475">
        <f t="shared" ref="J39:T39" si="15">J23+J27+J31+J35</f>
        <v>0</v>
      </c>
      <c r="K39" s="475">
        <f t="shared" si="15"/>
        <v>0</v>
      </c>
      <c r="L39" s="475">
        <f t="shared" si="15"/>
        <v>0</v>
      </c>
      <c r="M39" s="475">
        <f t="shared" si="15"/>
        <v>0</v>
      </c>
      <c r="N39" s="475">
        <f t="shared" si="15"/>
        <v>0</v>
      </c>
      <c r="O39" s="475">
        <f t="shared" si="15"/>
        <v>0</v>
      </c>
      <c r="P39" s="475">
        <f t="shared" si="15"/>
        <v>0</v>
      </c>
      <c r="Q39" s="475">
        <f t="shared" si="15"/>
        <v>0</v>
      </c>
      <c r="R39" s="475">
        <f t="shared" si="15"/>
        <v>0</v>
      </c>
      <c r="S39" s="475">
        <f t="shared" si="15"/>
        <v>0</v>
      </c>
      <c r="T39" s="475">
        <f t="shared" si="15"/>
        <v>0</v>
      </c>
    </row>
    <row r="40" spans="1:20" s="486" customFormat="1" hidden="1" x14ac:dyDescent="0.25">
      <c r="A40" s="483"/>
      <c r="B40" s="484"/>
      <c r="C40" s="2625" t="s">
        <v>690</v>
      </c>
      <c r="D40" s="2626"/>
      <c r="E40" s="2626"/>
      <c r="F40" s="2626"/>
      <c r="G40" s="2626"/>
      <c r="H40" s="2627"/>
      <c r="I40" s="485">
        <f t="shared" ref="I40:T40" si="16">I19-I39</f>
        <v>571974.38</v>
      </c>
      <c r="J40" s="485">
        <f t="shared" si="16"/>
        <v>508819.58</v>
      </c>
      <c r="K40" s="485">
        <f t="shared" si="16"/>
        <v>375031.73</v>
      </c>
      <c r="L40" s="485">
        <f t="shared" si="16"/>
        <v>360881.54</v>
      </c>
      <c r="M40" s="485">
        <f t="shared" si="16"/>
        <v>280826.62</v>
      </c>
      <c r="N40" s="485">
        <f t="shared" si="16"/>
        <v>196924.08</v>
      </c>
      <c r="O40" s="485">
        <f t="shared" si="16"/>
        <v>103511.73</v>
      </c>
      <c r="P40" s="485">
        <f t="shared" si="16"/>
        <v>103511.73</v>
      </c>
      <c r="Q40" s="485">
        <f t="shared" si="16"/>
        <v>286803.71999999997</v>
      </c>
      <c r="R40" s="485">
        <f t="shared" si="16"/>
        <v>252654.66</v>
      </c>
      <c r="S40" s="485">
        <f t="shared" si="16"/>
        <v>102135.88</v>
      </c>
      <c r="T40" s="485">
        <f t="shared" si="16"/>
        <v>32337.87</v>
      </c>
    </row>
  </sheetData>
  <mergeCells count="17">
    <mergeCell ref="C34:H34"/>
    <mergeCell ref="C38:H38"/>
    <mergeCell ref="C40:H40"/>
    <mergeCell ref="C21:C22"/>
    <mergeCell ref="D21:D22"/>
    <mergeCell ref="E21:H21"/>
    <mergeCell ref="I21:T21"/>
    <mergeCell ref="C26:H26"/>
    <mergeCell ref="C30:H30"/>
    <mergeCell ref="A2:A5"/>
    <mergeCell ref="B2:B5"/>
    <mergeCell ref="C2:C5"/>
    <mergeCell ref="D2:D5"/>
    <mergeCell ref="E2:T2"/>
    <mergeCell ref="E3:T3"/>
    <mergeCell ref="E4:H4"/>
    <mergeCell ref="I4:T4"/>
  </mergeCells>
  <pageMargins left="0.7" right="0.7" top="0.75" bottom="0.75" header="0.3" footer="0.3"/>
  <pageSetup paperSize="9" scale="3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O132"/>
  <sheetViews>
    <sheetView view="pageBreakPreview" topLeftCell="F4" zoomScaleSheetLayoutView="100" workbookViewId="0">
      <pane xSplit="98" ySplit="5" topLeftCell="CZ62" activePane="bottomRight" state="frozen"/>
      <selection activeCell="F4" sqref="F4"/>
      <selection pane="topRight" activeCell="CZ4" sqref="CZ4"/>
      <selection pane="bottomLeft" activeCell="F9" sqref="F9"/>
      <selection pane="bottomRight" activeCell="DC115" sqref="DC115:DD115"/>
    </sheetView>
  </sheetViews>
  <sheetFormatPr defaultRowHeight="10.15" customHeight="1" x14ac:dyDescent="0.2"/>
  <cols>
    <col min="1" max="5" width="0.28515625" style="175" hidden="1" customWidth="1"/>
    <col min="6" max="7" width="3.85546875" style="175" customWidth="1"/>
    <col min="8" max="14" width="2" style="175" customWidth="1"/>
    <col min="15" max="34" width="0.5703125" style="175" customWidth="1"/>
    <col min="35" max="35" width="2.140625" style="175" customWidth="1"/>
    <col min="36" max="38" width="0.5703125" style="175" customWidth="1"/>
    <col min="39" max="39" width="4" style="175" customWidth="1"/>
    <col min="40" max="43" width="0.5703125" style="175" customWidth="1"/>
    <col min="44" max="44" width="2.5703125" style="175" customWidth="1"/>
    <col min="45" max="45" width="0.5703125" style="175" customWidth="1"/>
    <col min="46" max="46" width="2.7109375" style="175" customWidth="1"/>
    <col min="47" max="49" width="0.28515625" style="175" customWidth="1"/>
    <col min="50" max="50" width="1.85546875" style="175" customWidth="1"/>
    <col min="51" max="51" width="6.28515625" style="175" hidden="1" customWidth="1"/>
    <col min="52" max="52" width="6.140625" style="175" customWidth="1"/>
    <col min="53" max="53" width="9" style="175" customWidth="1"/>
    <col min="54" max="54" width="19" style="175" customWidth="1"/>
    <col min="55" max="55" width="6.7109375" style="175" customWidth="1"/>
    <col min="56" max="56" width="6.7109375" style="175" hidden="1" customWidth="1"/>
    <col min="57" max="57" width="6" style="175" customWidth="1"/>
    <col min="58" max="58" width="5.5703125" style="175" customWidth="1"/>
    <col min="59" max="59" width="13.28515625" style="175" hidden="1" customWidth="1"/>
    <col min="60" max="60" width="11.140625" style="195" hidden="1" customWidth="1"/>
    <col min="61" max="61" width="13.28515625" style="175" hidden="1" customWidth="1"/>
    <col min="62" max="62" width="11" style="175" hidden="1" customWidth="1"/>
    <col min="63" max="63" width="9.28515625" style="175" hidden="1" customWidth="1"/>
    <col min="64" max="64" width="13" style="175" hidden="1" customWidth="1"/>
    <col min="65" max="65" width="9.7109375" style="175" hidden="1" customWidth="1"/>
    <col min="66" max="66" width="12.140625" style="175" hidden="1" customWidth="1"/>
    <col min="67" max="67" width="11.7109375" style="175" hidden="1" customWidth="1"/>
    <col min="68" max="68" width="13" style="175" hidden="1" customWidth="1"/>
    <col min="69" max="70" width="11.7109375" style="175" hidden="1" customWidth="1"/>
    <col min="71" max="71" width="12.140625" style="175" hidden="1" customWidth="1"/>
    <col min="72" max="72" width="11.7109375" style="175" hidden="1" customWidth="1"/>
    <col min="73" max="73" width="12.5703125" style="175" hidden="1" customWidth="1"/>
    <col min="74" max="76" width="11.7109375" style="175" hidden="1" customWidth="1"/>
    <col min="77" max="77" width="13.28515625" style="175" hidden="1" customWidth="1"/>
    <col min="78" max="78" width="11" style="175" hidden="1" customWidth="1"/>
    <col min="79" max="79" width="9.28515625" style="175" hidden="1" customWidth="1"/>
    <col min="80" max="80" width="13" style="175" hidden="1" customWidth="1"/>
    <col min="81" max="81" width="11.28515625" style="175" hidden="1" customWidth="1"/>
    <col min="82" max="82" width="12.140625" style="175" hidden="1" customWidth="1"/>
    <col min="83" max="84" width="11.28515625" style="175" hidden="1" customWidth="1"/>
    <col min="85" max="85" width="14.7109375" style="309" hidden="1" customWidth="1"/>
    <col min="86" max="86" width="13.28515625" style="320" hidden="1" customWidth="1"/>
    <col min="87" max="87" width="11" style="320" hidden="1" customWidth="1"/>
    <col min="88" max="88" width="9.28515625" style="320" hidden="1" customWidth="1"/>
    <col min="89" max="89" width="13" style="320" hidden="1" customWidth="1"/>
    <col min="90" max="90" width="11.28515625" style="320" hidden="1" customWidth="1"/>
    <col min="91" max="91" width="12.140625" style="320" hidden="1" customWidth="1"/>
    <col min="92" max="93" width="11.28515625" style="320" hidden="1" customWidth="1"/>
    <col min="94" max="94" width="14.7109375" style="321" hidden="1" customWidth="1"/>
    <col min="95" max="95" width="13.28515625" style="322" hidden="1" customWidth="1"/>
    <col min="96" max="96" width="11" style="322" hidden="1" customWidth="1"/>
    <col min="97" max="97" width="10.7109375" style="322" hidden="1" customWidth="1"/>
    <col min="98" max="98" width="13" style="322" hidden="1" customWidth="1"/>
    <col min="99" max="99" width="11.28515625" style="322" hidden="1" customWidth="1"/>
    <col min="100" max="100" width="12.140625" style="322" hidden="1" customWidth="1"/>
    <col min="101" max="102" width="11.28515625" style="322" hidden="1" customWidth="1"/>
    <col min="103" max="103" width="14.7109375" style="323" hidden="1" customWidth="1"/>
    <col min="104" max="104" width="13.28515625" style="175" customWidth="1"/>
    <col min="105" max="105" width="17.42578125" style="175" customWidth="1"/>
    <col min="106" max="106" width="10.7109375" style="175" hidden="1" customWidth="1"/>
    <col min="107" max="107" width="17.85546875" style="175" customWidth="1"/>
    <col min="108" max="108" width="11.85546875" style="175" hidden="1" customWidth="1"/>
    <col min="109" max="109" width="15.5703125" style="175" customWidth="1"/>
    <col min="110" max="110" width="12.5703125" style="175" hidden="1" customWidth="1"/>
    <col min="111" max="111" width="12.7109375" style="175" customWidth="1"/>
    <col min="112" max="112" width="12" style="309" customWidth="1"/>
    <col min="113" max="113" width="10" style="3" bestFit="1" customWidth="1"/>
    <col min="114" max="114" width="0" style="175" hidden="1" customWidth="1"/>
    <col min="115" max="115" width="10" style="175" bestFit="1" customWidth="1"/>
    <col min="116" max="116" width="14.28515625" style="175" bestFit="1" customWidth="1"/>
    <col min="117" max="117" width="10.85546875" style="175" bestFit="1" customWidth="1"/>
    <col min="118" max="16384" width="9.140625" style="175"/>
  </cols>
  <sheetData>
    <row r="1" spans="1:119" ht="14.25" x14ac:dyDescent="0.2">
      <c r="A1" s="2639" t="s">
        <v>488</v>
      </c>
      <c r="B1" s="2639"/>
      <c r="C1" s="2639"/>
      <c r="D1" s="2639"/>
      <c r="E1" s="2639"/>
      <c r="F1" s="2639"/>
      <c r="G1" s="2639"/>
      <c r="H1" s="2639"/>
      <c r="I1" s="2639"/>
      <c r="J1" s="2639"/>
      <c r="K1" s="2639"/>
      <c r="L1" s="2639"/>
      <c r="M1" s="2639"/>
      <c r="N1" s="2639"/>
      <c r="O1" s="2639"/>
      <c r="P1" s="2639"/>
      <c r="Q1" s="2639"/>
      <c r="R1" s="2639"/>
      <c r="S1" s="2639"/>
      <c r="T1" s="2639"/>
      <c r="U1" s="2639"/>
      <c r="V1" s="2639"/>
      <c r="W1" s="2639"/>
      <c r="X1" s="2639"/>
      <c r="Y1" s="2639"/>
      <c r="Z1" s="2639"/>
      <c r="AA1" s="2639"/>
      <c r="AB1" s="2639"/>
      <c r="AC1" s="2639"/>
      <c r="AD1" s="2639"/>
      <c r="AE1" s="2639"/>
      <c r="AF1" s="2639"/>
      <c r="AG1" s="2639"/>
      <c r="AH1" s="2639"/>
      <c r="AI1" s="2639"/>
      <c r="AJ1" s="2639"/>
      <c r="AK1" s="2639"/>
      <c r="AL1" s="2639"/>
      <c r="AM1" s="2639"/>
      <c r="AN1" s="2639"/>
      <c r="AO1" s="2639"/>
      <c r="AP1" s="2639"/>
      <c r="AQ1" s="2639"/>
      <c r="AR1" s="2639"/>
      <c r="AS1" s="2639"/>
      <c r="AT1" s="2639"/>
      <c r="AU1" s="2639"/>
      <c r="AV1" s="2639"/>
      <c r="AW1" s="2639"/>
      <c r="AX1" s="2639"/>
      <c r="AY1" s="2639"/>
      <c r="AZ1" s="2639"/>
      <c r="BA1" s="2639"/>
      <c r="BB1" s="2639"/>
      <c r="BC1" s="2639"/>
      <c r="BD1" s="2639"/>
      <c r="BE1" s="2639"/>
      <c r="BF1" s="2639"/>
      <c r="BG1" s="2639"/>
      <c r="BH1" s="2639"/>
      <c r="BI1" s="2639"/>
      <c r="BJ1" s="2639"/>
      <c r="BK1" s="2639"/>
      <c r="BL1" s="2639"/>
      <c r="BM1" s="2639"/>
      <c r="BN1" s="2639"/>
      <c r="BO1" s="2639"/>
      <c r="BP1" s="2639"/>
      <c r="BQ1" s="2639"/>
      <c r="BR1" s="2639"/>
      <c r="BS1" s="2639"/>
      <c r="BT1" s="2639"/>
      <c r="BU1" s="2639"/>
      <c r="BV1" s="2639"/>
      <c r="BW1" s="2639"/>
      <c r="BX1" s="2639"/>
      <c r="BY1" s="2639"/>
      <c r="BZ1" s="2639"/>
      <c r="CA1" s="2639"/>
      <c r="CB1" s="2639"/>
      <c r="CC1" s="2639"/>
      <c r="CD1" s="2639"/>
      <c r="CE1" s="2639"/>
      <c r="CF1" s="2639"/>
      <c r="CG1" s="2639"/>
      <c r="CH1" s="2639"/>
      <c r="CI1" s="2639"/>
      <c r="CJ1" s="2639"/>
      <c r="CK1" s="2639"/>
      <c r="CL1" s="2639"/>
      <c r="CM1" s="2639"/>
      <c r="CN1" s="2639"/>
      <c r="CO1" s="2639"/>
      <c r="CP1" s="2639"/>
      <c r="CQ1" s="2639"/>
      <c r="CR1" s="2639"/>
      <c r="CS1" s="2639"/>
      <c r="CT1" s="2639"/>
      <c r="CU1" s="2639"/>
      <c r="CV1" s="2639"/>
      <c r="CW1" s="2639"/>
      <c r="CX1" s="2639"/>
      <c r="CY1" s="2639"/>
      <c r="CZ1" s="2639"/>
      <c r="DA1" s="2639"/>
      <c r="DB1" s="2639"/>
      <c r="DC1" s="2639"/>
      <c r="DD1" s="2639"/>
      <c r="DE1" s="2639"/>
      <c r="DF1" s="2639"/>
      <c r="DG1" s="2639"/>
      <c r="DH1" s="2639"/>
    </row>
    <row r="2" spans="1:119" ht="14.25" x14ac:dyDescent="0.2">
      <c r="A2" s="2639" t="s">
        <v>400</v>
      </c>
      <c r="B2" s="2639"/>
      <c r="C2" s="2639"/>
      <c r="D2" s="2639"/>
      <c r="E2" s="2639"/>
      <c r="F2" s="2639"/>
      <c r="G2" s="2639"/>
      <c r="H2" s="2639"/>
      <c r="I2" s="2639"/>
      <c r="J2" s="2639"/>
      <c r="K2" s="2639"/>
      <c r="L2" s="2639"/>
      <c r="M2" s="2639"/>
      <c r="N2" s="2639"/>
      <c r="O2" s="2639"/>
      <c r="P2" s="2639"/>
      <c r="Q2" s="2639"/>
      <c r="R2" s="2639"/>
      <c r="S2" s="2639"/>
      <c r="T2" s="2639"/>
      <c r="U2" s="2639"/>
      <c r="V2" s="2639"/>
      <c r="W2" s="2639"/>
      <c r="X2" s="2639"/>
      <c r="Y2" s="2639"/>
      <c r="Z2" s="2639"/>
      <c r="AA2" s="2639"/>
      <c r="AB2" s="2639"/>
      <c r="AC2" s="2639"/>
      <c r="AD2" s="2639"/>
      <c r="AE2" s="2639"/>
      <c r="AF2" s="2639"/>
      <c r="AG2" s="2639"/>
      <c r="AH2" s="2639"/>
      <c r="AI2" s="2639"/>
      <c r="AJ2" s="2639"/>
      <c r="AK2" s="2639"/>
      <c r="AL2" s="2639"/>
      <c r="AM2" s="2639"/>
      <c r="AN2" s="2639"/>
      <c r="AO2" s="2639"/>
      <c r="AP2" s="2639"/>
      <c r="AQ2" s="2639"/>
      <c r="AR2" s="2639"/>
      <c r="AS2" s="2639"/>
      <c r="AT2" s="2639"/>
      <c r="AU2" s="2639"/>
      <c r="AV2" s="2639"/>
      <c r="AW2" s="2639"/>
      <c r="AX2" s="2639"/>
      <c r="AY2" s="2639"/>
      <c r="AZ2" s="2639"/>
      <c r="BA2" s="2639"/>
      <c r="BB2" s="2639"/>
      <c r="BC2" s="2639"/>
      <c r="BD2" s="2639"/>
      <c r="BE2" s="2639"/>
      <c r="BF2" s="2639"/>
      <c r="BG2" s="2639"/>
      <c r="BH2" s="2639"/>
      <c r="BI2" s="2639"/>
      <c r="BJ2" s="2639"/>
      <c r="BK2" s="2639"/>
      <c r="BL2" s="2639"/>
      <c r="BM2" s="2639"/>
      <c r="BN2" s="2639"/>
      <c r="BO2" s="2639"/>
      <c r="BP2" s="2639"/>
      <c r="BQ2" s="2639"/>
      <c r="BR2" s="2639"/>
      <c r="BS2" s="2639"/>
      <c r="BT2" s="2639"/>
      <c r="BU2" s="2639"/>
      <c r="BV2" s="2639"/>
      <c r="BW2" s="2639"/>
      <c r="BX2" s="2639"/>
      <c r="BY2" s="2639"/>
      <c r="BZ2" s="2639"/>
      <c r="CA2" s="2639"/>
      <c r="CB2" s="2639"/>
      <c r="CC2" s="2639"/>
      <c r="CD2" s="2639"/>
      <c r="CE2" s="2639"/>
      <c r="CF2" s="2639"/>
      <c r="CG2" s="2639"/>
      <c r="CH2" s="2639"/>
      <c r="CI2" s="2639"/>
      <c r="CJ2" s="2639"/>
      <c r="CK2" s="2639"/>
      <c r="CL2" s="2639"/>
      <c r="CM2" s="2639"/>
      <c r="CN2" s="2639"/>
      <c r="CO2" s="2639"/>
      <c r="CP2" s="2639"/>
      <c r="CQ2" s="2639"/>
      <c r="CR2" s="2639"/>
      <c r="CS2" s="2639"/>
      <c r="CT2" s="2639"/>
      <c r="CU2" s="2639"/>
      <c r="CV2" s="2639"/>
      <c r="CW2" s="2639"/>
      <c r="CX2" s="2639"/>
      <c r="CY2" s="2639"/>
      <c r="CZ2" s="2639"/>
      <c r="DA2" s="2639"/>
      <c r="DB2" s="2639"/>
      <c r="DC2" s="2639"/>
      <c r="DD2" s="2639"/>
      <c r="DE2" s="2639"/>
      <c r="DF2" s="2639"/>
      <c r="DG2" s="2639"/>
      <c r="DH2" s="2639"/>
    </row>
    <row r="3" spans="1:119" ht="12.75" x14ac:dyDescent="0.2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7"/>
      <c r="BI3" s="176"/>
      <c r="BJ3" s="176"/>
      <c r="BK3" s="176"/>
      <c r="BL3" s="176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6"/>
      <c r="BZ3" s="176"/>
      <c r="CA3" s="176"/>
      <c r="CB3" s="176"/>
      <c r="CC3" s="178"/>
      <c r="CD3" s="178"/>
      <c r="CE3" s="178"/>
      <c r="CF3" s="178"/>
      <c r="CG3" s="179"/>
      <c r="CH3" s="180"/>
      <c r="CI3" s="180"/>
      <c r="CJ3" s="180"/>
      <c r="CK3" s="180"/>
      <c r="CL3" s="181"/>
      <c r="CM3" s="181"/>
      <c r="CN3" s="181"/>
      <c r="CO3" s="181"/>
      <c r="CP3" s="181"/>
      <c r="CQ3" s="182"/>
      <c r="CR3" s="182"/>
      <c r="CS3" s="182"/>
      <c r="CT3" s="182"/>
      <c r="CU3" s="183"/>
      <c r="CV3" s="183"/>
      <c r="CW3" s="183"/>
      <c r="CX3" s="183"/>
      <c r="CY3" s="183"/>
      <c r="CZ3" s="176"/>
      <c r="DA3" s="176"/>
      <c r="DB3" s="176"/>
      <c r="DC3" s="176"/>
      <c r="DD3" s="178"/>
      <c r="DE3" s="178"/>
      <c r="DF3" s="178"/>
      <c r="DG3" s="178"/>
      <c r="DH3" s="179"/>
    </row>
    <row r="4" spans="1:119" ht="12.75" x14ac:dyDescent="0.2">
      <c r="A4" s="2640" t="s">
        <v>1</v>
      </c>
      <c r="B4" s="2641"/>
      <c r="C4" s="2641"/>
      <c r="D4" s="2641"/>
      <c r="E4" s="2641"/>
      <c r="F4" s="2641"/>
      <c r="G4" s="2641"/>
      <c r="H4" s="2641"/>
      <c r="I4" s="2641"/>
      <c r="J4" s="2641"/>
      <c r="K4" s="2641"/>
      <c r="L4" s="2641"/>
      <c r="M4" s="2641"/>
      <c r="N4" s="2641"/>
      <c r="O4" s="2641"/>
      <c r="P4" s="2641"/>
      <c r="Q4" s="2641"/>
      <c r="R4" s="2641"/>
      <c r="S4" s="2641"/>
      <c r="T4" s="2641"/>
      <c r="U4" s="2641"/>
      <c r="V4" s="2641"/>
      <c r="W4" s="2641"/>
      <c r="X4" s="2641"/>
      <c r="Y4" s="2641"/>
      <c r="Z4" s="2641"/>
      <c r="AA4" s="2641"/>
      <c r="AB4" s="2641"/>
      <c r="AC4" s="2641"/>
      <c r="AD4" s="2641"/>
      <c r="AE4" s="2641"/>
      <c r="AF4" s="2641"/>
      <c r="AG4" s="2641"/>
      <c r="AH4" s="2641"/>
      <c r="AI4" s="2641"/>
      <c r="AJ4" s="2641"/>
      <c r="AK4" s="2641"/>
      <c r="AL4" s="2641"/>
      <c r="AM4" s="2641"/>
      <c r="AN4" s="2641"/>
      <c r="AO4" s="2641"/>
      <c r="AP4" s="2641"/>
      <c r="AQ4" s="2641"/>
      <c r="AR4" s="2641"/>
      <c r="AS4" s="2641"/>
      <c r="AT4" s="2641"/>
      <c r="AU4" s="2641"/>
      <c r="AV4" s="2641"/>
      <c r="AW4" s="2641"/>
      <c r="AX4" s="2642"/>
      <c r="AY4" s="2631" t="s">
        <v>2</v>
      </c>
      <c r="AZ4" s="2631" t="s">
        <v>401</v>
      </c>
      <c r="BA4" s="2631" t="s">
        <v>402</v>
      </c>
      <c r="BB4" s="2631" t="s">
        <v>403</v>
      </c>
      <c r="BC4" s="2631" t="s">
        <v>236</v>
      </c>
      <c r="BD4" s="2631" t="s">
        <v>404</v>
      </c>
      <c r="BE4" s="2631" t="s">
        <v>405</v>
      </c>
      <c r="BF4" s="2631" t="s">
        <v>406</v>
      </c>
      <c r="BG4" s="2685"/>
      <c r="BH4" s="2685"/>
      <c r="BI4" s="2685"/>
      <c r="BJ4" s="2685"/>
      <c r="BK4" s="2685"/>
      <c r="BL4" s="2685"/>
      <c r="BM4" s="2685"/>
      <c r="BN4" s="2685"/>
      <c r="BO4" s="2685"/>
      <c r="BP4" s="2685"/>
      <c r="BQ4" s="2685"/>
      <c r="BR4" s="2685"/>
      <c r="BS4" s="2685"/>
      <c r="BT4" s="2685"/>
      <c r="BU4" s="2685"/>
      <c r="BV4" s="2685"/>
      <c r="BW4" s="2685"/>
      <c r="BX4" s="2685"/>
      <c r="BY4" s="2685"/>
      <c r="BZ4" s="2685"/>
      <c r="CA4" s="2685"/>
      <c r="CB4" s="2685"/>
      <c r="CC4" s="2685"/>
      <c r="CD4" s="2685"/>
      <c r="CE4" s="2685"/>
      <c r="CF4" s="2685"/>
      <c r="CG4" s="2685"/>
      <c r="CH4" s="2685"/>
      <c r="CI4" s="2685"/>
      <c r="CJ4" s="2685"/>
      <c r="CK4" s="2685"/>
      <c r="CL4" s="2685"/>
      <c r="CM4" s="2685"/>
      <c r="CN4" s="2685"/>
      <c r="CO4" s="2685"/>
      <c r="CP4" s="2685"/>
      <c r="CQ4" s="2685"/>
      <c r="CR4" s="2685"/>
      <c r="CS4" s="2685"/>
      <c r="CT4" s="2685"/>
      <c r="CU4" s="2685"/>
      <c r="CV4" s="2685"/>
      <c r="CW4" s="2685"/>
      <c r="CX4" s="2685"/>
      <c r="CY4" s="2685"/>
      <c r="CZ4" s="2685"/>
      <c r="DA4" s="2685"/>
      <c r="DB4" s="2685"/>
      <c r="DC4" s="2685"/>
      <c r="DD4" s="2685"/>
      <c r="DE4" s="2685"/>
      <c r="DF4" s="2685"/>
      <c r="DG4" s="2685"/>
      <c r="DH4" s="2685"/>
    </row>
    <row r="5" spans="1:119" ht="9.75" customHeight="1" x14ac:dyDescent="0.2">
      <c r="A5" s="2643"/>
      <c r="B5" s="2644"/>
      <c r="C5" s="2644"/>
      <c r="D5" s="2644"/>
      <c r="E5" s="2644"/>
      <c r="F5" s="2644"/>
      <c r="G5" s="2644"/>
      <c r="H5" s="2644"/>
      <c r="I5" s="2644"/>
      <c r="J5" s="2644"/>
      <c r="K5" s="2644"/>
      <c r="L5" s="2644"/>
      <c r="M5" s="2644"/>
      <c r="N5" s="2644"/>
      <c r="O5" s="2644"/>
      <c r="P5" s="2644"/>
      <c r="Q5" s="2644"/>
      <c r="R5" s="2644"/>
      <c r="S5" s="2644"/>
      <c r="T5" s="2644"/>
      <c r="U5" s="2644"/>
      <c r="V5" s="2644"/>
      <c r="W5" s="2644"/>
      <c r="X5" s="2644"/>
      <c r="Y5" s="2644"/>
      <c r="Z5" s="2644"/>
      <c r="AA5" s="2644"/>
      <c r="AB5" s="2644"/>
      <c r="AC5" s="2644"/>
      <c r="AD5" s="2644"/>
      <c r="AE5" s="2644"/>
      <c r="AF5" s="2644"/>
      <c r="AG5" s="2644"/>
      <c r="AH5" s="2644"/>
      <c r="AI5" s="2644"/>
      <c r="AJ5" s="2644"/>
      <c r="AK5" s="2644"/>
      <c r="AL5" s="2644"/>
      <c r="AM5" s="2644"/>
      <c r="AN5" s="2644"/>
      <c r="AO5" s="2644"/>
      <c r="AP5" s="2644"/>
      <c r="AQ5" s="2644"/>
      <c r="AR5" s="2644"/>
      <c r="AS5" s="2644"/>
      <c r="AT5" s="2644"/>
      <c r="AU5" s="2644"/>
      <c r="AV5" s="2644"/>
      <c r="AW5" s="2644"/>
      <c r="AX5" s="2645"/>
      <c r="AY5" s="2649"/>
      <c r="AZ5" s="2649"/>
      <c r="BA5" s="2649"/>
      <c r="BB5" s="2649"/>
      <c r="BC5" s="2649"/>
      <c r="BD5" s="2649"/>
      <c r="BE5" s="2649"/>
      <c r="BF5" s="2649"/>
      <c r="BG5" s="2631" t="s">
        <v>407</v>
      </c>
      <c r="BH5" s="2686" t="s">
        <v>408</v>
      </c>
      <c r="BI5" s="2631" t="s">
        <v>409</v>
      </c>
      <c r="BJ5" s="2628" t="s">
        <v>410</v>
      </c>
      <c r="BK5" s="2629"/>
      <c r="BL5" s="2629"/>
      <c r="BM5" s="2629"/>
      <c r="BN5" s="2629"/>
      <c r="BO5" s="2630"/>
      <c r="BP5" s="2631" t="s">
        <v>411</v>
      </c>
      <c r="BQ5" s="2628" t="s">
        <v>410</v>
      </c>
      <c r="BR5" s="2629"/>
      <c r="BS5" s="2629"/>
      <c r="BT5" s="2629"/>
      <c r="BU5" s="2629"/>
      <c r="BV5" s="2630"/>
      <c r="BW5" s="2633" t="s">
        <v>412</v>
      </c>
      <c r="BX5" s="2636" t="s">
        <v>413</v>
      </c>
      <c r="BY5" s="2663">
        <v>42901</v>
      </c>
      <c r="BZ5" s="2628" t="s">
        <v>410</v>
      </c>
      <c r="CA5" s="2629"/>
      <c r="CB5" s="2629"/>
      <c r="CC5" s="2629"/>
      <c r="CD5" s="2629"/>
      <c r="CE5" s="2630"/>
      <c r="CF5" s="2633" t="s">
        <v>412</v>
      </c>
      <c r="CG5" s="2636" t="s">
        <v>413</v>
      </c>
      <c r="CH5" s="2664">
        <v>42937</v>
      </c>
      <c r="CI5" s="2667" t="s">
        <v>410</v>
      </c>
      <c r="CJ5" s="2668"/>
      <c r="CK5" s="2668"/>
      <c r="CL5" s="2668"/>
      <c r="CM5" s="2668"/>
      <c r="CN5" s="2669"/>
      <c r="CO5" s="2660" t="s">
        <v>412</v>
      </c>
      <c r="CP5" s="2687" t="s">
        <v>413</v>
      </c>
      <c r="CQ5" s="2690">
        <v>43000</v>
      </c>
      <c r="CR5" s="2680" t="s">
        <v>410</v>
      </c>
      <c r="CS5" s="2693"/>
      <c r="CT5" s="2693"/>
      <c r="CU5" s="2693"/>
      <c r="CV5" s="2693"/>
      <c r="CW5" s="2694"/>
      <c r="CX5" s="2695" t="s">
        <v>412</v>
      </c>
      <c r="CY5" s="2698" t="s">
        <v>413</v>
      </c>
      <c r="CZ5" s="2682" t="s">
        <v>520</v>
      </c>
      <c r="DA5" s="2628" t="s">
        <v>410</v>
      </c>
      <c r="DB5" s="2629"/>
      <c r="DC5" s="2629"/>
      <c r="DD5" s="2629"/>
      <c r="DE5" s="2629"/>
      <c r="DF5" s="2630"/>
      <c r="DG5" s="2651" t="s">
        <v>605</v>
      </c>
      <c r="DH5" s="2654" t="s">
        <v>413</v>
      </c>
    </row>
    <row r="6" spans="1:119" ht="14.25" customHeight="1" x14ac:dyDescent="0.2">
      <c r="A6" s="2643"/>
      <c r="B6" s="2644"/>
      <c r="C6" s="2644"/>
      <c r="D6" s="2644"/>
      <c r="E6" s="2644"/>
      <c r="F6" s="2644"/>
      <c r="G6" s="2644"/>
      <c r="H6" s="2644"/>
      <c r="I6" s="2644"/>
      <c r="J6" s="2644"/>
      <c r="K6" s="2644"/>
      <c r="L6" s="2644"/>
      <c r="M6" s="2644"/>
      <c r="N6" s="2644"/>
      <c r="O6" s="2644"/>
      <c r="P6" s="2644"/>
      <c r="Q6" s="2644"/>
      <c r="R6" s="2644"/>
      <c r="S6" s="2644"/>
      <c r="T6" s="2644"/>
      <c r="U6" s="2644"/>
      <c r="V6" s="2644"/>
      <c r="W6" s="2644"/>
      <c r="X6" s="2644"/>
      <c r="Y6" s="2644"/>
      <c r="Z6" s="2644"/>
      <c r="AA6" s="2644"/>
      <c r="AB6" s="2644"/>
      <c r="AC6" s="2644"/>
      <c r="AD6" s="2644"/>
      <c r="AE6" s="2644"/>
      <c r="AF6" s="2644"/>
      <c r="AG6" s="2644"/>
      <c r="AH6" s="2644"/>
      <c r="AI6" s="2644"/>
      <c r="AJ6" s="2644"/>
      <c r="AK6" s="2644"/>
      <c r="AL6" s="2644"/>
      <c r="AM6" s="2644"/>
      <c r="AN6" s="2644"/>
      <c r="AO6" s="2644"/>
      <c r="AP6" s="2644"/>
      <c r="AQ6" s="2644"/>
      <c r="AR6" s="2644"/>
      <c r="AS6" s="2644"/>
      <c r="AT6" s="2644"/>
      <c r="AU6" s="2644"/>
      <c r="AV6" s="2644"/>
      <c r="AW6" s="2644"/>
      <c r="AX6" s="2645"/>
      <c r="AY6" s="2649"/>
      <c r="AZ6" s="2649"/>
      <c r="BA6" s="2649"/>
      <c r="BB6" s="2649"/>
      <c r="BC6" s="2649"/>
      <c r="BD6" s="2649"/>
      <c r="BE6" s="2649"/>
      <c r="BF6" s="2649"/>
      <c r="BG6" s="2632"/>
      <c r="BH6" s="2632"/>
      <c r="BI6" s="2632"/>
      <c r="BJ6" s="2628" t="s">
        <v>371</v>
      </c>
      <c r="BK6" s="2657"/>
      <c r="BL6" s="2628" t="s">
        <v>379</v>
      </c>
      <c r="BM6" s="2657"/>
      <c r="BN6" s="2628" t="s">
        <v>414</v>
      </c>
      <c r="BO6" s="2657"/>
      <c r="BP6" s="2632"/>
      <c r="BQ6" s="2658" t="s">
        <v>371</v>
      </c>
      <c r="BR6" s="2659"/>
      <c r="BS6" s="2658" t="s">
        <v>379</v>
      </c>
      <c r="BT6" s="2659"/>
      <c r="BU6" s="2628" t="s">
        <v>414</v>
      </c>
      <c r="BV6" s="2657"/>
      <c r="BW6" s="2634"/>
      <c r="BX6" s="2637"/>
      <c r="BY6" s="2632"/>
      <c r="BZ6" s="2658" t="s">
        <v>371</v>
      </c>
      <c r="CA6" s="2659"/>
      <c r="CB6" s="2658" t="s">
        <v>379</v>
      </c>
      <c r="CC6" s="2659"/>
      <c r="CD6" s="2628" t="s">
        <v>414</v>
      </c>
      <c r="CE6" s="2657"/>
      <c r="CF6" s="2634"/>
      <c r="CG6" s="2637"/>
      <c r="CH6" s="2665"/>
      <c r="CI6" s="2670" t="s">
        <v>371</v>
      </c>
      <c r="CJ6" s="2671"/>
      <c r="CK6" s="2670" t="s">
        <v>379</v>
      </c>
      <c r="CL6" s="2671"/>
      <c r="CM6" s="2667" t="s">
        <v>414</v>
      </c>
      <c r="CN6" s="2677"/>
      <c r="CO6" s="2661"/>
      <c r="CP6" s="2688"/>
      <c r="CQ6" s="2691"/>
      <c r="CR6" s="2678" t="s">
        <v>371</v>
      </c>
      <c r="CS6" s="2679"/>
      <c r="CT6" s="2678" t="s">
        <v>379</v>
      </c>
      <c r="CU6" s="2679"/>
      <c r="CV6" s="2680" t="s">
        <v>414</v>
      </c>
      <c r="CW6" s="2681"/>
      <c r="CX6" s="2696"/>
      <c r="CY6" s="2699"/>
      <c r="CZ6" s="2683"/>
      <c r="DA6" s="2658" t="s">
        <v>371</v>
      </c>
      <c r="DB6" s="2659"/>
      <c r="DC6" s="2658" t="s">
        <v>379</v>
      </c>
      <c r="DD6" s="2659"/>
      <c r="DE6" s="2628" t="s">
        <v>606</v>
      </c>
      <c r="DF6" s="2657"/>
      <c r="DG6" s="2652"/>
      <c r="DH6" s="2655"/>
    </row>
    <row r="7" spans="1:119" ht="15" customHeight="1" x14ac:dyDescent="0.2">
      <c r="A7" s="2646"/>
      <c r="B7" s="2647"/>
      <c r="C7" s="2647"/>
      <c r="D7" s="2647"/>
      <c r="E7" s="2647"/>
      <c r="F7" s="2647"/>
      <c r="G7" s="2647"/>
      <c r="H7" s="2647"/>
      <c r="I7" s="2647"/>
      <c r="J7" s="2647"/>
      <c r="K7" s="2647"/>
      <c r="L7" s="2647"/>
      <c r="M7" s="2647"/>
      <c r="N7" s="2647"/>
      <c r="O7" s="2647"/>
      <c r="P7" s="2647"/>
      <c r="Q7" s="2647"/>
      <c r="R7" s="2647"/>
      <c r="S7" s="2647"/>
      <c r="T7" s="2647"/>
      <c r="U7" s="2647"/>
      <c r="V7" s="2647"/>
      <c r="W7" s="2647"/>
      <c r="X7" s="2647"/>
      <c r="Y7" s="2647"/>
      <c r="Z7" s="2647"/>
      <c r="AA7" s="2647"/>
      <c r="AB7" s="2647"/>
      <c r="AC7" s="2647"/>
      <c r="AD7" s="2647"/>
      <c r="AE7" s="2647"/>
      <c r="AF7" s="2647"/>
      <c r="AG7" s="2647"/>
      <c r="AH7" s="2647"/>
      <c r="AI7" s="2647"/>
      <c r="AJ7" s="2647"/>
      <c r="AK7" s="2647"/>
      <c r="AL7" s="2647"/>
      <c r="AM7" s="2647"/>
      <c r="AN7" s="2647"/>
      <c r="AO7" s="2647"/>
      <c r="AP7" s="2647"/>
      <c r="AQ7" s="2647"/>
      <c r="AR7" s="2647"/>
      <c r="AS7" s="2647"/>
      <c r="AT7" s="2647"/>
      <c r="AU7" s="2647"/>
      <c r="AV7" s="2647"/>
      <c r="AW7" s="2647"/>
      <c r="AX7" s="2648"/>
      <c r="AY7" s="2650"/>
      <c r="AZ7" s="2650"/>
      <c r="BA7" s="2650"/>
      <c r="BB7" s="2650"/>
      <c r="BC7" s="2650"/>
      <c r="BD7" s="2650"/>
      <c r="BE7" s="2650"/>
      <c r="BF7" s="2650"/>
      <c r="BG7" s="2162"/>
      <c r="BH7" s="2162"/>
      <c r="BI7" s="2162"/>
      <c r="BJ7" s="184" t="s">
        <v>415</v>
      </c>
      <c r="BK7" s="184" t="s">
        <v>416</v>
      </c>
      <c r="BL7" s="184" t="s">
        <v>415</v>
      </c>
      <c r="BM7" s="184" t="s">
        <v>416</v>
      </c>
      <c r="BN7" s="184" t="s">
        <v>415</v>
      </c>
      <c r="BO7" s="184" t="s">
        <v>416</v>
      </c>
      <c r="BP7" s="2162"/>
      <c r="BQ7" s="184" t="s">
        <v>415</v>
      </c>
      <c r="BR7" s="184" t="s">
        <v>416</v>
      </c>
      <c r="BS7" s="184" t="s">
        <v>415</v>
      </c>
      <c r="BT7" s="184" t="s">
        <v>416</v>
      </c>
      <c r="BU7" s="184" t="s">
        <v>415</v>
      </c>
      <c r="BV7" s="184" t="s">
        <v>416</v>
      </c>
      <c r="BW7" s="2635"/>
      <c r="BX7" s="2638"/>
      <c r="BY7" s="2162"/>
      <c r="BZ7" s="184" t="s">
        <v>415</v>
      </c>
      <c r="CA7" s="184" t="s">
        <v>416</v>
      </c>
      <c r="CB7" s="184" t="s">
        <v>415</v>
      </c>
      <c r="CC7" s="184" t="s">
        <v>416</v>
      </c>
      <c r="CD7" s="184" t="s">
        <v>415</v>
      </c>
      <c r="CE7" s="184" t="s">
        <v>416</v>
      </c>
      <c r="CF7" s="2635"/>
      <c r="CG7" s="2638"/>
      <c r="CH7" s="2666"/>
      <c r="CI7" s="185" t="s">
        <v>415</v>
      </c>
      <c r="CJ7" s="185" t="s">
        <v>416</v>
      </c>
      <c r="CK7" s="185" t="s">
        <v>415</v>
      </c>
      <c r="CL7" s="185" t="s">
        <v>416</v>
      </c>
      <c r="CM7" s="185" t="s">
        <v>415</v>
      </c>
      <c r="CN7" s="185" t="s">
        <v>416</v>
      </c>
      <c r="CO7" s="2662"/>
      <c r="CP7" s="2689"/>
      <c r="CQ7" s="2692"/>
      <c r="CR7" s="186" t="s">
        <v>415</v>
      </c>
      <c r="CS7" s="186" t="s">
        <v>416</v>
      </c>
      <c r="CT7" s="186" t="s">
        <v>415</v>
      </c>
      <c r="CU7" s="186" t="s">
        <v>416</v>
      </c>
      <c r="CV7" s="186" t="s">
        <v>415</v>
      </c>
      <c r="CW7" s="186" t="s">
        <v>416</v>
      </c>
      <c r="CX7" s="2697"/>
      <c r="CY7" s="2700"/>
      <c r="CZ7" s="2684"/>
      <c r="DA7" s="184" t="s">
        <v>415</v>
      </c>
      <c r="DB7" s="184" t="s">
        <v>416</v>
      </c>
      <c r="DC7" s="184" t="s">
        <v>415</v>
      </c>
      <c r="DD7" s="184" t="s">
        <v>416</v>
      </c>
      <c r="DE7" s="184" t="s">
        <v>415</v>
      </c>
      <c r="DF7" s="184" t="s">
        <v>416</v>
      </c>
      <c r="DG7" s="2653"/>
      <c r="DH7" s="2656"/>
    </row>
    <row r="8" spans="1:119" s="195" customFormat="1" ht="9" customHeight="1" x14ac:dyDescent="0.2">
      <c r="A8" s="2672">
        <v>1</v>
      </c>
      <c r="B8" s="2672"/>
      <c r="C8" s="2672"/>
      <c r="D8" s="2672"/>
      <c r="E8" s="2672"/>
      <c r="F8" s="2672"/>
      <c r="G8" s="2672"/>
      <c r="H8" s="2672"/>
      <c r="I8" s="2672"/>
      <c r="J8" s="2672"/>
      <c r="K8" s="2672"/>
      <c r="L8" s="2672"/>
      <c r="M8" s="2672"/>
      <c r="N8" s="2672"/>
      <c r="O8" s="2672"/>
      <c r="P8" s="2672"/>
      <c r="Q8" s="2672"/>
      <c r="R8" s="2672"/>
      <c r="S8" s="2672"/>
      <c r="T8" s="2672"/>
      <c r="U8" s="2672"/>
      <c r="V8" s="2672"/>
      <c r="W8" s="2672"/>
      <c r="X8" s="2672"/>
      <c r="Y8" s="2672"/>
      <c r="Z8" s="2672"/>
      <c r="AA8" s="2672"/>
      <c r="AB8" s="2672"/>
      <c r="AC8" s="2672"/>
      <c r="AD8" s="2672"/>
      <c r="AE8" s="2672"/>
      <c r="AF8" s="2672"/>
      <c r="AG8" s="2672"/>
      <c r="AH8" s="2672"/>
      <c r="AI8" s="2672"/>
      <c r="AJ8" s="2672"/>
      <c r="AK8" s="2672"/>
      <c r="AL8" s="2672"/>
      <c r="AM8" s="2672"/>
      <c r="AN8" s="2672"/>
      <c r="AO8" s="2672"/>
      <c r="AP8" s="2672"/>
      <c r="AQ8" s="2672"/>
      <c r="AR8" s="2672"/>
      <c r="AS8" s="2672"/>
      <c r="AT8" s="2672"/>
      <c r="AU8" s="2672"/>
      <c r="AV8" s="2672"/>
      <c r="AW8" s="2672"/>
      <c r="AX8" s="2672"/>
      <c r="AY8" s="187">
        <v>2</v>
      </c>
      <c r="AZ8" s="188">
        <v>2</v>
      </c>
      <c r="BA8" s="188">
        <v>3</v>
      </c>
      <c r="BB8" s="188">
        <v>4</v>
      </c>
      <c r="BC8" s="188">
        <v>5</v>
      </c>
      <c r="BD8" s="188">
        <v>7</v>
      </c>
      <c r="BE8" s="188">
        <v>6</v>
      </c>
      <c r="BF8" s="188">
        <v>7</v>
      </c>
      <c r="BG8" s="188">
        <v>9</v>
      </c>
      <c r="BH8" s="188"/>
      <c r="BI8" s="188">
        <v>10</v>
      </c>
      <c r="BJ8" s="189">
        <v>11</v>
      </c>
      <c r="BK8" s="189">
        <v>12</v>
      </c>
      <c r="BL8" s="189">
        <v>13</v>
      </c>
      <c r="BM8" s="189">
        <v>14</v>
      </c>
      <c r="BN8" s="189">
        <v>15</v>
      </c>
      <c r="BO8" s="189">
        <v>16</v>
      </c>
      <c r="BP8" s="188">
        <v>10</v>
      </c>
      <c r="BQ8" s="189">
        <v>11</v>
      </c>
      <c r="BR8" s="189">
        <v>12</v>
      </c>
      <c r="BS8" s="189">
        <v>13</v>
      </c>
      <c r="BT8" s="189">
        <v>14</v>
      </c>
      <c r="BU8" s="189">
        <v>15</v>
      </c>
      <c r="BV8" s="189">
        <v>16</v>
      </c>
      <c r="BW8" s="189"/>
      <c r="BX8" s="190">
        <v>17</v>
      </c>
      <c r="BY8" s="188">
        <v>10</v>
      </c>
      <c r="BZ8" s="189">
        <v>11</v>
      </c>
      <c r="CA8" s="189">
        <v>12</v>
      </c>
      <c r="CB8" s="189">
        <v>13</v>
      </c>
      <c r="CC8" s="189">
        <v>14</v>
      </c>
      <c r="CD8" s="189">
        <v>15</v>
      </c>
      <c r="CE8" s="189">
        <v>16</v>
      </c>
      <c r="CF8" s="189"/>
      <c r="CG8" s="190">
        <v>17</v>
      </c>
      <c r="CH8" s="191">
        <v>10</v>
      </c>
      <c r="CI8" s="191">
        <v>11</v>
      </c>
      <c r="CJ8" s="191">
        <v>12</v>
      </c>
      <c r="CK8" s="191">
        <v>13</v>
      </c>
      <c r="CL8" s="191">
        <v>14</v>
      </c>
      <c r="CM8" s="191">
        <v>15</v>
      </c>
      <c r="CN8" s="191">
        <v>16</v>
      </c>
      <c r="CO8" s="191"/>
      <c r="CP8" s="192">
        <v>17</v>
      </c>
      <c r="CQ8" s="193">
        <v>10</v>
      </c>
      <c r="CR8" s="193">
        <v>11</v>
      </c>
      <c r="CS8" s="193">
        <v>12</v>
      </c>
      <c r="CT8" s="193">
        <v>13</v>
      </c>
      <c r="CU8" s="193">
        <v>14</v>
      </c>
      <c r="CV8" s="193">
        <v>15</v>
      </c>
      <c r="CW8" s="193">
        <v>16</v>
      </c>
      <c r="CX8" s="193"/>
      <c r="CY8" s="194">
        <v>17</v>
      </c>
      <c r="CZ8" s="188">
        <v>10</v>
      </c>
      <c r="DA8" s="189">
        <v>11</v>
      </c>
      <c r="DB8" s="189">
        <v>12</v>
      </c>
      <c r="DC8" s="189">
        <v>13</v>
      </c>
      <c r="DD8" s="189">
        <v>14</v>
      </c>
      <c r="DE8" s="189">
        <v>15</v>
      </c>
      <c r="DF8" s="189">
        <v>16</v>
      </c>
      <c r="DG8" s="189"/>
      <c r="DH8" s="190">
        <v>17</v>
      </c>
      <c r="DI8" s="121"/>
    </row>
    <row r="9" spans="1:119" ht="12.75" x14ac:dyDescent="0.2">
      <c r="A9" s="196"/>
      <c r="B9" s="2673" t="s">
        <v>417</v>
      </c>
      <c r="C9" s="2673"/>
      <c r="D9" s="2673"/>
      <c r="E9" s="2673"/>
      <c r="F9" s="2673"/>
      <c r="G9" s="2673"/>
      <c r="H9" s="2673"/>
      <c r="I9" s="2673"/>
      <c r="J9" s="2673"/>
      <c r="K9" s="2673"/>
      <c r="L9" s="2673"/>
      <c r="M9" s="2673"/>
      <c r="N9" s="2673"/>
      <c r="O9" s="2673"/>
      <c r="P9" s="2673"/>
      <c r="Q9" s="2673"/>
      <c r="R9" s="2673"/>
      <c r="S9" s="2673"/>
      <c r="T9" s="2673"/>
      <c r="U9" s="2673"/>
      <c r="V9" s="2673"/>
      <c r="W9" s="2673"/>
      <c r="X9" s="2673"/>
      <c r="Y9" s="2673"/>
      <c r="Z9" s="2673"/>
      <c r="AA9" s="2673"/>
      <c r="AB9" s="2673"/>
      <c r="AC9" s="2673"/>
      <c r="AD9" s="2673"/>
      <c r="AE9" s="2673"/>
      <c r="AF9" s="2673"/>
      <c r="AG9" s="2673"/>
      <c r="AH9" s="2673"/>
      <c r="AI9" s="2673"/>
      <c r="AJ9" s="2673"/>
      <c r="AK9" s="2673"/>
      <c r="AL9" s="2673"/>
      <c r="AM9" s="2673"/>
      <c r="AN9" s="2673"/>
      <c r="AO9" s="2673"/>
      <c r="AP9" s="2673"/>
      <c r="AQ9" s="2673"/>
      <c r="AR9" s="2673"/>
      <c r="AS9" s="2673"/>
      <c r="AT9" s="2673"/>
      <c r="AU9" s="2673"/>
      <c r="AV9" s="2673"/>
      <c r="AW9" s="2673"/>
      <c r="AX9" s="2674"/>
      <c r="AY9" s="197" t="s">
        <v>418</v>
      </c>
      <c r="AZ9" s="198"/>
      <c r="BA9" s="198"/>
      <c r="BB9" s="198"/>
      <c r="BC9" s="198"/>
      <c r="BD9" s="198"/>
      <c r="BE9" s="198"/>
      <c r="BF9" s="198"/>
      <c r="BG9" s="199">
        <f>SUM(BG11:BG106)</f>
        <v>75965297.579999998</v>
      </c>
      <c r="BH9" s="200"/>
      <c r="BI9" s="199">
        <f>SUM(BI11:BI107)</f>
        <v>102626524.61</v>
      </c>
      <c r="BJ9" s="201">
        <f t="shared" ref="BJ9:CY9" si="0">SUM(BJ11:BJ106)</f>
        <v>1875973.11</v>
      </c>
      <c r="BK9" s="201">
        <f t="shared" si="0"/>
        <v>0</v>
      </c>
      <c r="BL9" s="201">
        <f t="shared" si="0"/>
        <v>38642845.390000001</v>
      </c>
      <c r="BM9" s="201">
        <f t="shared" si="0"/>
        <v>94607.19</v>
      </c>
      <c r="BN9" s="201">
        <f t="shared" si="0"/>
        <v>56456692.810000002</v>
      </c>
      <c r="BO9" s="201">
        <f t="shared" si="0"/>
        <v>5556406.1100000003</v>
      </c>
      <c r="BP9" s="199">
        <f t="shared" si="0"/>
        <v>104886886.03</v>
      </c>
      <c r="BQ9" s="201">
        <f t="shared" si="0"/>
        <v>1936073.9</v>
      </c>
      <c r="BR9" s="201">
        <f t="shared" si="0"/>
        <v>0.02</v>
      </c>
      <c r="BS9" s="201">
        <f t="shared" si="0"/>
        <v>49894743.850000001</v>
      </c>
      <c r="BT9" s="201">
        <f t="shared" si="0"/>
        <v>115460.62</v>
      </c>
      <c r="BU9" s="201">
        <f t="shared" si="0"/>
        <v>48817902.719999999</v>
      </c>
      <c r="BV9" s="201">
        <f t="shared" si="0"/>
        <v>3516857.55</v>
      </c>
      <c r="BW9" s="201">
        <f t="shared" si="0"/>
        <v>5776</v>
      </c>
      <c r="BX9" s="201">
        <f t="shared" si="0"/>
        <v>600071.37</v>
      </c>
      <c r="BY9" s="199">
        <f t="shared" si="0"/>
        <v>105086814.66</v>
      </c>
      <c r="BZ9" s="201">
        <f t="shared" si="0"/>
        <v>3228892.66</v>
      </c>
      <c r="CA9" s="201">
        <f t="shared" si="0"/>
        <v>0.02</v>
      </c>
      <c r="CB9" s="201">
        <f t="shared" si="0"/>
        <v>49107467.520000003</v>
      </c>
      <c r="CC9" s="201">
        <f t="shared" si="0"/>
        <v>99038.19</v>
      </c>
      <c r="CD9" s="201">
        <f t="shared" si="0"/>
        <v>48817902.719999999</v>
      </c>
      <c r="CE9" s="201">
        <f t="shared" si="0"/>
        <v>3027737.55</v>
      </c>
      <c r="CF9" s="201">
        <f t="shared" si="0"/>
        <v>5776</v>
      </c>
      <c r="CG9" s="201">
        <f t="shared" si="0"/>
        <v>800000</v>
      </c>
      <c r="CH9" s="202">
        <f t="shared" si="0"/>
        <v>105032314.20999999</v>
      </c>
      <c r="CI9" s="202">
        <f t="shared" si="0"/>
        <v>4238205.8899999997</v>
      </c>
      <c r="CJ9" s="202">
        <f t="shared" si="0"/>
        <v>3750.2</v>
      </c>
      <c r="CK9" s="202">
        <f t="shared" si="0"/>
        <v>46699734.350000001</v>
      </c>
      <c r="CL9" s="202">
        <f t="shared" si="0"/>
        <v>2423518.04</v>
      </c>
      <c r="CM9" s="202">
        <f t="shared" si="0"/>
        <v>50545399.159999996</v>
      </c>
      <c r="CN9" s="202">
        <f t="shared" si="0"/>
        <v>670500.28</v>
      </c>
      <c r="CO9" s="202">
        <f t="shared" si="0"/>
        <v>5775.55</v>
      </c>
      <c r="CP9" s="202">
        <f t="shared" si="0"/>
        <v>445430.74</v>
      </c>
      <c r="CQ9" s="203">
        <f t="shared" si="0"/>
        <v>105133875.58</v>
      </c>
      <c r="CR9" s="203">
        <f t="shared" si="0"/>
        <v>3770067.79</v>
      </c>
      <c r="CS9" s="203">
        <f t="shared" si="0"/>
        <v>1016000</v>
      </c>
      <c r="CT9" s="203">
        <f t="shared" si="0"/>
        <v>46598700.009999998</v>
      </c>
      <c r="CU9" s="203">
        <f t="shared" si="0"/>
        <v>744187.97</v>
      </c>
      <c r="CV9" s="203">
        <f t="shared" si="0"/>
        <v>47807091.07</v>
      </c>
      <c r="CW9" s="203">
        <f t="shared" si="0"/>
        <v>5111648.63</v>
      </c>
      <c r="CX9" s="203">
        <f t="shared" si="0"/>
        <v>9525.75</v>
      </c>
      <c r="CY9" s="203">
        <f t="shared" si="0"/>
        <v>76654.36</v>
      </c>
      <c r="CZ9" s="199" t="e">
        <f>SUM(CZ11:CZ107)</f>
        <v>#REF!</v>
      </c>
      <c r="DA9" s="201" t="e">
        <f>SUM(DA11:DA107)</f>
        <v>#REF!</v>
      </c>
      <c r="DB9" s="201">
        <f>SUM(DB11:DB106)</f>
        <v>0</v>
      </c>
      <c r="DC9" s="201" t="e">
        <f t="shared" ref="DC9:DH9" si="1">SUM(DC11:DC107)</f>
        <v>#REF!</v>
      </c>
      <c r="DD9" s="201">
        <f t="shared" si="1"/>
        <v>0</v>
      </c>
      <c r="DE9" s="201" t="e">
        <f t="shared" si="1"/>
        <v>#REF!</v>
      </c>
      <c r="DF9" s="201">
        <f t="shared" si="1"/>
        <v>0</v>
      </c>
      <c r="DG9" s="201" t="e">
        <f t="shared" si="1"/>
        <v>#REF!</v>
      </c>
      <c r="DH9" s="201" t="e">
        <f t="shared" si="1"/>
        <v>#REF!</v>
      </c>
      <c r="DL9" s="275" t="e">
        <f>SUM(CZ11:CZ43)</f>
        <v>#REF!</v>
      </c>
      <c r="DM9" s="296">
        <f>'4 (2025)'!J223</f>
        <v>58810212.43</v>
      </c>
      <c r="DN9" s="175" t="e">
        <f>DL9=DM9</f>
        <v>#REF!</v>
      </c>
      <c r="DO9" s="296" t="e">
        <f>DM9-DL9</f>
        <v>#REF!</v>
      </c>
    </row>
    <row r="10" spans="1:119" ht="8.25" customHeight="1" x14ac:dyDescent="0.2">
      <c r="A10" s="204"/>
      <c r="B10" s="2675" t="s">
        <v>30</v>
      </c>
      <c r="C10" s="2675"/>
      <c r="D10" s="2675"/>
      <c r="E10" s="2675"/>
      <c r="F10" s="2675"/>
      <c r="G10" s="2675"/>
      <c r="H10" s="2675"/>
      <c r="I10" s="2675"/>
      <c r="J10" s="2675"/>
      <c r="K10" s="2675"/>
      <c r="L10" s="2675"/>
      <c r="M10" s="2675"/>
      <c r="N10" s="2675"/>
      <c r="O10" s="2675"/>
      <c r="P10" s="2675"/>
      <c r="Q10" s="2675"/>
      <c r="R10" s="2675"/>
      <c r="S10" s="2675"/>
      <c r="T10" s="2675"/>
      <c r="U10" s="2675"/>
      <c r="V10" s="2675"/>
      <c r="W10" s="2675"/>
      <c r="X10" s="2675"/>
      <c r="Y10" s="2675"/>
      <c r="Z10" s="2675"/>
      <c r="AA10" s="2675"/>
      <c r="AB10" s="2675"/>
      <c r="AC10" s="2675"/>
      <c r="AD10" s="2675"/>
      <c r="AE10" s="2675"/>
      <c r="AF10" s="2675"/>
      <c r="AG10" s="2675"/>
      <c r="AH10" s="2675"/>
      <c r="AI10" s="2675"/>
      <c r="AJ10" s="2675"/>
      <c r="AK10" s="2675"/>
      <c r="AL10" s="2675"/>
      <c r="AM10" s="2675"/>
      <c r="AN10" s="2675"/>
      <c r="AO10" s="2675"/>
      <c r="AP10" s="2675"/>
      <c r="AQ10" s="2675"/>
      <c r="AR10" s="2675"/>
      <c r="AS10" s="2675"/>
      <c r="AT10" s="2675"/>
      <c r="AU10" s="2675"/>
      <c r="AV10" s="2675"/>
      <c r="AW10" s="2675"/>
      <c r="AX10" s="2676"/>
      <c r="AY10" s="205"/>
      <c r="AZ10" s="198"/>
      <c r="BA10" s="198"/>
      <c r="BB10" s="198"/>
      <c r="BC10" s="198"/>
      <c r="BD10" s="198"/>
      <c r="BE10" s="198"/>
      <c r="BF10" s="198"/>
      <c r="BG10" s="206"/>
      <c r="BH10" s="207"/>
      <c r="BI10" s="206"/>
      <c r="BJ10" s="208"/>
      <c r="BK10" s="208"/>
      <c r="BL10" s="208"/>
      <c r="BM10" s="208"/>
      <c r="BN10" s="208"/>
      <c r="BO10" s="208"/>
      <c r="BP10" s="206"/>
      <c r="BQ10" s="208"/>
      <c r="BR10" s="208"/>
      <c r="BS10" s="208"/>
      <c r="BT10" s="208"/>
      <c r="BU10" s="208"/>
      <c r="BV10" s="208"/>
      <c r="BW10" s="208"/>
      <c r="BX10" s="209"/>
      <c r="BY10" s="206"/>
      <c r="BZ10" s="208"/>
      <c r="CA10" s="208"/>
      <c r="CB10" s="208"/>
      <c r="CC10" s="208"/>
      <c r="CD10" s="208"/>
      <c r="CE10" s="208"/>
      <c r="CF10" s="208"/>
      <c r="CG10" s="209"/>
      <c r="CH10" s="210"/>
      <c r="CI10" s="210"/>
      <c r="CJ10" s="210"/>
      <c r="CK10" s="210"/>
      <c r="CL10" s="210"/>
      <c r="CM10" s="210"/>
      <c r="CN10" s="210"/>
      <c r="CO10" s="210"/>
      <c r="CP10" s="211"/>
      <c r="CQ10" s="212"/>
      <c r="CR10" s="212"/>
      <c r="CS10" s="212"/>
      <c r="CT10" s="212"/>
      <c r="CU10" s="212"/>
      <c r="CV10" s="212"/>
      <c r="CW10" s="212"/>
      <c r="CX10" s="212"/>
      <c r="CY10" s="213"/>
      <c r="CZ10" s="206"/>
      <c r="DA10" s="208"/>
      <c r="DB10" s="208"/>
      <c r="DC10" s="208"/>
      <c r="DD10" s="208"/>
      <c r="DE10" s="208"/>
      <c r="DF10" s="208"/>
      <c r="DG10" s="208"/>
      <c r="DH10" s="209"/>
    </row>
    <row r="11" spans="1:119" ht="12.75" x14ac:dyDescent="0.2">
      <c r="A11" s="214"/>
      <c r="B11" s="215"/>
      <c r="C11" s="2675" t="s">
        <v>419</v>
      </c>
      <c r="D11" s="2675"/>
      <c r="E11" s="2675"/>
      <c r="F11" s="2675"/>
      <c r="G11" s="2675"/>
      <c r="H11" s="2675"/>
      <c r="I11" s="2675"/>
      <c r="J11" s="2675"/>
      <c r="K11" s="2675"/>
      <c r="L11" s="2675"/>
      <c r="M11" s="2675"/>
      <c r="N11" s="2675"/>
      <c r="O11" s="2675"/>
      <c r="P11" s="2675"/>
      <c r="Q11" s="2675"/>
      <c r="R11" s="2675"/>
      <c r="S11" s="2675"/>
      <c r="T11" s="2675"/>
      <c r="U11" s="2675"/>
      <c r="V11" s="2675"/>
      <c r="W11" s="2675"/>
      <c r="X11" s="2675"/>
      <c r="Y11" s="2675"/>
      <c r="Z11" s="2675"/>
      <c r="AA11" s="2675"/>
      <c r="AB11" s="2675"/>
      <c r="AC11" s="2675"/>
      <c r="AD11" s="2675"/>
      <c r="AE11" s="2675"/>
      <c r="AF11" s="2675"/>
      <c r="AG11" s="2675"/>
      <c r="AH11" s="2675"/>
      <c r="AI11" s="2675"/>
      <c r="AJ11" s="2675"/>
      <c r="AK11" s="2675"/>
      <c r="AL11" s="2675"/>
      <c r="AM11" s="2675"/>
      <c r="AN11" s="2675"/>
      <c r="AO11" s="2675"/>
      <c r="AP11" s="2675"/>
      <c r="AQ11" s="2675"/>
      <c r="AR11" s="2675"/>
      <c r="AS11" s="2675"/>
      <c r="AT11" s="2675"/>
      <c r="AU11" s="2675"/>
      <c r="AV11" s="2675"/>
      <c r="AW11" s="2675"/>
      <c r="AX11" s="2676"/>
      <c r="AY11" s="205" t="s">
        <v>420</v>
      </c>
      <c r="AZ11" s="198" t="s">
        <v>152</v>
      </c>
      <c r="BA11" s="198" t="s">
        <v>38</v>
      </c>
      <c r="BB11" s="216" t="s">
        <v>337</v>
      </c>
      <c r="BC11" s="198" t="s">
        <v>421</v>
      </c>
      <c r="BD11" s="198"/>
      <c r="BE11" s="198" t="s">
        <v>219</v>
      </c>
      <c r="BF11" s="198" t="s">
        <v>422</v>
      </c>
      <c r="BG11" s="217">
        <v>37807.199999999997</v>
      </c>
      <c r="BH11" s="218">
        <f>BG11-BI11</f>
        <v>0</v>
      </c>
      <c r="BI11" s="219">
        <f>BJ11+BK11+BL11+BM11+BN11+BO11</f>
        <v>37807.199999999997</v>
      </c>
      <c r="BJ11" s="219">
        <v>37807.199999999997</v>
      </c>
      <c r="BK11" s="219"/>
      <c r="BL11" s="219"/>
      <c r="BM11" s="219"/>
      <c r="BN11" s="219"/>
      <c r="BO11" s="219"/>
      <c r="BP11" s="220">
        <f>BQ11+BR11+BS11+BT11+BU11+BV11+BX11+BW11</f>
        <v>37807.199999999997</v>
      </c>
      <c r="BQ11" s="220">
        <v>37807.199999999997</v>
      </c>
      <c r="BR11" s="220"/>
      <c r="BS11" s="220"/>
      <c r="BT11" s="220"/>
      <c r="BU11" s="220"/>
      <c r="BV11" s="220"/>
      <c r="BW11" s="220"/>
      <c r="BX11" s="202"/>
      <c r="BY11" s="221">
        <f>BZ11+CA11+CB11+CC11+CD11+CE11+CG11+CF11</f>
        <v>37807.199999999997</v>
      </c>
      <c r="BZ11" s="221">
        <v>37807.199999999997</v>
      </c>
      <c r="CA11" s="221"/>
      <c r="CB11" s="221"/>
      <c r="CC11" s="221"/>
      <c r="CD11" s="221"/>
      <c r="CE11" s="221"/>
      <c r="CF11" s="221"/>
      <c r="CG11" s="222"/>
      <c r="CH11" s="220">
        <f>CI11+CJ11+CK11+CL11+CM11+CN11+CP11+CO11</f>
        <v>37807.199999999997</v>
      </c>
      <c r="CI11" s="220">
        <v>37807.199999999997</v>
      </c>
      <c r="CJ11" s="220"/>
      <c r="CK11" s="220"/>
      <c r="CL11" s="220"/>
      <c r="CM11" s="220"/>
      <c r="CN11" s="220"/>
      <c r="CO11" s="220"/>
      <c r="CP11" s="202"/>
      <c r="CQ11" s="223">
        <f>SUM(CR11:CY11)</f>
        <v>37807.199999999997</v>
      </c>
      <c r="CR11" s="223">
        <v>37807.199999999997</v>
      </c>
      <c r="CS11" s="223"/>
      <c r="CT11" s="223"/>
      <c r="CU11" s="223"/>
      <c r="CV11" s="223"/>
      <c r="CW11" s="223"/>
      <c r="CX11" s="223"/>
      <c r="CY11" s="203"/>
      <c r="CZ11" s="224" t="e">
        <f>DA11+DB11+DC11+DD11+DE11+DF11+DH11+DG11</f>
        <v>#REF!</v>
      </c>
      <c r="DA11" s="224" t="e">
        <f>'4 (2025)'!#REF!</f>
        <v>#REF!</v>
      </c>
      <c r="DB11" s="224"/>
      <c r="DC11" s="224"/>
      <c r="DD11" s="224"/>
      <c r="DE11" s="224"/>
      <c r="DF11" s="224"/>
      <c r="DG11" s="224"/>
      <c r="DH11" s="201"/>
      <c r="DI11" s="225" t="e">
        <f>CZ11='4 (2025)'!#REF!</f>
        <v>#REF!</v>
      </c>
      <c r="DJ11" s="175" t="e">
        <f t="shared" ref="DJ11:DJ66" si="2">BI11=CZ11</f>
        <v>#REF!</v>
      </c>
    </row>
    <row r="12" spans="1:119" ht="12.75" x14ac:dyDescent="0.2">
      <c r="A12" s="214"/>
      <c r="B12" s="215"/>
      <c r="C12" s="2675" t="s">
        <v>423</v>
      </c>
      <c r="D12" s="2675"/>
      <c r="E12" s="2675"/>
      <c r="F12" s="2675"/>
      <c r="G12" s="2675"/>
      <c r="H12" s="2675"/>
      <c r="I12" s="2675"/>
      <c r="J12" s="2675"/>
      <c r="K12" s="2675"/>
      <c r="L12" s="2675"/>
      <c r="M12" s="2675"/>
      <c r="N12" s="2675"/>
      <c r="O12" s="2675"/>
      <c r="P12" s="2675"/>
      <c r="Q12" s="2675"/>
      <c r="R12" s="2675"/>
      <c r="S12" s="2675"/>
      <c r="T12" s="2675"/>
      <c r="U12" s="2675"/>
      <c r="V12" s="2675"/>
      <c r="W12" s="2675"/>
      <c r="X12" s="2675"/>
      <c r="Y12" s="2675"/>
      <c r="Z12" s="2675"/>
      <c r="AA12" s="2675"/>
      <c r="AB12" s="2675"/>
      <c r="AC12" s="2675"/>
      <c r="AD12" s="2675"/>
      <c r="AE12" s="2675"/>
      <c r="AF12" s="2675"/>
      <c r="AG12" s="2675"/>
      <c r="AH12" s="2675"/>
      <c r="AI12" s="2675"/>
      <c r="AJ12" s="2675"/>
      <c r="AK12" s="2675"/>
      <c r="AL12" s="2675"/>
      <c r="AM12" s="2675"/>
      <c r="AN12" s="2675"/>
      <c r="AO12" s="2675"/>
      <c r="AP12" s="2675"/>
      <c r="AQ12" s="2675"/>
      <c r="AR12" s="2675"/>
      <c r="AS12" s="2675"/>
      <c r="AT12" s="2675"/>
      <c r="AU12" s="2675"/>
      <c r="AV12" s="2675"/>
      <c r="AW12" s="2675"/>
      <c r="AX12" s="2676"/>
      <c r="AY12" s="205" t="s">
        <v>420</v>
      </c>
      <c r="AZ12" s="198" t="s">
        <v>152</v>
      </c>
      <c r="BA12" s="198" t="s">
        <v>38</v>
      </c>
      <c r="BB12" s="226" t="s">
        <v>91</v>
      </c>
      <c r="BC12" s="198" t="s">
        <v>421</v>
      </c>
      <c r="BD12" s="198"/>
      <c r="BE12" s="198" t="s">
        <v>219</v>
      </c>
      <c r="BF12" s="198" t="s">
        <v>422</v>
      </c>
      <c r="BG12" s="217">
        <v>58551.6</v>
      </c>
      <c r="BH12" s="218"/>
      <c r="BI12" s="219">
        <f t="shared" ref="BI12:BI106" si="3">BJ12+BK12+BL12+BM12+BN12+BO12</f>
        <v>58551.6</v>
      </c>
      <c r="BJ12" s="219">
        <v>58551.6</v>
      </c>
      <c r="BK12" s="219"/>
      <c r="BL12" s="219"/>
      <c r="BM12" s="219"/>
      <c r="BN12" s="219"/>
      <c r="BO12" s="219"/>
      <c r="BP12" s="220">
        <f t="shared" ref="BP12:BP82" si="4">BQ12+BR12+BS12+BT12+BU12+BV12+BX12+BW12</f>
        <v>61029.599999999999</v>
      </c>
      <c r="BQ12" s="220">
        <v>61029.599999999999</v>
      </c>
      <c r="BR12" s="220"/>
      <c r="BS12" s="220"/>
      <c r="BT12" s="220"/>
      <c r="BU12" s="220"/>
      <c r="BV12" s="220"/>
      <c r="BW12" s="220"/>
      <c r="BX12" s="202"/>
      <c r="BY12" s="221">
        <f t="shared" ref="BY12:BY82" si="5">BZ12+CA12+CB12+CC12+CD12+CE12+CG12+CF12</f>
        <v>61029.599999999999</v>
      </c>
      <c r="BZ12" s="221">
        <v>61029.599999999999</v>
      </c>
      <c r="CA12" s="221"/>
      <c r="CB12" s="221"/>
      <c r="CC12" s="221"/>
      <c r="CD12" s="221"/>
      <c r="CE12" s="221"/>
      <c r="CF12" s="221"/>
      <c r="CG12" s="222"/>
      <c r="CH12" s="220">
        <f t="shared" ref="CH12:CH82" si="6">CI12+CJ12+CK12+CL12+CM12+CN12+CP12+CO12</f>
        <v>61029.599999999999</v>
      </c>
      <c r="CI12" s="220">
        <v>61029.599999999999</v>
      </c>
      <c r="CJ12" s="220"/>
      <c r="CK12" s="220"/>
      <c r="CL12" s="220"/>
      <c r="CM12" s="220"/>
      <c r="CN12" s="220"/>
      <c r="CO12" s="220"/>
      <c r="CP12" s="202"/>
      <c r="CQ12" s="223">
        <f t="shared" ref="CQ12:CQ107" si="7">SUM(CR12:CY12)</f>
        <v>61029.599999999999</v>
      </c>
      <c r="CR12" s="223">
        <v>61029.599999999999</v>
      </c>
      <c r="CS12" s="223"/>
      <c r="CT12" s="223"/>
      <c r="CU12" s="223"/>
      <c r="CV12" s="223"/>
      <c r="CW12" s="223"/>
      <c r="CX12" s="223"/>
      <c r="CY12" s="203"/>
      <c r="CZ12" s="224" t="e">
        <f t="shared" ref="CZ12:CZ39" si="8">DA12+DB12+DC12+DD12+DE12+DF12+DH12+DG12</f>
        <v>#REF!</v>
      </c>
      <c r="DA12" s="224" t="e">
        <f>'4 (2025)'!J234+'4 (2025)'!#REF!</f>
        <v>#REF!</v>
      </c>
      <c r="DB12" s="224"/>
      <c r="DC12" s="224"/>
      <c r="DD12" s="224"/>
      <c r="DE12" s="224"/>
      <c r="DF12" s="224"/>
      <c r="DG12" s="224"/>
      <c r="DH12" s="201" t="e">
        <f>'4 (2025)'!#REF!</f>
        <v>#REF!</v>
      </c>
      <c r="DI12" s="225" t="e">
        <f>CZ12='4 (2025)'!J226</f>
        <v>#REF!</v>
      </c>
      <c r="DJ12" s="175" t="e">
        <f t="shared" si="2"/>
        <v>#REF!</v>
      </c>
    </row>
    <row r="13" spans="1:119" ht="12.75" x14ac:dyDescent="0.2">
      <c r="A13" s="214"/>
      <c r="B13" s="215"/>
      <c r="C13" s="2675" t="s">
        <v>424</v>
      </c>
      <c r="D13" s="2675"/>
      <c r="E13" s="2675"/>
      <c r="F13" s="2675"/>
      <c r="G13" s="2675"/>
      <c r="H13" s="2675"/>
      <c r="I13" s="2675"/>
      <c r="J13" s="2675"/>
      <c r="K13" s="2675"/>
      <c r="L13" s="2675"/>
      <c r="M13" s="2675"/>
      <c r="N13" s="2675"/>
      <c r="O13" s="2675"/>
      <c r="P13" s="2675"/>
      <c r="Q13" s="2675"/>
      <c r="R13" s="2675"/>
      <c r="S13" s="2675"/>
      <c r="T13" s="2675"/>
      <c r="U13" s="2675"/>
      <c r="V13" s="2675"/>
      <c r="W13" s="2675"/>
      <c r="X13" s="2675"/>
      <c r="Y13" s="2675"/>
      <c r="Z13" s="2675"/>
      <c r="AA13" s="2675"/>
      <c r="AB13" s="2675"/>
      <c r="AC13" s="2675"/>
      <c r="AD13" s="2675"/>
      <c r="AE13" s="2675"/>
      <c r="AF13" s="2675"/>
      <c r="AG13" s="2675"/>
      <c r="AH13" s="2675"/>
      <c r="AI13" s="2675"/>
      <c r="AJ13" s="2675"/>
      <c r="AK13" s="2675"/>
      <c r="AL13" s="2675"/>
      <c r="AM13" s="2675"/>
      <c r="AN13" s="2675"/>
      <c r="AO13" s="2675"/>
      <c r="AP13" s="2675"/>
      <c r="AQ13" s="2675"/>
      <c r="AR13" s="2675"/>
      <c r="AS13" s="2675"/>
      <c r="AT13" s="2675"/>
      <c r="AU13" s="2675"/>
      <c r="AV13" s="2675"/>
      <c r="AW13" s="2675"/>
      <c r="AX13" s="2676"/>
      <c r="AY13" s="205" t="s">
        <v>420</v>
      </c>
      <c r="AZ13" s="198" t="s">
        <v>152</v>
      </c>
      <c r="BA13" s="198" t="s">
        <v>28</v>
      </c>
      <c r="BB13" s="226" t="s">
        <v>67</v>
      </c>
      <c r="BC13" s="198" t="s">
        <v>421</v>
      </c>
      <c r="BD13" s="198"/>
      <c r="BE13" s="198" t="s">
        <v>219</v>
      </c>
      <c r="BF13" s="198" t="s">
        <v>422</v>
      </c>
      <c r="BG13" s="217">
        <v>167400</v>
      </c>
      <c r="BH13" s="218"/>
      <c r="BI13" s="219">
        <f t="shared" si="3"/>
        <v>167400</v>
      </c>
      <c r="BJ13" s="219"/>
      <c r="BK13" s="219"/>
      <c r="BL13" s="219">
        <v>167400</v>
      </c>
      <c r="BM13" s="219"/>
      <c r="BN13" s="219"/>
      <c r="BO13" s="219"/>
      <c r="BP13" s="220">
        <f t="shared" si="4"/>
        <v>167400</v>
      </c>
      <c r="BQ13" s="220"/>
      <c r="BR13" s="220"/>
      <c r="BS13" s="220">
        <v>167400</v>
      </c>
      <c r="BT13" s="220"/>
      <c r="BU13" s="220"/>
      <c r="BV13" s="220"/>
      <c r="BW13" s="220"/>
      <c r="BX13" s="202"/>
      <c r="BY13" s="221">
        <f t="shared" si="5"/>
        <v>167400</v>
      </c>
      <c r="BZ13" s="221"/>
      <c r="CA13" s="221"/>
      <c r="CB13" s="221">
        <v>167400</v>
      </c>
      <c r="CC13" s="221"/>
      <c r="CD13" s="221"/>
      <c r="CE13" s="221"/>
      <c r="CF13" s="221"/>
      <c r="CG13" s="222"/>
      <c r="CH13" s="220">
        <f t="shared" si="6"/>
        <v>167400</v>
      </c>
      <c r="CI13" s="220"/>
      <c r="CJ13" s="220"/>
      <c r="CK13" s="220">
        <v>167400</v>
      </c>
      <c r="CL13" s="220"/>
      <c r="CM13" s="220"/>
      <c r="CN13" s="220"/>
      <c r="CO13" s="220"/>
      <c r="CP13" s="202"/>
      <c r="CQ13" s="223">
        <f t="shared" si="7"/>
        <v>167400</v>
      </c>
      <c r="CR13" s="223"/>
      <c r="CS13" s="223"/>
      <c r="CT13" s="223">
        <v>167400</v>
      </c>
      <c r="CU13" s="223"/>
      <c r="CV13" s="223"/>
      <c r="CW13" s="223"/>
      <c r="CX13" s="223"/>
      <c r="CY13" s="203"/>
      <c r="CZ13" s="224" t="e">
        <f t="shared" si="8"/>
        <v>#REF!</v>
      </c>
      <c r="DA13" s="224" t="e">
        <f>'4 (2025)'!#REF!+'4 (2025)'!#REF!</f>
        <v>#REF!</v>
      </c>
      <c r="DB13" s="224"/>
      <c r="DC13" s="224"/>
      <c r="DD13" s="224"/>
      <c r="DE13" s="224"/>
      <c r="DF13" s="224"/>
      <c r="DG13" s="224"/>
      <c r="DH13" s="201" t="e">
        <f>'4 (2025)'!#REF!</f>
        <v>#REF!</v>
      </c>
      <c r="DI13" s="225" t="e">
        <f>CZ13='4 (2025)'!#REF!</f>
        <v>#REF!</v>
      </c>
      <c r="DJ13" s="175" t="e">
        <f t="shared" si="2"/>
        <v>#REF!</v>
      </c>
    </row>
    <row r="14" spans="1:119" ht="12.75" x14ac:dyDescent="0.2">
      <c r="A14" s="214"/>
      <c r="B14" s="215"/>
      <c r="C14" s="2675" t="s">
        <v>425</v>
      </c>
      <c r="D14" s="2675"/>
      <c r="E14" s="2675"/>
      <c r="F14" s="2675"/>
      <c r="G14" s="2675"/>
      <c r="H14" s="2675"/>
      <c r="I14" s="2675"/>
      <c r="J14" s="2675"/>
      <c r="K14" s="2675"/>
      <c r="L14" s="2675"/>
      <c r="M14" s="2675"/>
      <c r="N14" s="2675"/>
      <c r="O14" s="2675"/>
      <c r="P14" s="2675"/>
      <c r="Q14" s="2675"/>
      <c r="R14" s="2675"/>
      <c r="S14" s="2675"/>
      <c r="T14" s="2675"/>
      <c r="U14" s="2675"/>
      <c r="V14" s="2675"/>
      <c r="W14" s="2675"/>
      <c r="X14" s="2675"/>
      <c r="Y14" s="2675"/>
      <c r="Z14" s="2675"/>
      <c r="AA14" s="2675"/>
      <c r="AB14" s="2675"/>
      <c r="AC14" s="2675"/>
      <c r="AD14" s="2675"/>
      <c r="AE14" s="2675"/>
      <c r="AF14" s="2675"/>
      <c r="AG14" s="2675"/>
      <c r="AH14" s="2675"/>
      <c r="AI14" s="2675"/>
      <c r="AJ14" s="2675"/>
      <c r="AK14" s="2675"/>
      <c r="AL14" s="2675"/>
      <c r="AM14" s="2675"/>
      <c r="AN14" s="2675"/>
      <c r="AO14" s="2675"/>
      <c r="AP14" s="2675"/>
      <c r="AQ14" s="2675"/>
      <c r="AR14" s="2675"/>
      <c r="AS14" s="2675"/>
      <c r="AT14" s="2675"/>
      <c r="AU14" s="2675"/>
      <c r="AV14" s="2675"/>
      <c r="AW14" s="2675"/>
      <c r="AX14" s="2676"/>
      <c r="AY14" s="205" t="s">
        <v>426</v>
      </c>
      <c r="AZ14" s="198" t="s">
        <v>152</v>
      </c>
      <c r="BA14" s="198" t="s">
        <v>38</v>
      </c>
      <c r="BB14" s="216" t="s">
        <v>337</v>
      </c>
      <c r="BC14" s="198" t="s">
        <v>427</v>
      </c>
      <c r="BD14" s="198"/>
      <c r="BE14" s="198" t="s">
        <v>219</v>
      </c>
      <c r="BF14" s="198" t="s">
        <v>422</v>
      </c>
      <c r="BG14" s="217">
        <v>2324262.2000000002</v>
      </c>
      <c r="BH14" s="218"/>
      <c r="BI14" s="219">
        <f t="shared" si="3"/>
        <v>2324262.2000000002</v>
      </c>
      <c r="BJ14" s="219"/>
      <c r="BK14" s="219"/>
      <c r="BL14" s="219">
        <f>61936.95</f>
        <v>61936.95</v>
      </c>
      <c r="BM14" s="219">
        <v>866.79</v>
      </c>
      <c r="BN14" s="219">
        <f>2084575.44+176883.02</f>
        <v>2261458.46</v>
      </c>
      <c r="BO14" s="219"/>
      <c r="BP14" s="220">
        <f t="shared" si="4"/>
        <v>2324262.2000000002</v>
      </c>
      <c r="BQ14" s="220"/>
      <c r="BR14" s="220"/>
      <c r="BS14" s="220">
        <v>61936.95</v>
      </c>
      <c r="BT14" s="220">
        <v>2714.78</v>
      </c>
      <c r="BU14" s="220">
        <v>2259610.4700000002</v>
      </c>
      <c r="BV14" s="220"/>
      <c r="BW14" s="220"/>
      <c r="BX14" s="202"/>
      <c r="BY14" s="221">
        <f t="shared" si="5"/>
        <v>2324262.2000000002</v>
      </c>
      <c r="BZ14" s="221"/>
      <c r="CA14" s="221"/>
      <c r="CB14" s="221">
        <v>61936.95</v>
      </c>
      <c r="CC14" s="221">
        <v>2714.78</v>
      </c>
      <c r="CD14" s="221">
        <v>2259610.4700000002</v>
      </c>
      <c r="CE14" s="221"/>
      <c r="CF14" s="221"/>
      <c r="CG14" s="222"/>
      <c r="CH14" s="220">
        <f t="shared" si="6"/>
        <v>2324262.2000000002</v>
      </c>
      <c r="CI14" s="220"/>
      <c r="CJ14" s="220"/>
      <c r="CK14" s="220">
        <v>61936.95</v>
      </c>
      <c r="CL14" s="220">
        <v>2714.78</v>
      </c>
      <c r="CM14" s="220">
        <v>2259610.4700000002</v>
      </c>
      <c r="CN14" s="220"/>
      <c r="CO14" s="220"/>
      <c r="CP14" s="202"/>
      <c r="CQ14" s="223">
        <f t="shared" si="7"/>
        <v>2324262.2000000002</v>
      </c>
      <c r="CR14" s="223"/>
      <c r="CS14" s="223"/>
      <c r="CT14" s="223">
        <v>61936.95</v>
      </c>
      <c r="CU14" s="223">
        <v>2714.78</v>
      </c>
      <c r="CV14" s="223">
        <v>2259610.4700000002</v>
      </c>
      <c r="CW14" s="223"/>
      <c r="CX14" s="223"/>
      <c r="CY14" s="203"/>
      <c r="CZ14" s="224" t="e">
        <f>DA14+DB14+DC14+DD14+DE14+DF14+DH14+DG14</f>
        <v>#REF!</v>
      </c>
      <c r="DA14" s="224"/>
      <c r="DB14" s="224"/>
      <c r="DC14" s="224"/>
      <c r="DD14" s="224"/>
      <c r="DE14" s="224" t="e">
        <f>'4 (2025)'!#REF!+'4 (2025)'!#REF!</f>
        <v>#REF!</v>
      </c>
      <c r="DF14" s="224"/>
      <c r="DG14" s="224" t="e">
        <f>'4 (2025)'!#REF!</f>
        <v>#REF!</v>
      </c>
      <c r="DH14" s="201"/>
      <c r="DI14" s="225" t="e">
        <f>CZ14='4 (2025)'!#REF!</f>
        <v>#REF!</v>
      </c>
      <c r="DJ14" s="175" t="e">
        <f t="shared" si="2"/>
        <v>#REF!</v>
      </c>
      <c r="DK14" s="296"/>
      <c r="DL14" s="296"/>
    </row>
    <row r="15" spans="1:119" ht="12.75" x14ac:dyDescent="0.2">
      <c r="A15" s="214"/>
      <c r="B15" s="215"/>
      <c r="C15" s="2675" t="s">
        <v>428</v>
      </c>
      <c r="D15" s="2675"/>
      <c r="E15" s="2675"/>
      <c r="F15" s="2675"/>
      <c r="G15" s="2675"/>
      <c r="H15" s="2675"/>
      <c r="I15" s="2675"/>
      <c r="J15" s="2675"/>
      <c r="K15" s="2675"/>
      <c r="L15" s="2675"/>
      <c r="M15" s="2675"/>
      <c r="N15" s="2675"/>
      <c r="O15" s="2675"/>
      <c r="P15" s="2675"/>
      <c r="Q15" s="2675"/>
      <c r="R15" s="2675"/>
      <c r="S15" s="2675"/>
      <c r="T15" s="2675"/>
      <c r="U15" s="2675"/>
      <c r="V15" s="2675"/>
      <c r="W15" s="2675"/>
      <c r="X15" s="2675"/>
      <c r="Y15" s="2675"/>
      <c r="Z15" s="2675"/>
      <c r="AA15" s="2675"/>
      <c r="AB15" s="2675"/>
      <c r="AC15" s="2675"/>
      <c r="AD15" s="2675"/>
      <c r="AE15" s="2675"/>
      <c r="AF15" s="2675"/>
      <c r="AG15" s="2675"/>
      <c r="AH15" s="2675"/>
      <c r="AI15" s="2675"/>
      <c r="AJ15" s="2675"/>
      <c r="AK15" s="2675"/>
      <c r="AL15" s="2675"/>
      <c r="AM15" s="2675"/>
      <c r="AN15" s="2675"/>
      <c r="AO15" s="2675"/>
      <c r="AP15" s="2675"/>
      <c r="AQ15" s="2675"/>
      <c r="AR15" s="2675"/>
      <c r="AS15" s="2675"/>
      <c r="AT15" s="2675"/>
      <c r="AU15" s="2675"/>
      <c r="AV15" s="2675"/>
      <c r="AW15" s="2675"/>
      <c r="AX15" s="2676"/>
      <c r="AY15" s="205" t="s">
        <v>426</v>
      </c>
      <c r="AZ15" s="198" t="s">
        <v>152</v>
      </c>
      <c r="BA15" s="198" t="s">
        <v>38</v>
      </c>
      <c r="BB15" s="226" t="s">
        <v>91</v>
      </c>
      <c r="BC15" s="198" t="s">
        <v>427</v>
      </c>
      <c r="BD15" s="198"/>
      <c r="BE15" s="198" t="s">
        <v>219</v>
      </c>
      <c r="BF15" s="198" t="s">
        <v>422</v>
      </c>
      <c r="BG15" s="217">
        <v>2543227.6800000002</v>
      </c>
      <c r="BH15" s="218"/>
      <c r="BI15" s="219">
        <f t="shared" si="3"/>
        <v>2543227.6800000002</v>
      </c>
      <c r="BJ15" s="219"/>
      <c r="BK15" s="219"/>
      <c r="BL15" s="227">
        <v>59421.31</v>
      </c>
      <c r="BM15" s="227">
        <v>1396.93</v>
      </c>
      <c r="BN15" s="227">
        <v>2482409.44</v>
      </c>
      <c r="BO15" s="219"/>
      <c r="BP15" s="220">
        <f t="shared" si="4"/>
        <v>2543227.6800000002</v>
      </c>
      <c r="BQ15" s="220"/>
      <c r="BR15" s="220"/>
      <c r="BS15" s="220">
        <v>59421.31</v>
      </c>
      <c r="BT15" s="220">
        <v>3157.72</v>
      </c>
      <c r="BU15" s="220">
        <v>2480648.65</v>
      </c>
      <c r="BV15" s="220"/>
      <c r="BW15" s="220"/>
      <c r="BX15" s="202"/>
      <c r="BY15" s="221">
        <f t="shared" si="5"/>
        <v>2543227.6800000002</v>
      </c>
      <c r="BZ15" s="221"/>
      <c r="CA15" s="221"/>
      <c r="CB15" s="221">
        <v>59421.31</v>
      </c>
      <c r="CC15" s="221">
        <v>3157.72</v>
      </c>
      <c r="CD15" s="221">
        <v>2480648.65</v>
      </c>
      <c r="CE15" s="221"/>
      <c r="CF15" s="221"/>
      <c r="CG15" s="222"/>
      <c r="CH15" s="220">
        <f t="shared" si="6"/>
        <v>2543227.6800000002</v>
      </c>
      <c r="CI15" s="220"/>
      <c r="CJ15" s="220"/>
      <c r="CK15" s="220">
        <v>59421.31</v>
      </c>
      <c r="CL15" s="220">
        <v>3157.72</v>
      </c>
      <c r="CM15" s="220">
        <v>2480648.65</v>
      </c>
      <c r="CN15" s="220"/>
      <c r="CO15" s="220"/>
      <c r="CP15" s="202"/>
      <c r="CQ15" s="223">
        <f t="shared" si="7"/>
        <v>2543227.6800000002</v>
      </c>
      <c r="CR15" s="223"/>
      <c r="CS15" s="223"/>
      <c r="CT15" s="223">
        <v>59421.31</v>
      </c>
      <c r="CU15" s="223">
        <v>3157.72</v>
      </c>
      <c r="CV15" s="223">
        <v>2480648.65</v>
      </c>
      <c r="CW15" s="223"/>
      <c r="CX15" s="223"/>
      <c r="CY15" s="203"/>
      <c r="CZ15" s="224" t="e">
        <f t="shared" si="8"/>
        <v>#REF!</v>
      </c>
      <c r="DA15" s="224"/>
      <c r="DB15" s="224"/>
      <c r="DC15" s="224"/>
      <c r="DD15" s="224"/>
      <c r="DE15" s="224" t="e">
        <f>'4 (2025)'!#REF!+'4 (2025)'!J274</f>
        <v>#REF!</v>
      </c>
      <c r="DF15" s="224"/>
      <c r="DG15" s="224" t="e">
        <f>'4 (2025)'!#REF!</f>
        <v>#REF!</v>
      </c>
      <c r="DH15" s="201"/>
      <c r="DI15" s="225" t="e">
        <f>'4 (2025)'!J264=CZ15</f>
        <v>#REF!</v>
      </c>
      <c r="DJ15" s="175" t="e">
        <f t="shared" si="2"/>
        <v>#REF!</v>
      </c>
    </row>
    <row r="16" spans="1:119" ht="12.75" x14ac:dyDescent="0.2">
      <c r="A16" s="214"/>
      <c r="B16" s="215"/>
      <c r="C16" s="2675" t="s">
        <v>425</v>
      </c>
      <c r="D16" s="2675"/>
      <c r="E16" s="2675"/>
      <c r="F16" s="2675"/>
      <c r="G16" s="2675"/>
      <c r="H16" s="2675"/>
      <c r="I16" s="2675"/>
      <c r="J16" s="2675"/>
      <c r="K16" s="2675"/>
      <c r="L16" s="2675"/>
      <c r="M16" s="2675"/>
      <c r="N16" s="2675"/>
      <c r="O16" s="2675"/>
      <c r="P16" s="2675"/>
      <c r="Q16" s="2675"/>
      <c r="R16" s="2675"/>
      <c r="S16" s="2675"/>
      <c r="T16" s="2675"/>
      <c r="U16" s="2675"/>
      <c r="V16" s="2675"/>
      <c r="W16" s="2675"/>
      <c r="X16" s="2675"/>
      <c r="Y16" s="2675"/>
      <c r="Z16" s="2675"/>
      <c r="AA16" s="2675"/>
      <c r="AB16" s="2675"/>
      <c r="AC16" s="2675"/>
      <c r="AD16" s="2675"/>
      <c r="AE16" s="2675"/>
      <c r="AF16" s="2675"/>
      <c r="AG16" s="2675"/>
      <c r="AH16" s="2675"/>
      <c r="AI16" s="2675"/>
      <c r="AJ16" s="2675"/>
      <c r="AK16" s="2675"/>
      <c r="AL16" s="2675"/>
      <c r="AM16" s="2675"/>
      <c r="AN16" s="2675"/>
      <c r="AO16" s="2675"/>
      <c r="AP16" s="2675"/>
      <c r="AQ16" s="2675"/>
      <c r="AR16" s="2675"/>
      <c r="AS16" s="2675"/>
      <c r="AT16" s="2675"/>
      <c r="AU16" s="2675"/>
      <c r="AV16" s="2675"/>
      <c r="AW16" s="2675"/>
      <c r="AX16" s="2676"/>
      <c r="AY16" s="205" t="s">
        <v>426</v>
      </c>
      <c r="AZ16" s="198" t="s">
        <v>607</v>
      </c>
      <c r="BA16" s="198" t="s">
        <v>38</v>
      </c>
      <c r="BB16" s="216" t="s">
        <v>337</v>
      </c>
      <c r="BC16" s="198" t="s">
        <v>427</v>
      </c>
      <c r="BD16" s="198"/>
      <c r="BE16" s="198" t="s">
        <v>219</v>
      </c>
      <c r="BF16" s="198" t="s">
        <v>422</v>
      </c>
      <c r="BG16" s="217">
        <v>2324262.2000000002</v>
      </c>
      <c r="BH16" s="218"/>
      <c r="BI16" s="219">
        <f>BJ16+BK16+BL16+BM16+BN16+BO16</f>
        <v>2324262.2000000002</v>
      </c>
      <c r="BJ16" s="219"/>
      <c r="BK16" s="219"/>
      <c r="BL16" s="219">
        <f>61936.95</f>
        <v>61936.95</v>
      </c>
      <c r="BM16" s="219">
        <v>866.79</v>
      </c>
      <c r="BN16" s="219">
        <f>2084575.44+176883.02</f>
        <v>2261458.46</v>
      </c>
      <c r="BO16" s="219"/>
      <c r="BP16" s="220">
        <f>BQ16+BR16+BS16+BT16+BU16+BV16+BX16+BW16</f>
        <v>2324262.2000000002</v>
      </c>
      <c r="BQ16" s="220"/>
      <c r="BR16" s="220"/>
      <c r="BS16" s="220">
        <v>61936.95</v>
      </c>
      <c r="BT16" s="220">
        <v>2714.78</v>
      </c>
      <c r="BU16" s="220">
        <v>2259610.4700000002</v>
      </c>
      <c r="BV16" s="220"/>
      <c r="BW16" s="220"/>
      <c r="BX16" s="202"/>
      <c r="BY16" s="221">
        <f>BZ16+CA16+CB16+CC16+CD16+CE16+CG16+CF16</f>
        <v>2324262.2000000002</v>
      </c>
      <c r="BZ16" s="221"/>
      <c r="CA16" s="221"/>
      <c r="CB16" s="221">
        <v>61936.95</v>
      </c>
      <c r="CC16" s="221">
        <v>2714.78</v>
      </c>
      <c r="CD16" s="221">
        <v>2259610.4700000002</v>
      </c>
      <c r="CE16" s="221"/>
      <c r="CF16" s="221"/>
      <c r="CG16" s="222"/>
      <c r="CH16" s="220">
        <f>CI16+CJ16+CK16+CL16+CM16+CN16+CP16+CO16</f>
        <v>2324262.2000000002</v>
      </c>
      <c r="CI16" s="220"/>
      <c r="CJ16" s="220"/>
      <c r="CK16" s="220">
        <v>61936.95</v>
      </c>
      <c r="CL16" s="220">
        <v>2714.78</v>
      </c>
      <c r="CM16" s="220">
        <v>2259610.4700000002</v>
      </c>
      <c r="CN16" s="220"/>
      <c r="CO16" s="220"/>
      <c r="CP16" s="202"/>
      <c r="CQ16" s="223">
        <f>SUM(CR16:CY16)</f>
        <v>2324262.2000000002</v>
      </c>
      <c r="CR16" s="223"/>
      <c r="CS16" s="223"/>
      <c r="CT16" s="223">
        <v>61936.95</v>
      </c>
      <c r="CU16" s="223">
        <v>2714.78</v>
      </c>
      <c r="CV16" s="223">
        <v>2259610.4700000002</v>
      </c>
      <c r="CW16" s="223"/>
      <c r="CX16" s="223"/>
      <c r="CY16" s="203"/>
      <c r="CZ16" s="224" t="e">
        <f>DA16+DB16+DC16+DD16+DE16+DF16+DH16+DG16</f>
        <v>#REF!</v>
      </c>
      <c r="DA16" s="224"/>
      <c r="DB16" s="224"/>
      <c r="DC16" s="224"/>
      <c r="DD16" s="224"/>
      <c r="DE16" s="224" t="e">
        <f>'4 (2025)'!#REF!</f>
        <v>#REF!</v>
      </c>
      <c r="DF16" s="224"/>
      <c r="DG16" s="224" t="e">
        <f>'4 (2025)'!#REF!</f>
        <v>#REF!</v>
      </c>
      <c r="DH16" s="201"/>
      <c r="DI16" s="225" t="e">
        <f>CZ16='4 (2025)'!#REF!</f>
        <v>#REF!</v>
      </c>
      <c r="DJ16" s="175" t="e">
        <f>BI16=CZ16</f>
        <v>#REF!</v>
      </c>
      <c r="DK16" s="296"/>
      <c r="DL16" s="296"/>
    </row>
    <row r="17" spans="1:119" ht="12.75" x14ac:dyDescent="0.2">
      <c r="A17" s="214"/>
      <c r="B17" s="215"/>
      <c r="C17" s="2675" t="s">
        <v>428</v>
      </c>
      <c r="D17" s="2675"/>
      <c r="E17" s="2675"/>
      <c r="F17" s="2675"/>
      <c r="G17" s="2675"/>
      <c r="H17" s="2675"/>
      <c r="I17" s="2675"/>
      <c r="J17" s="2675"/>
      <c r="K17" s="2675"/>
      <c r="L17" s="2675"/>
      <c r="M17" s="2675"/>
      <c r="N17" s="2675"/>
      <c r="O17" s="2675"/>
      <c r="P17" s="2675"/>
      <c r="Q17" s="2675"/>
      <c r="R17" s="2675"/>
      <c r="S17" s="2675"/>
      <c r="T17" s="2675"/>
      <c r="U17" s="2675"/>
      <c r="V17" s="2675"/>
      <c r="W17" s="2675"/>
      <c r="X17" s="2675"/>
      <c r="Y17" s="2675"/>
      <c r="Z17" s="2675"/>
      <c r="AA17" s="2675"/>
      <c r="AB17" s="2675"/>
      <c r="AC17" s="2675"/>
      <c r="AD17" s="2675"/>
      <c r="AE17" s="2675"/>
      <c r="AF17" s="2675"/>
      <c r="AG17" s="2675"/>
      <c r="AH17" s="2675"/>
      <c r="AI17" s="2675"/>
      <c r="AJ17" s="2675"/>
      <c r="AK17" s="2675"/>
      <c r="AL17" s="2675"/>
      <c r="AM17" s="2675"/>
      <c r="AN17" s="2675"/>
      <c r="AO17" s="2675"/>
      <c r="AP17" s="2675"/>
      <c r="AQ17" s="2675"/>
      <c r="AR17" s="2675"/>
      <c r="AS17" s="2675"/>
      <c r="AT17" s="2675"/>
      <c r="AU17" s="2675"/>
      <c r="AV17" s="2675"/>
      <c r="AW17" s="2675"/>
      <c r="AX17" s="2676"/>
      <c r="AY17" s="205" t="s">
        <v>426</v>
      </c>
      <c r="AZ17" s="198" t="s">
        <v>607</v>
      </c>
      <c r="BA17" s="198" t="s">
        <v>38</v>
      </c>
      <c r="BB17" s="226" t="s">
        <v>91</v>
      </c>
      <c r="BC17" s="198" t="s">
        <v>427</v>
      </c>
      <c r="BD17" s="198"/>
      <c r="BE17" s="198" t="s">
        <v>219</v>
      </c>
      <c r="BF17" s="198" t="s">
        <v>422</v>
      </c>
      <c r="BG17" s="217">
        <v>2543227.6800000002</v>
      </c>
      <c r="BH17" s="218"/>
      <c r="BI17" s="219">
        <f>BJ17+BK17+BL17+BM17+BN17+BO17</f>
        <v>2543227.6800000002</v>
      </c>
      <c r="BJ17" s="219"/>
      <c r="BK17" s="219"/>
      <c r="BL17" s="227">
        <v>59421.31</v>
      </c>
      <c r="BM17" s="227">
        <v>1396.93</v>
      </c>
      <c r="BN17" s="227">
        <v>2482409.44</v>
      </c>
      <c r="BO17" s="219"/>
      <c r="BP17" s="220">
        <f>BQ17+BR17+BS17+BT17+BU17+BV17+BX17+BW17</f>
        <v>2543227.6800000002</v>
      </c>
      <c r="BQ17" s="220"/>
      <c r="BR17" s="220"/>
      <c r="BS17" s="220">
        <v>59421.31</v>
      </c>
      <c r="BT17" s="220">
        <v>3157.72</v>
      </c>
      <c r="BU17" s="220">
        <v>2480648.65</v>
      </c>
      <c r="BV17" s="220"/>
      <c r="BW17" s="220"/>
      <c r="BX17" s="202"/>
      <c r="BY17" s="221">
        <f>BZ17+CA17+CB17+CC17+CD17+CE17+CG17+CF17</f>
        <v>2543227.6800000002</v>
      </c>
      <c r="BZ17" s="221"/>
      <c r="CA17" s="221"/>
      <c r="CB17" s="221">
        <v>59421.31</v>
      </c>
      <c r="CC17" s="221">
        <v>3157.72</v>
      </c>
      <c r="CD17" s="221">
        <v>2480648.65</v>
      </c>
      <c r="CE17" s="221"/>
      <c r="CF17" s="221"/>
      <c r="CG17" s="222"/>
      <c r="CH17" s="220">
        <f>CI17+CJ17+CK17+CL17+CM17+CN17+CP17+CO17</f>
        <v>2543227.6800000002</v>
      </c>
      <c r="CI17" s="220"/>
      <c r="CJ17" s="220"/>
      <c r="CK17" s="220">
        <v>59421.31</v>
      </c>
      <c r="CL17" s="220">
        <v>3157.72</v>
      </c>
      <c r="CM17" s="220">
        <v>2480648.65</v>
      </c>
      <c r="CN17" s="220"/>
      <c r="CO17" s="220"/>
      <c r="CP17" s="202"/>
      <c r="CQ17" s="223">
        <f>SUM(CR17:CY17)</f>
        <v>2543227.6800000002</v>
      </c>
      <c r="CR17" s="223"/>
      <c r="CS17" s="223"/>
      <c r="CT17" s="223">
        <v>59421.31</v>
      </c>
      <c r="CU17" s="223">
        <v>3157.72</v>
      </c>
      <c r="CV17" s="223">
        <v>2480648.65</v>
      </c>
      <c r="CW17" s="223"/>
      <c r="CX17" s="223"/>
      <c r="CY17" s="203"/>
      <c r="CZ17" s="224" t="e">
        <f>DA17+DB17+DC17+DD17+DE17+DF17+DH17+DG17</f>
        <v>#REF!</v>
      </c>
      <c r="DA17" s="224"/>
      <c r="DB17" s="224"/>
      <c r="DC17" s="224"/>
      <c r="DD17" s="224"/>
      <c r="DE17" s="224" t="e">
        <f>'4 (2025)'!#REF!</f>
        <v>#REF!</v>
      </c>
      <c r="DF17" s="224"/>
      <c r="DG17" s="224" t="e">
        <f>'4 (2025)'!#REF!</f>
        <v>#REF!</v>
      </c>
      <c r="DH17" s="201"/>
      <c r="DI17" s="225" t="e">
        <f>'4 (2025)'!#REF!=CZ17</f>
        <v>#REF!</v>
      </c>
      <c r="DJ17" s="175" t="e">
        <f>BI17=CZ17</f>
        <v>#REF!</v>
      </c>
    </row>
    <row r="18" spans="1:119" ht="12.75" x14ac:dyDescent="0.2">
      <c r="A18" s="214"/>
      <c r="B18" s="215"/>
      <c r="C18" s="2675" t="s">
        <v>429</v>
      </c>
      <c r="D18" s="2675"/>
      <c r="E18" s="2675"/>
      <c r="F18" s="2675"/>
      <c r="G18" s="2675"/>
      <c r="H18" s="2675"/>
      <c r="I18" s="2675"/>
      <c r="J18" s="2675"/>
      <c r="K18" s="2675"/>
      <c r="L18" s="2675"/>
      <c r="M18" s="2675"/>
      <c r="N18" s="2675"/>
      <c r="O18" s="2675"/>
      <c r="P18" s="2675"/>
      <c r="Q18" s="2675"/>
      <c r="R18" s="2675"/>
      <c r="S18" s="2675"/>
      <c r="T18" s="2675"/>
      <c r="U18" s="2675"/>
      <c r="V18" s="2675"/>
      <c r="W18" s="2675"/>
      <c r="X18" s="2675"/>
      <c r="Y18" s="2675"/>
      <c r="Z18" s="2675"/>
      <c r="AA18" s="2675"/>
      <c r="AB18" s="2675"/>
      <c r="AC18" s="2675"/>
      <c r="AD18" s="2675"/>
      <c r="AE18" s="2675"/>
      <c r="AF18" s="2675"/>
      <c r="AG18" s="2675"/>
      <c r="AH18" s="2675"/>
      <c r="AI18" s="2675"/>
      <c r="AJ18" s="2675"/>
      <c r="AK18" s="2675"/>
      <c r="AL18" s="2675"/>
      <c r="AM18" s="2675"/>
      <c r="AN18" s="2675"/>
      <c r="AO18" s="2675"/>
      <c r="AP18" s="2675"/>
      <c r="AQ18" s="2675"/>
      <c r="AR18" s="2675"/>
      <c r="AS18" s="2675"/>
      <c r="AT18" s="2675"/>
      <c r="AU18" s="2675"/>
      <c r="AV18" s="2675"/>
      <c r="AW18" s="2675"/>
      <c r="AX18" s="2676"/>
      <c r="AY18" s="205" t="s">
        <v>430</v>
      </c>
      <c r="AZ18" s="198" t="s">
        <v>152</v>
      </c>
      <c r="BA18" s="198" t="s">
        <v>38</v>
      </c>
      <c r="BB18" s="216" t="s">
        <v>337</v>
      </c>
      <c r="BC18" s="198" t="s">
        <v>431</v>
      </c>
      <c r="BD18" s="198"/>
      <c r="BE18" s="198" t="s">
        <v>219</v>
      </c>
      <c r="BF18" s="198" t="s">
        <v>422</v>
      </c>
      <c r="BG18" s="217">
        <v>356823.52</v>
      </c>
      <c r="BH18" s="218"/>
      <c r="BI18" s="219">
        <f t="shared" si="3"/>
        <v>356823.52</v>
      </c>
      <c r="BJ18" s="219">
        <v>244227.59</v>
      </c>
      <c r="BK18" s="219"/>
      <c r="BL18" s="219">
        <v>96330.42</v>
      </c>
      <c r="BM18" s="219"/>
      <c r="BN18" s="219">
        <v>16265.51</v>
      </c>
      <c r="BO18" s="219"/>
      <c r="BP18" s="220">
        <f t="shared" si="4"/>
        <v>369286.01</v>
      </c>
      <c r="BQ18" s="220">
        <v>244227.59</v>
      </c>
      <c r="BR18" s="220"/>
      <c r="BS18" s="220">
        <v>125058.42</v>
      </c>
      <c r="BT18" s="220"/>
      <c r="BU18" s="220"/>
      <c r="BV18" s="220"/>
      <c r="BW18" s="220"/>
      <c r="BX18" s="202"/>
      <c r="BY18" s="221">
        <f t="shared" si="5"/>
        <v>369286.01</v>
      </c>
      <c r="BZ18" s="221">
        <v>244227.59</v>
      </c>
      <c r="CA18" s="221"/>
      <c r="CB18" s="221">
        <v>125058.42</v>
      </c>
      <c r="CC18" s="221"/>
      <c r="CD18" s="221"/>
      <c r="CE18" s="221"/>
      <c r="CF18" s="221"/>
      <c r="CG18" s="222"/>
      <c r="CH18" s="220">
        <f t="shared" si="6"/>
        <v>369286.01</v>
      </c>
      <c r="CI18" s="220">
        <v>244227.59</v>
      </c>
      <c r="CJ18" s="220"/>
      <c r="CK18" s="220">
        <v>125058.42</v>
      </c>
      <c r="CL18" s="220"/>
      <c r="CM18" s="220"/>
      <c r="CN18" s="220"/>
      <c r="CO18" s="220"/>
      <c r="CP18" s="202"/>
      <c r="CQ18" s="223">
        <f t="shared" si="7"/>
        <v>369286.01</v>
      </c>
      <c r="CR18" s="223">
        <v>220027.83</v>
      </c>
      <c r="CS18" s="223"/>
      <c r="CT18" s="223">
        <v>147338.42000000001</v>
      </c>
      <c r="CU18" s="223"/>
      <c r="CV18" s="223"/>
      <c r="CW18" s="223"/>
      <c r="CX18" s="223"/>
      <c r="CY18" s="203">
        <v>1919.76</v>
      </c>
      <c r="CZ18" s="224" t="e">
        <f t="shared" si="8"/>
        <v>#REF!</v>
      </c>
      <c r="DA18" s="224" t="e">
        <f>'4 (2025)'!#REF!+'4 (2025)'!#REF!+'4 (2025)'!#REF!+'4 (2025)'!#REF!+'4 (2025)'!#REF!+'4 (2025)'!#REF!</f>
        <v>#REF!</v>
      </c>
      <c r="DB18" s="224"/>
      <c r="DC18" s="224"/>
      <c r="DD18" s="224"/>
      <c r="DE18" s="224" t="e">
        <f>'4 (2025)'!#REF!+'4 (2025)'!#REF!</f>
        <v>#REF!</v>
      </c>
      <c r="DF18" s="224"/>
      <c r="DG18" s="224" t="e">
        <f>'4 (2025)'!#REF!+'4 (2025)'!#REF!+'4 (2025)'!#REF!+'4 (2025)'!#REF!</f>
        <v>#REF!</v>
      </c>
      <c r="DH18" s="201" t="e">
        <f>'4 (2025)'!#REF!</f>
        <v>#REF!</v>
      </c>
      <c r="DI18" s="225" t="e">
        <f>CZ18='4 (2025)'!#REF!</f>
        <v>#REF!</v>
      </c>
      <c r="DJ18" s="175" t="e">
        <f t="shared" si="2"/>
        <v>#REF!</v>
      </c>
    </row>
    <row r="19" spans="1:119" ht="12.75" x14ac:dyDescent="0.2">
      <c r="A19" s="214"/>
      <c r="B19" s="215"/>
      <c r="C19" s="2675" t="s">
        <v>432</v>
      </c>
      <c r="D19" s="2675"/>
      <c r="E19" s="2675"/>
      <c r="F19" s="2675"/>
      <c r="G19" s="2675"/>
      <c r="H19" s="2675"/>
      <c r="I19" s="2675"/>
      <c r="J19" s="2675"/>
      <c r="K19" s="2675"/>
      <c r="L19" s="2675"/>
      <c r="M19" s="2675"/>
      <c r="N19" s="2675"/>
      <c r="O19" s="2675"/>
      <c r="P19" s="2675"/>
      <c r="Q19" s="2675"/>
      <c r="R19" s="2675"/>
      <c r="S19" s="2675"/>
      <c r="T19" s="2675"/>
      <c r="U19" s="2675"/>
      <c r="V19" s="2675"/>
      <c r="W19" s="2675"/>
      <c r="X19" s="2675"/>
      <c r="Y19" s="2675"/>
      <c r="Z19" s="2675"/>
      <c r="AA19" s="2675"/>
      <c r="AB19" s="2675"/>
      <c r="AC19" s="2675"/>
      <c r="AD19" s="2675"/>
      <c r="AE19" s="2675"/>
      <c r="AF19" s="2675"/>
      <c r="AG19" s="2675"/>
      <c r="AH19" s="2675"/>
      <c r="AI19" s="2675"/>
      <c r="AJ19" s="2675"/>
      <c r="AK19" s="2675"/>
      <c r="AL19" s="2675"/>
      <c r="AM19" s="2675"/>
      <c r="AN19" s="2675"/>
      <c r="AO19" s="2675"/>
      <c r="AP19" s="2675"/>
      <c r="AQ19" s="2675"/>
      <c r="AR19" s="2675"/>
      <c r="AS19" s="2675"/>
      <c r="AT19" s="2675"/>
      <c r="AU19" s="2675"/>
      <c r="AV19" s="2675"/>
      <c r="AW19" s="2675"/>
      <c r="AX19" s="2676"/>
      <c r="AY19" s="205" t="s">
        <v>430</v>
      </c>
      <c r="AZ19" s="198" t="s">
        <v>152</v>
      </c>
      <c r="BA19" s="198" t="s">
        <v>38</v>
      </c>
      <c r="BB19" s="226" t="s">
        <v>91</v>
      </c>
      <c r="BC19" s="198" t="s">
        <v>431</v>
      </c>
      <c r="BD19" s="198"/>
      <c r="BE19" s="198" t="s">
        <v>219</v>
      </c>
      <c r="BF19" s="198" t="s">
        <v>422</v>
      </c>
      <c r="BG19" s="217">
        <v>801398.55</v>
      </c>
      <c r="BH19" s="218">
        <f t="shared" ref="BH19:BH35" si="9">BG19-BI19</f>
        <v>2478</v>
      </c>
      <c r="BI19" s="219">
        <f t="shared" si="3"/>
        <v>798920.55</v>
      </c>
      <c r="BJ19" s="219">
        <v>163763.01</v>
      </c>
      <c r="BK19" s="219"/>
      <c r="BL19" s="219">
        <v>580358.28</v>
      </c>
      <c r="BM19" s="227">
        <v>27331.26</v>
      </c>
      <c r="BN19" s="219">
        <v>27468</v>
      </c>
      <c r="BO19" s="219"/>
      <c r="BP19" s="220">
        <f t="shared" si="4"/>
        <v>798920.55</v>
      </c>
      <c r="BQ19" s="220">
        <v>163762.89000000001</v>
      </c>
      <c r="BR19" s="202"/>
      <c r="BS19" s="220">
        <v>607358.28</v>
      </c>
      <c r="BT19" s="220">
        <v>27799.38</v>
      </c>
      <c r="BU19" s="220"/>
      <c r="BV19" s="220"/>
      <c r="BW19" s="220"/>
      <c r="BX19" s="202"/>
      <c r="BY19" s="221">
        <f t="shared" si="5"/>
        <v>798920.55</v>
      </c>
      <c r="BZ19" s="221">
        <v>163762.89000000001</v>
      </c>
      <c r="CA19" s="222"/>
      <c r="CB19" s="221">
        <v>607358.28</v>
      </c>
      <c r="CC19" s="221">
        <v>27799.38</v>
      </c>
      <c r="CD19" s="221"/>
      <c r="CE19" s="221"/>
      <c r="CF19" s="221"/>
      <c r="CG19" s="222"/>
      <c r="CH19" s="220">
        <f t="shared" si="6"/>
        <v>798920.55</v>
      </c>
      <c r="CI19" s="220">
        <v>158372.89000000001</v>
      </c>
      <c r="CJ19" s="202"/>
      <c r="CK19" s="220">
        <v>607358.28</v>
      </c>
      <c r="CL19" s="220">
        <v>33189.379999999997</v>
      </c>
      <c r="CM19" s="220"/>
      <c r="CN19" s="220"/>
      <c r="CO19" s="220"/>
      <c r="CP19" s="202"/>
      <c r="CQ19" s="223">
        <f t="shared" si="7"/>
        <v>798920.55</v>
      </c>
      <c r="CR19" s="223">
        <v>148762.89000000001</v>
      </c>
      <c r="CS19" s="203"/>
      <c r="CT19" s="223">
        <v>616968.28</v>
      </c>
      <c r="CU19" s="223"/>
      <c r="CV19" s="223"/>
      <c r="CW19" s="223"/>
      <c r="CX19" s="223"/>
      <c r="CY19" s="203">
        <v>33189.379999999997</v>
      </c>
      <c r="CZ19" s="224" t="e">
        <f t="shared" si="8"/>
        <v>#REF!</v>
      </c>
      <c r="DA19" s="224" t="e">
        <f>'4 (2025)'!J368+'4 (2025)'!#REF!+'4 (2025)'!#REF!</f>
        <v>#REF!</v>
      </c>
      <c r="DB19" s="201"/>
      <c r="DC19" s="224"/>
      <c r="DD19" s="224"/>
      <c r="DE19" s="224"/>
      <c r="DF19" s="224"/>
      <c r="DG19" s="224" t="e">
        <f>'4 (2025)'!J318+'4 (2025)'!J331</f>
        <v>#VALUE!</v>
      </c>
      <c r="DH19" s="201" t="str">
        <f>'4 (2025)'!J394</f>
        <v>Сумма, руб.</v>
      </c>
      <c r="DI19" s="225" t="e">
        <f>CZ19='4 (2025)'!J290</f>
        <v>#REF!</v>
      </c>
      <c r="DJ19" s="175" t="e">
        <f t="shared" si="2"/>
        <v>#REF!</v>
      </c>
    </row>
    <row r="20" spans="1:119" ht="12.75" x14ac:dyDescent="0.2">
      <c r="A20" s="214"/>
      <c r="B20" s="215"/>
      <c r="C20" s="2675" t="s">
        <v>433</v>
      </c>
      <c r="D20" s="2675"/>
      <c r="E20" s="2675"/>
      <c r="F20" s="2675"/>
      <c r="G20" s="2675"/>
      <c r="H20" s="2675"/>
      <c r="I20" s="2675"/>
      <c r="J20" s="2675"/>
      <c r="K20" s="2675"/>
      <c r="L20" s="2675"/>
      <c r="M20" s="2675"/>
      <c r="N20" s="2675"/>
      <c r="O20" s="2675"/>
      <c r="P20" s="2675"/>
      <c r="Q20" s="2675"/>
      <c r="R20" s="2675"/>
      <c r="S20" s="2675"/>
      <c r="T20" s="2675"/>
      <c r="U20" s="2675"/>
      <c r="V20" s="2675"/>
      <c r="W20" s="2675"/>
      <c r="X20" s="2675"/>
      <c r="Y20" s="2675"/>
      <c r="Z20" s="2675"/>
      <c r="AA20" s="2675"/>
      <c r="AB20" s="2675"/>
      <c r="AC20" s="2675"/>
      <c r="AD20" s="2675"/>
      <c r="AE20" s="2675"/>
      <c r="AF20" s="2675"/>
      <c r="AG20" s="2675"/>
      <c r="AH20" s="2675"/>
      <c r="AI20" s="2675"/>
      <c r="AJ20" s="2675"/>
      <c r="AK20" s="2675"/>
      <c r="AL20" s="2675"/>
      <c r="AM20" s="2675"/>
      <c r="AN20" s="2675"/>
      <c r="AO20" s="2675"/>
      <c r="AP20" s="2675"/>
      <c r="AQ20" s="2675"/>
      <c r="AR20" s="2675"/>
      <c r="AS20" s="2675"/>
      <c r="AT20" s="2675"/>
      <c r="AU20" s="2675"/>
      <c r="AV20" s="2675"/>
      <c r="AW20" s="2675"/>
      <c r="AX20" s="2676"/>
      <c r="AY20" s="205" t="s">
        <v>434</v>
      </c>
      <c r="AZ20" s="198" t="s">
        <v>152</v>
      </c>
      <c r="BA20" s="198" t="s">
        <v>38</v>
      </c>
      <c r="BB20" s="216" t="s">
        <v>337</v>
      </c>
      <c r="BC20" s="198" t="s">
        <v>435</v>
      </c>
      <c r="BD20" s="198"/>
      <c r="BE20" s="198" t="s">
        <v>219</v>
      </c>
      <c r="BF20" s="198" t="s">
        <v>422</v>
      </c>
      <c r="BG20" s="217">
        <v>386127.25</v>
      </c>
      <c r="BH20" s="218">
        <f t="shared" si="9"/>
        <v>12462.49</v>
      </c>
      <c r="BI20" s="219">
        <f t="shared" si="3"/>
        <v>373664.76</v>
      </c>
      <c r="BJ20" s="219">
        <v>42496</v>
      </c>
      <c r="BK20" s="219"/>
      <c r="BL20" s="219">
        <v>96360</v>
      </c>
      <c r="BM20" s="219">
        <v>34056.31</v>
      </c>
      <c r="BN20" s="219">
        <v>200752.45</v>
      </c>
      <c r="BO20" s="219"/>
      <c r="BP20" s="220">
        <f t="shared" si="4"/>
        <v>373664.76</v>
      </c>
      <c r="BQ20" s="220">
        <v>31926</v>
      </c>
      <c r="BR20" s="202"/>
      <c r="BS20" s="220">
        <v>96360</v>
      </c>
      <c r="BT20" s="220">
        <v>49300.76</v>
      </c>
      <c r="BU20" s="220">
        <v>196078</v>
      </c>
      <c r="BV20" s="220"/>
      <c r="BW20" s="220"/>
      <c r="BX20" s="202"/>
      <c r="BY20" s="221">
        <f t="shared" si="5"/>
        <v>373664.76</v>
      </c>
      <c r="BZ20" s="221">
        <v>31926</v>
      </c>
      <c r="CA20" s="222"/>
      <c r="CB20" s="221">
        <v>96360</v>
      </c>
      <c r="CC20" s="221">
        <v>49300.76</v>
      </c>
      <c r="CD20" s="228">
        <v>196078</v>
      </c>
      <c r="CE20" s="221"/>
      <c r="CF20" s="221"/>
      <c r="CG20" s="222"/>
      <c r="CH20" s="220">
        <f t="shared" si="6"/>
        <v>363664.76</v>
      </c>
      <c r="CI20" s="220">
        <v>31926.98</v>
      </c>
      <c r="CJ20" s="202"/>
      <c r="CK20" s="220">
        <v>96360</v>
      </c>
      <c r="CL20" s="220">
        <v>52085.22</v>
      </c>
      <c r="CM20" s="220">
        <v>183292.56</v>
      </c>
      <c r="CN20" s="220"/>
      <c r="CO20" s="220"/>
      <c r="CP20" s="202"/>
      <c r="CQ20" s="223">
        <f t="shared" si="7"/>
        <v>363664.76</v>
      </c>
      <c r="CR20" s="223">
        <v>6500</v>
      </c>
      <c r="CS20" s="203"/>
      <c r="CT20" s="223">
        <v>132326.98000000001</v>
      </c>
      <c r="CU20" s="223"/>
      <c r="CV20" s="223">
        <v>183292.56</v>
      </c>
      <c r="CW20" s="223"/>
      <c r="CX20" s="223"/>
      <c r="CY20" s="203">
        <v>41545.22</v>
      </c>
      <c r="CZ20" s="224" t="e">
        <f t="shared" si="8"/>
        <v>#REF!</v>
      </c>
      <c r="DA20" s="224" t="e">
        <f>'4 (2025)'!#REF!+'4 (2025)'!#REF!+'4 (2025)'!#REF!+'4 (2025)'!#REF!</f>
        <v>#REF!</v>
      </c>
      <c r="DB20" s="201"/>
      <c r="DC20" s="224"/>
      <c r="DD20" s="224"/>
      <c r="DE20" s="224" t="e">
        <f>'4 (2025)'!#REF!</f>
        <v>#REF!</v>
      </c>
      <c r="DF20" s="224"/>
      <c r="DG20" s="224"/>
      <c r="DH20" s="201" t="e">
        <f>'4 (2025)'!#REF!</f>
        <v>#REF!</v>
      </c>
      <c r="DI20" s="225" t="e">
        <f>CZ20='4 (2025)'!#REF!</f>
        <v>#REF!</v>
      </c>
      <c r="DJ20" s="175" t="e">
        <f t="shared" si="2"/>
        <v>#REF!</v>
      </c>
    </row>
    <row r="21" spans="1:119" ht="12.75" x14ac:dyDescent="0.2">
      <c r="A21" s="214"/>
      <c r="B21" s="215"/>
      <c r="C21" s="2675" t="s">
        <v>436</v>
      </c>
      <c r="D21" s="2675"/>
      <c r="E21" s="2675"/>
      <c r="F21" s="2675"/>
      <c r="G21" s="2675"/>
      <c r="H21" s="2675"/>
      <c r="I21" s="2675"/>
      <c r="J21" s="2675"/>
      <c r="K21" s="2675"/>
      <c r="L21" s="2675"/>
      <c r="M21" s="2675"/>
      <c r="N21" s="2675"/>
      <c r="O21" s="2675"/>
      <c r="P21" s="2675"/>
      <c r="Q21" s="2675"/>
      <c r="R21" s="2675"/>
      <c r="S21" s="2675"/>
      <c r="T21" s="2675"/>
      <c r="U21" s="2675"/>
      <c r="V21" s="2675"/>
      <c r="W21" s="2675"/>
      <c r="X21" s="2675"/>
      <c r="Y21" s="2675"/>
      <c r="Z21" s="2675"/>
      <c r="AA21" s="2675"/>
      <c r="AB21" s="2675"/>
      <c r="AC21" s="2675"/>
      <c r="AD21" s="2675"/>
      <c r="AE21" s="2675"/>
      <c r="AF21" s="2675"/>
      <c r="AG21" s="2675"/>
      <c r="AH21" s="2675"/>
      <c r="AI21" s="2675"/>
      <c r="AJ21" s="2675"/>
      <c r="AK21" s="2675"/>
      <c r="AL21" s="2675"/>
      <c r="AM21" s="2675"/>
      <c r="AN21" s="2675"/>
      <c r="AO21" s="2675"/>
      <c r="AP21" s="2675"/>
      <c r="AQ21" s="2675"/>
      <c r="AR21" s="2675"/>
      <c r="AS21" s="2675"/>
      <c r="AT21" s="2675"/>
      <c r="AU21" s="2675"/>
      <c r="AV21" s="2675"/>
      <c r="AW21" s="2675"/>
      <c r="AX21" s="2676"/>
      <c r="AY21" s="205" t="s">
        <v>434</v>
      </c>
      <c r="AZ21" s="198" t="s">
        <v>152</v>
      </c>
      <c r="BA21" s="198" t="s">
        <v>38</v>
      </c>
      <c r="BB21" s="226" t="s">
        <v>91</v>
      </c>
      <c r="BC21" s="198" t="s">
        <v>435</v>
      </c>
      <c r="BD21" s="198"/>
      <c r="BE21" s="198" t="s">
        <v>219</v>
      </c>
      <c r="BF21" s="198" t="s">
        <v>422</v>
      </c>
      <c r="BG21" s="217">
        <v>879531.26</v>
      </c>
      <c r="BH21" s="218">
        <f t="shared" si="9"/>
        <v>0</v>
      </c>
      <c r="BI21" s="219">
        <f t="shared" si="3"/>
        <v>879531.26</v>
      </c>
      <c r="BJ21" s="219">
        <v>59001.26</v>
      </c>
      <c r="BK21" s="219"/>
      <c r="BL21" s="219">
        <v>543330</v>
      </c>
      <c r="BM21" s="219">
        <v>4484.53</v>
      </c>
      <c r="BN21" s="219">
        <v>272715.46999999997</v>
      </c>
      <c r="BO21" s="219"/>
      <c r="BP21" s="220">
        <f t="shared" si="4"/>
        <v>879531.26</v>
      </c>
      <c r="BQ21" s="220">
        <v>82591.259999999995</v>
      </c>
      <c r="BR21" s="202"/>
      <c r="BS21" s="220">
        <v>543330</v>
      </c>
      <c r="BT21" s="220">
        <v>16422.43</v>
      </c>
      <c r="BU21" s="220">
        <v>237187.57</v>
      </c>
      <c r="BV21" s="220"/>
      <c r="BW21" s="220"/>
      <c r="BX21" s="202"/>
      <c r="BY21" s="221">
        <f t="shared" si="5"/>
        <v>879531.26</v>
      </c>
      <c r="BZ21" s="228">
        <f>99013.69-16422.43</f>
        <v>82591.259999999995</v>
      </c>
      <c r="CA21" s="222"/>
      <c r="CB21" s="228">
        <f>543330+16422.43</f>
        <v>559752.43000000005</v>
      </c>
      <c r="CC21" s="221"/>
      <c r="CD21" s="228">
        <v>237187.57</v>
      </c>
      <c r="CE21" s="221"/>
      <c r="CF21" s="221"/>
      <c r="CG21" s="222"/>
      <c r="CH21" s="220">
        <f t="shared" si="6"/>
        <v>879531.26</v>
      </c>
      <c r="CI21" s="220">
        <v>99363.69</v>
      </c>
      <c r="CJ21" s="202"/>
      <c r="CK21" s="220">
        <v>543330</v>
      </c>
      <c r="CL21" s="220">
        <v>82950.649999999994</v>
      </c>
      <c r="CM21" s="220">
        <v>153886.92000000001</v>
      </c>
      <c r="CN21" s="220"/>
      <c r="CO21" s="220"/>
      <c r="CP21" s="202"/>
      <c r="CQ21" s="223">
        <f t="shared" si="7"/>
        <v>981189.63</v>
      </c>
      <c r="CR21" s="223">
        <v>126581.81</v>
      </c>
      <c r="CS21" s="223"/>
      <c r="CT21" s="223">
        <v>700720.9</v>
      </c>
      <c r="CU21" s="223"/>
      <c r="CV21" s="223">
        <v>153886.92000000001</v>
      </c>
      <c r="CW21" s="223"/>
      <c r="CX21" s="223"/>
      <c r="CY21" s="203"/>
      <c r="CZ21" s="224" t="e">
        <f t="shared" si="8"/>
        <v>#REF!</v>
      </c>
      <c r="DA21" s="224" t="e">
        <f>'4 (2025)'!#REF!+'4 (2025)'!#REF!+'4 (2025)'!#REF!+'4 (2025)'!#REF!+'4 (2025)'!J494</f>
        <v>#REF!</v>
      </c>
      <c r="DB21" s="224"/>
      <c r="DC21" s="224" t="e">
        <f>'4 (2025)'!J490+'4 (2025)'!#REF!+'4 (2025)'!#REF!</f>
        <v>#REF!</v>
      </c>
      <c r="DD21" s="224"/>
      <c r="DE21" s="224" t="e">
        <f>'4 (2025)'!#REF!+'4 (2025)'!#REF!</f>
        <v>#REF!</v>
      </c>
      <c r="DF21" s="224"/>
      <c r="DG21" s="224"/>
      <c r="DH21" s="201" t="e">
        <f>'4 (2025)'!#REF!+'4 (2025)'!#REF!</f>
        <v>#REF!</v>
      </c>
      <c r="DI21" s="225" t="e">
        <f>CZ21='4 (2025)'!J473</f>
        <v>#REF!</v>
      </c>
      <c r="DJ21" s="175" t="e">
        <f t="shared" si="2"/>
        <v>#REF!</v>
      </c>
    </row>
    <row r="22" spans="1:119" ht="12.75" x14ac:dyDescent="0.2">
      <c r="A22" s="214"/>
      <c r="B22" s="215"/>
      <c r="C22" s="2675" t="s">
        <v>437</v>
      </c>
      <c r="D22" s="2675"/>
      <c r="E22" s="2675"/>
      <c r="F22" s="2675"/>
      <c r="G22" s="2675"/>
      <c r="H22" s="2675"/>
      <c r="I22" s="2675"/>
      <c r="J22" s="2675"/>
      <c r="K22" s="2675"/>
      <c r="L22" s="2675"/>
      <c r="M22" s="2675"/>
      <c r="N22" s="2675"/>
      <c r="O22" s="2675"/>
      <c r="P22" s="2675"/>
      <c r="Q22" s="2675"/>
      <c r="R22" s="2675"/>
      <c r="S22" s="2675"/>
      <c r="T22" s="2675"/>
      <c r="U22" s="2675"/>
      <c r="V22" s="2675"/>
      <c r="W22" s="2675"/>
      <c r="X22" s="2675"/>
      <c r="Y22" s="2675"/>
      <c r="Z22" s="2675"/>
      <c r="AA22" s="2675"/>
      <c r="AB22" s="2675"/>
      <c r="AC22" s="2675"/>
      <c r="AD22" s="2675"/>
      <c r="AE22" s="2675"/>
      <c r="AF22" s="2675"/>
      <c r="AG22" s="2675"/>
      <c r="AH22" s="2675"/>
      <c r="AI22" s="2675"/>
      <c r="AJ22" s="2675"/>
      <c r="AK22" s="2675"/>
      <c r="AL22" s="2675"/>
      <c r="AM22" s="2675"/>
      <c r="AN22" s="2675"/>
      <c r="AO22" s="2675"/>
      <c r="AP22" s="2675"/>
      <c r="AQ22" s="2675"/>
      <c r="AR22" s="2675"/>
      <c r="AS22" s="2675"/>
      <c r="AT22" s="2675"/>
      <c r="AU22" s="2675"/>
      <c r="AV22" s="2675"/>
      <c r="AW22" s="2675"/>
      <c r="AX22" s="2676"/>
      <c r="AY22" s="205" t="s">
        <v>434</v>
      </c>
      <c r="AZ22" s="198" t="s">
        <v>152</v>
      </c>
      <c r="BA22" s="198" t="s">
        <v>38</v>
      </c>
      <c r="BB22" s="198" t="s">
        <v>144</v>
      </c>
      <c r="BC22" s="198" t="s">
        <v>435</v>
      </c>
      <c r="BD22" s="198"/>
      <c r="BE22" s="198" t="s">
        <v>219</v>
      </c>
      <c r="BF22" s="198" t="s">
        <v>438</v>
      </c>
      <c r="BG22" s="217">
        <v>435942</v>
      </c>
      <c r="BH22" s="218">
        <f t="shared" si="9"/>
        <v>0</v>
      </c>
      <c r="BI22" s="219">
        <f t="shared" si="3"/>
        <v>435942</v>
      </c>
      <c r="BJ22" s="219"/>
      <c r="BK22" s="219"/>
      <c r="BL22" s="219">
        <v>83835</v>
      </c>
      <c r="BM22" s="219"/>
      <c r="BN22" s="219">
        <v>352107</v>
      </c>
      <c r="BO22" s="219"/>
      <c r="BP22" s="220">
        <f t="shared" si="4"/>
        <v>435942</v>
      </c>
      <c r="BQ22" s="220"/>
      <c r="BR22" s="220"/>
      <c r="BS22" s="220">
        <v>83835</v>
      </c>
      <c r="BT22" s="220"/>
      <c r="BU22" s="220">
        <v>352107</v>
      </c>
      <c r="BV22" s="220"/>
      <c r="BW22" s="220"/>
      <c r="BX22" s="202"/>
      <c r="BY22" s="221">
        <f t="shared" si="5"/>
        <v>435942</v>
      </c>
      <c r="BZ22" s="221"/>
      <c r="CA22" s="221"/>
      <c r="CB22" s="221">
        <v>83835</v>
      </c>
      <c r="CC22" s="221"/>
      <c r="CD22" s="221">
        <v>352107</v>
      </c>
      <c r="CE22" s="221"/>
      <c r="CF22" s="221"/>
      <c r="CG22" s="222"/>
      <c r="CH22" s="220">
        <f t="shared" si="6"/>
        <v>435942</v>
      </c>
      <c r="CI22" s="220"/>
      <c r="CJ22" s="220"/>
      <c r="CK22" s="220">
        <v>83835</v>
      </c>
      <c r="CL22" s="220"/>
      <c r="CM22" s="220">
        <v>289845.53999999998</v>
      </c>
      <c r="CN22" s="220">
        <v>62261.46</v>
      </c>
      <c r="CO22" s="220"/>
      <c r="CP22" s="202"/>
      <c r="CQ22" s="223">
        <f t="shared" si="7"/>
        <v>435942</v>
      </c>
      <c r="CR22" s="223"/>
      <c r="CS22" s="223"/>
      <c r="CT22" s="223">
        <v>83835</v>
      </c>
      <c r="CU22" s="223"/>
      <c r="CV22" s="223">
        <v>289845.53999999998</v>
      </c>
      <c r="CW22" s="223">
        <v>62261.46</v>
      </c>
      <c r="CX22" s="223"/>
      <c r="CY22" s="203"/>
      <c r="CZ22" s="224" t="e">
        <f t="shared" si="8"/>
        <v>#REF!</v>
      </c>
      <c r="DA22" s="224"/>
      <c r="DB22" s="224"/>
      <c r="DC22" s="224"/>
      <c r="DD22" s="224"/>
      <c r="DE22" s="224">
        <f>'4 (2025)'!J560</f>
        <v>753900</v>
      </c>
      <c r="DF22" s="224"/>
      <c r="DG22" s="224">
        <f>'4 (2025)'!J561</f>
        <v>172810</v>
      </c>
      <c r="DH22" s="201" t="e">
        <f>'4 (2025)'!#REF!</f>
        <v>#REF!</v>
      </c>
      <c r="DI22" s="225" t="e">
        <f>CZ22='4 (2025)'!#REF!</f>
        <v>#REF!</v>
      </c>
      <c r="DJ22" s="175" t="e">
        <f t="shared" si="2"/>
        <v>#REF!</v>
      </c>
    </row>
    <row r="23" spans="1:119" ht="12.75" x14ac:dyDescent="0.2">
      <c r="A23" s="214"/>
      <c r="B23" s="215"/>
      <c r="C23" s="2675" t="s">
        <v>439</v>
      </c>
      <c r="D23" s="2675"/>
      <c r="E23" s="2675"/>
      <c r="F23" s="2675"/>
      <c r="G23" s="2675"/>
      <c r="H23" s="2675"/>
      <c r="I23" s="2675"/>
      <c r="J23" s="2675"/>
      <c r="K23" s="2675"/>
      <c r="L23" s="2675"/>
      <c r="M23" s="2675"/>
      <c r="N23" s="2675"/>
      <c r="O23" s="2675"/>
      <c r="P23" s="2675"/>
      <c r="Q23" s="2675"/>
      <c r="R23" s="2675"/>
      <c r="S23" s="2675"/>
      <c r="T23" s="2675"/>
      <c r="U23" s="2675"/>
      <c r="V23" s="2675"/>
      <c r="W23" s="2675"/>
      <c r="X23" s="2675"/>
      <c r="Y23" s="2675"/>
      <c r="Z23" s="2675"/>
      <c r="AA23" s="2675"/>
      <c r="AB23" s="2675"/>
      <c r="AC23" s="2675"/>
      <c r="AD23" s="2675"/>
      <c r="AE23" s="2675"/>
      <c r="AF23" s="2675"/>
      <c r="AG23" s="2675"/>
      <c r="AH23" s="2675"/>
      <c r="AI23" s="2675"/>
      <c r="AJ23" s="2675"/>
      <c r="AK23" s="2675"/>
      <c r="AL23" s="2675"/>
      <c r="AM23" s="2675"/>
      <c r="AN23" s="2675"/>
      <c r="AO23" s="2675"/>
      <c r="AP23" s="2675"/>
      <c r="AQ23" s="2675"/>
      <c r="AR23" s="2675"/>
      <c r="AS23" s="2675"/>
      <c r="AT23" s="2675"/>
      <c r="AU23" s="2675"/>
      <c r="AV23" s="2675"/>
      <c r="AW23" s="2675"/>
      <c r="AX23" s="2676"/>
      <c r="AY23" s="205" t="s">
        <v>434</v>
      </c>
      <c r="AZ23" s="198" t="s">
        <v>152</v>
      </c>
      <c r="BA23" s="198" t="s">
        <v>28</v>
      </c>
      <c r="BB23" s="216" t="s">
        <v>138</v>
      </c>
      <c r="BC23" s="198" t="s">
        <v>435</v>
      </c>
      <c r="BD23" s="198"/>
      <c r="BE23" s="198" t="s">
        <v>219</v>
      </c>
      <c r="BF23" s="198" t="s">
        <v>422</v>
      </c>
      <c r="BG23" s="217">
        <v>400000</v>
      </c>
      <c r="BH23" s="218">
        <f t="shared" si="9"/>
        <v>0</v>
      </c>
      <c r="BI23" s="219">
        <f>BJ23+BK23+BL23+BM23+BN23+BO23</f>
        <v>400000</v>
      </c>
      <c r="BJ23" s="219"/>
      <c r="BK23" s="219"/>
      <c r="BL23" s="219"/>
      <c r="BM23" s="219"/>
      <c r="BN23" s="219">
        <v>400000</v>
      </c>
      <c r="BO23" s="219"/>
      <c r="BP23" s="220">
        <f>BQ23+BR23+BS23+BT23+BU23+BV23+BX23+BW23</f>
        <v>400000</v>
      </c>
      <c r="BQ23" s="220"/>
      <c r="BR23" s="220"/>
      <c r="BS23" s="220"/>
      <c r="BT23" s="220"/>
      <c r="BU23" s="220">
        <v>200000</v>
      </c>
      <c r="BV23" s="229"/>
      <c r="BW23" s="229"/>
      <c r="BX23" s="202">
        <v>200000</v>
      </c>
      <c r="BY23" s="221">
        <f>BZ23+CA23+CB23+CC23+CD23+CE23+CG23+CF23</f>
        <v>200000</v>
      </c>
      <c r="BZ23" s="221"/>
      <c r="CA23" s="221"/>
      <c r="CB23" s="221"/>
      <c r="CC23" s="221"/>
      <c r="CD23" s="221">
        <v>200000</v>
      </c>
      <c r="CE23" s="230"/>
      <c r="CF23" s="230"/>
      <c r="CG23" s="222"/>
      <c r="CH23" s="220">
        <f>CI23+CJ23+CK23+CL23+CM23+CN23+CP23+CO23</f>
        <v>200000</v>
      </c>
      <c r="CI23" s="220"/>
      <c r="CJ23" s="220"/>
      <c r="CK23" s="220"/>
      <c r="CL23" s="220"/>
      <c r="CM23" s="220">
        <v>200000</v>
      </c>
      <c r="CN23" s="229"/>
      <c r="CO23" s="229"/>
      <c r="CP23" s="202"/>
      <c r="CQ23" s="223">
        <f>SUM(CR23:CY23)</f>
        <v>200000</v>
      </c>
      <c r="CR23" s="223"/>
      <c r="CS23" s="223"/>
      <c r="CT23" s="223">
        <v>200000</v>
      </c>
      <c r="CU23" s="223"/>
      <c r="CV23" s="223"/>
      <c r="CW23" s="231"/>
      <c r="CX23" s="231"/>
      <c r="CY23" s="203"/>
      <c r="CZ23" s="224" t="e">
        <f>DA23+DB23+DC23+DD23+DE23+DF23+DH23+DG23</f>
        <v>#REF!</v>
      </c>
      <c r="DA23" s="224"/>
      <c r="DB23" s="224"/>
      <c r="DC23" s="224" t="e">
        <f>'4 (2025)'!#REF!</f>
        <v>#REF!</v>
      </c>
      <c r="DD23" s="224"/>
      <c r="DE23" s="224"/>
      <c r="DF23" s="232"/>
      <c r="DG23" s="232"/>
      <c r="DH23" s="201"/>
      <c r="DI23" s="225" t="e">
        <f>CZ23='4 (2025)'!#REF!</f>
        <v>#REF!</v>
      </c>
      <c r="DJ23" s="175" t="e">
        <f>BI23=CZ23</f>
        <v>#REF!</v>
      </c>
    </row>
    <row r="24" spans="1:119" ht="12.75" x14ac:dyDescent="0.2">
      <c r="A24" s="214"/>
      <c r="B24" s="215"/>
      <c r="C24" s="2675" t="s">
        <v>439</v>
      </c>
      <c r="D24" s="2675"/>
      <c r="E24" s="2675"/>
      <c r="F24" s="2675"/>
      <c r="G24" s="2675"/>
      <c r="H24" s="2675"/>
      <c r="I24" s="2675"/>
      <c r="J24" s="2675"/>
      <c r="K24" s="2675"/>
      <c r="L24" s="2675"/>
      <c r="M24" s="2675"/>
      <c r="N24" s="2675"/>
      <c r="O24" s="2675"/>
      <c r="P24" s="2675"/>
      <c r="Q24" s="2675"/>
      <c r="R24" s="2675"/>
      <c r="S24" s="2675"/>
      <c r="T24" s="2675"/>
      <c r="U24" s="2675"/>
      <c r="V24" s="2675"/>
      <c r="W24" s="2675"/>
      <c r="X24" s="2675"/>
      <c r="Y24" s="2675"/>
      <c r="Z24" s="2675"/>
      <c r="AA24" s="2675"/>
      <c r="AB24" s="2675"/>
      <c r="AC24" s="2675"/>
      <c r="AD24" s="2675"/>
      <c r="AE24" s="2675"/>
      <c r="AF24" s="2675"/>
      <c r="AG24" s="2675"/>
      <c r="AH24" s="2675"/>
      <c r="AI24" s="2675"/>
      <c r="AJ24" s="2675"/>
      <c r="AK24" s="2675"/>
      <c r="AL24" s="2675"/>
      <c r="AM24" s="2675"/>
      <c r="AN24" s="2675"/>
      <c r="AO24" s="2675"/>
      <c r="AP24" s="2675"/>
      <c r="AQ24" s="2675"/>
      <c r="AR24" s="2675"/>
      <c r="AS24" s="2675"/>
      <c r="AT24" s="2675"/>
      <c r="AU24" s="2675"/>
      <c r="AV24" s="2675"/>
      <c r="AW24" s="2675"/>
      <c r="AX24" s="2676"/>
      <c r="AY24" s="205" t="s">
        <v>434</v>
      </c>
      <c r="AZ24" s="198" t="s">
        <v>152</v>
      </c>
      <c r="BA24" s="198" t="s">
        <v>28</v>
      </c>
      <c r="BB24" s="226" t="s">
        <v>67</v>
      </c>
      <c r="BC24" s="198" t="s">
        <v>435</v>
      </c>
      <c r="BD24" s="198"/>
      <c r="BE24" s="198" t="s">
        <v>219</v>
      </c>
      <c r="BF24" s="198" t="s">
        <v>422</v>
      </c>
      <c r="BG24" s="217">
        <v>400000</v>
      </c>
      <c r="BH24" s="218">
        <f t="shared" si="9"/>
        <v>0</v>
      </c>
      <c r="BI24" s="219">
        <f t="shared" si="3"/>
        <v>400000</v>
      </c>
      <c r="BJ24" s="219"/>
      <c r="BK24" s="219"/>
      <c r="BL24" s="219"/>
      <c r="BM24" s="219"/>
      <c r="BN24" s="219">
        <v>400000</v>
      </c>
      <c r="BO24" s="219"/>
      <c r="BP24" s="220">
        <f t="shared" si="4"/>
        <v>400000</v>
      </c>
      <c r="BQ24" s="220"/>
      <c r="BR24" s="220"/>
      <c r="BS24" s="220"/>
      <c r="BT24" s="220"/>
      <c r="BU24" s="220">
        <v>200000</v>
      </c>
      <c r="BV24" s="229"/>
      <c r="BW24" s="229"/>
      <c r="BX24" s="202">
        <v>200000</v>
      </c>
      <c r="BY24" s="221">
        <f t="shared" si="5"/>
        <v>200000</v>
      </c>
      <c r="BZ24" s="221"/>
      <c r="CA24" s="221"/>
      <c r="CB24" s="221"/>
      <c r="CC24" s="221"/>
      <c r="CD24" s="221">
        <v>200000</v>
      </c>
      <c r="CE24" s="230"/>
      <c r="CF24" s="230"/>
      <c r="CG24" s="222"/>
      <c r="CH24" s="220">
        <f t="shared" si="6"/>
        <v>200000</v>
      </c>
      <c r="CI24" s="220"/>
      <c r="CJ24" s="220"/>
      <c r="CK24" s="220"/>
      <c r="CL24" s="220"/>
      <c r="CM24" s="220">
        <v>200000</v>
      </c>
      <c r="CN24" s="229"/>
      <c r="CO24" s="229"/>
      <c r="CP24" s="202"/>
      <c r="CQ24" s="223">
        <f t="shared" si="7"/>
        <v>200000</v>
      </c>
      <c r="CR24" s="223"/>
      <c r="CS24" s="223"/>
      <c r="CT24" s="223">
        <v>200000</v>
      </c>
      <c r="CU24" s="223"/>
      <c r="CV24" s="223"/>
      <c r="CW24" s="231"/>
      <c r="CX24" s="231"/>
      <c r="CY24" s="203"/>
      <c r="CZ24" s="224" t="e">
        <f t="shared" si="8"/>
        <v>#REF!</v>
      </c>
      <c r="DA24" s="224"/>
      <c r="DB24" s="224"/>
      <c r="DC24" s="224" t="e">
        <f>'4 (2025)'!#REF!+'4 (2025)'!#REF!+'4 (2025)'!#REF!+'4 (2025)'!#REF!</f>
        <v>#REF!</v>
      </c>
      <c r="DD24" s="224"/>
      <c r="DE24" s="224">
        <f>'4 (2025)'!J580</f>
        <v>500000</v>
      </c>
      <c r="DF24" s="232"/>
      <c r="DG24" s="232"/>
      <c r="DH24" s="201"/>
      <c r="DI24" s="225" t="e">
        <f>CZ24='4 (2025)'!J575</f>
        <v>#REF!</v>
      </c>
      <c r="DJ24" s="175" t="e">
        <f t="shared" si="2"/>
        <v>#REF!</v>
      </c>
    </row>
    <row r="25" spans="1:119" ht="12.75" x14ac:dyDescent="0.2">
      <c r="A25" s="214"/>
      <c r="B25" s="215"/>
      <c r="C25" s="2675" t="s">
        <v>440</v>
      </c>
      <c r="D25" s="2675"/>
      <c r="E25" s="2675"/>
      <c r="F25" s="2675"/>
      <c r="G25" s="2675"/>
      <c r="H25" s="2675"/>
      <c r="I25" s="2675"/>
      <c r="J25" s="2675"/>
      <c r="K25" s="2675"/>
      <c r="L25" s="2675"/>
      <c r="M25" s="2675"/>
      <c r="N25" s="2675"/>
      <c r="O25" s="2675"/>
      <c r="P25" s="2675"/>
      <c r="Q25" s="2675"/>
      <c r="R25" s="2675"/>
      <c r="S25" s="2675"/>
      <c r="T25" s="2675"/>
      <c r="U25" s="2675"/>
      <c r="V25" s="2675"/>
      <c r="W25" s="2675"/>
      <c r="X25" s="2675"/>
      <c r="Y25" s="2675"/>
      <c r="Z25" s="2675"/>
      <c r="AA25" s="2675"/>
      <c r="AB25" s="2675"/>
      <c r="AC25" s="2675"/>
      <c r="AD25" s="2675"/>
      <c r="AE25" s="2675"/>
      <c r="AF25" s="2675"/>
      <c r="AG25" s="2675"/>
      <c r="AH25" s="2675"/>
      <c r="AI25" s="2675"/>
      <c r="AJ25" s="2675"/>
      <c r="AK25" s="2675"/>
      <c r="AL25" s="2675"/>
      <c r="AM25" s="2675"/>
      <c r="AN25" s="2675"/>
      <c r="AO25" s="2675"/>
      <c r="AP25" s="2675"/>
      <c r="AQ25" s="2675"/>
      <c r="AR25" s="2675"/>
      <c r="AS25" s="2675"/>
      <c r="AT25" s="2675"/>
      <c r="AU25" s="2675"/>
      <c r="AV25" s="2675"/>
      <c r="AW25" s="2675"/>
      <c r="AX25" s="2676"/>
      <c r="AY25" s="205" t="s">
        <v>434</v>
      </c>
      <c r="AZ25" s="198" t="s">
        <v>152</v>
      </c>
      <c r="BA25" s="198" t="s">
        <v>95</v>
      </c>
      <c r="BB25" s="198" t="s">
        <v>94</v>
      </c>
      <c r="BC25" s="198" t="s">
        <v>435</v>
      </c>
      <c r="BD25" s="198"/>
      <c r="BE25" s="198" t="s">
        <v>219</v>
      </c>
      <c r="BF25" s="198" t="s">
        <v>438</v>
      </c>
      <c r="BG25" s="217">
        <v>435981</v>
      </c>
      <c r="BH25" s="218">
        <f t="shared" si="9"/>
        <v>0</v>
      </c>
      <c r="BI25" s="219">
        <f t="shared" si="3"/>
        <v>435981</v>
      </c>
      <c r="BJ25" s="219"/>
      <c r="BK25" s="219"/>
      <c r="BL25" s="219">
        <v>83842.5</v>
      </c>
      <c r="BM25" s="219"/>
      <c r="BN25" s="219">
        <v>352138.5</v>
      </c>
      <c r="BO25" s="219"/>
      <c r="BP25" s="220">
        <f t="shared" si="4"/>
        <v>435981</v>
      </c>
      <c r="BQ25" s="220"/>
      <c r="BR25" s="220"/>
      <c r="BS25" s="220">
        <v>83842.5</v>
      </c>
      <c r="BT25" s="220"/>
      <c r="BU25" s="220">
        <v>352138.5</v>
      </c>
      <c r="BV25" s="220"/>
      <c r="BW25" s="220"/>
      <c r="BX25" s="202"/>
      <c r="BY25" s="221">
        <f t="shared" si="5"/>
        <v>435981</v>
      </c>
      <c r="BZ25" s="221"/>
      <c r="CA25" s="221"/>
      <c r="CB25" s="221">
        <v>83842.5</v>
      </c>
      <c r="CC25" s="221"/>
      <c r="CD25" s="221">
        <v>352138.5</v>
      </c>
      <c r="CE25" s="221"/>
      <c r="CF25" s="221"/>
      <c r="CG25" s="222"/>
      <c r="CH25" s="220">
        <f t="shared" si="6"/>
        <v>435981</v>
      </c>
      <c r="CI25" s="220"/>
      <c r="CJ25" s="220"/>
      <c r="CK25" s="220">
        <v>83842.5</v>
      </c>
      <c r="CL25" s="220"/>
      <c r="CM25" s="220">
        <v>289871.46999999997</v>
      </c>
      <c r="CN25" s="220">
        <v>62267.03</v>
      </c>
      <c r="CO25" s="220"/>
      <c r="CP25" s="202"/>
      <c r="CQ25" s="223">
        <f t="shared" si="7"/>
        <v>435981</v>
      </c>
      <c r="CR25" s="223"/>
      <c r="CS25" s="223"/>
      <c r="CT25" s="223">
        <v>83842.5</v>
      </c>
      <c r="CU25" s="223"/>
      <c r="CV25" s="223">
        <v>289871.46999999997</v>
      </c>
      <c r="CW25" s="223">
        <v>62267.03</v>
      </c>
      <c r="CX25" s="223"/>
      <c r="CY25" s="203"/>
      <c r="CZ25" s="224" t="e">
        <f t="shared" si="8"/>
        <v>#REF!</v>
      </c>
      <c r="DA25" s="224"/>
      <c r="DB25" s="224"/>
      <c r="DC25" s="224"/>
      <c r="DD25" s="224"/>
      <c r="DE25" s="224">
        <f>'4 (2025)'!J570</f>
        <v>1130850</v>
      </c>
      <c r="DF25" s="224"/>
      <c r="DG25" s="224">
        <f>'4 (2025)'!J571</f>
        <v>259215</v>
      </c>
      <c r="DH25" s="201" t="e">
        <f>'4 (2025)'!#REF!</f>
        <v>#REF!</v>
      </c>
      <c r="DI25" s="225" t="e">
        <f>CZ25='4 (2025)'!J565</f>
        <v>#REF!</v>
      </c>
      <c r="DJ25" s="175" t="e">
        <f t="shared" si="2"/>
        <v>#REF!</v>
      </c>
    </row>
    <row r="26" spans="1:119" ht="12.75" x14ac:dyDescent="0.2">
      <c r="A26" s="214"/>
      <c r="B26" s="215"/>
      <c r="C26" s="2675" t="s">
        <v>440</v>
      </c>
      <c r="D26" s="2675"/>
      <c r="E26" s="2675"/>
      <c r="F26" s="2675"/>
      <c r="G26" s="2675"/>
      <c r="H26" s="2675"/>
      <c r="I26" s="2675"/>
      <c r="J26" s="2675"/>
      <c r="K26" s="2675"/>
      <c r="L26" s="2675"/>
      <c r="M26" s="2675"/>
      <c r="N26" s="2675"/>
      <c r="O26" s="2675"/>
      <c r="P26" s="2675"/>
      <c r="Q26" s="2675"/>
      <c r="R26" s="2675"/>
      <c r="S26" s="2675"/>
      <c r="T26" s="2675"/>
      <c r="U26" s="2675"/>
      <c r="V26" s="2675"/>
      <c r="W26" s="2675"/>
      <c r="X26" s="2675"/>
      <c r="Y26" s="2675"/>
      <c r="Z26" s="2675"/>
      <c r="AA26" s="2675"/>
      <c r="AB26" s="2675"/>
      <c r="AC26" s="2675"/>
      <c r="AD26" s="2675"/>
      <c r="AE26" s="2675"/>
      <c r="AF26" s="2675"/>
      <c r="AG26" s="2675"/>
      <c r="AH26" s="2675"/>
      <c r="AI26" s="2675"/>
      <c r="AJ26" s="2675"/>
      <c r="AK26" s="2675"/>
      <c r="AL26" s="2675"/>
      <c r="AM26" s="2675"/>
      <c r="AN26" s="2675"/>
      <c r="AO26" s="2675"/>
      <c r="AP26" s="2675"/>
      <c r="AQ26" s="2675"/>
      <c r="AR26" s="2675"/>
      <c r="AS26" s="2675"/>
      <c r="AT26" s="2675"/>
      <c r="AU26" s="2675"/>
      <c r="AV26" s="2675"/>
      <c r="AW26" s="2675"/>
      <c r="AX26" s="2676"/>
      <c r="AY26" s="205" t="s">
        <v>434</v>
      </c>
      <c r="AZ26" s="198" t="s">
        <v>152</v>
      </c>
      <c r="BA26" s="198" t="s">
        <v>38</v>
      </c>
      <c r="BB26" s="198" t="s">
        <v>92</v>
      </c>
      <c r="BC26" s="198" t="s">
        <v>435</v>
      </c>
      <c r="BD26" s="198"/>
      <c r="BE26" s="198" t="s">
        <v>219</v>
      </c>
      <c r="BF26" s="198" t="s">
        <v>438</v>
      </c>
      <c r="BG26" s="217">
        <v>435981</v>
      </c>
      <c r="BH26" s="218">
        <f t="shared" si="9"/>
        <v>0</v>
      </c>
      <c r="BI26" s="219">
        <f>BJ26+BK26+BL26+BM26+BN26+BO26</f>
        <v>435981</v>
      </c>
      <c r="BJ26" s="219"/>
      <c r="BK26" s="219"/>
      <c r="BL26" s="219">
        <v>83842.5</v>
      </c>
      <c r="BM26" s="219"/>
      <c r="BN26" s="219">
        <v>352138.5</v>
      </c>
      <c r="BO26" s="219"/>
      <c r="BP26" s="220">
        <f>BQ26+BR26+BS26+BT26+BU26+BV26+BX26+BW26</f>
        <v>435981</v>
      </c>
      <c r="BQ26" s="220"/>
      <c r="BR26" s="220"/>
      <c r="BS26" s="220">
        <v>83842.5</v>
      </c>
      <c r="BT26" s="220"/>
      <c r="BU26" s="220">
        <v>352138.5</v>
      </c>
      <c r="BV26" s="220"/>
      <c r="BW26" s="220"/>
      <c r="BX26" s="202"/>
      <c r="BY26" s="221">
        <f>BZ26+CA26+CB26+CC26+CD26+CE26+CG26+CF26</f>
        <v>435981</v>
      </c>
      <c r="BZ26" s="221"/>
      <c r="CA26" s="221"/>
      <c r="CB26" s="221">
        <v>83842.5</v>
      </c>
      <c r="CC26" s="221"/>
      <c r="CD26" s="221">
        <v>352138.5</v>
      </c>
      <c r="CE26" s="221"/>
      <c r="CF26" s="221"/>
      <c r="CG26" s="222"/>
      <c r="CH26" s="220">
        <f>CI26+CJ26+CK26+CL26+CM26+CN26+CP26+CO26</f>
        <v>435981</v>
      </c>
      <c r="CI26" s="220"/>
      <c r="CJ26" s="220"/>
      <c r="CK26" s="220">
        <v>83842.5</v>
      </c>
      <c r="CL26" s="220"/>
      <c r="CM26" s="220">
        <v>289871.46999999997</v>
      </c>
      <c r="CN26" s="220">
        <v>62267.03</v>
      </c>
      <c r="CO26" s="220"/>
      <c r="CP26" s="202"/>
      <c r="CQ26" s="223">
        <f>SUM(CR26:CY26)</f>
        <v>435981</v>
      </c>
      <c r="CR26" s="223"/>
      <c r="CS26" s="223"/>
      <c r="CT26" s="223">
        <v>83842.5</v>
      </c>
      <c r="CU26" s="223"/>
      <c r="CV26" s="223">
        <v>289871.46999999997</v>
      </c>
      <c r="CW26" s="223">
        <v>62267.03</v>
      </c>
      <c r="CX26" s="223"/>
      <c r="CY26" s="203"/>
      <c r="CZ26" s="224">
        <f>DA26+DB26+DC26+DD26+DE26+DF26+DH26+DG26</f>
        <v>45043</v>
      </c>
      <c r="DA26" s="224">
        <f>'4 (2025)'!J551</f>
        <v>28152</v>
      </c>
      <c r="DB26" s="224"/>
      <c r="DC26" s="224"/>
      <c r="DD26" s="224"/>
      <c r="DE26" s="224"/>
      <c r="DF26" s="224"/>
      <c r="DG26" s="224">
        <f>'4 (2025)'!J553</f>
        <v>16891</v>
      </c>
      <c r="DH26" s="201"/>
      <c r="DI26" s="225" t="e">
        <f>CZ26='4 (2025)'!#REF!</f>
        <v>#REF!</v>
      </c>
      <c r="DJ26" s="175" t="b">
        <f>BI26=CZ26</f>
        <v>0</v>
      </c>
    </row>
    <row r="27" spans="1:119" ht="12.75" x14ac:dyDescent="0.2">
      <c r="A27" s="214"/>
      <c r="B27" s="215"/>
      <c r="C27" s="2675" t="s">
        <v>441</v>
      </c>
      <c r="D27" s="2675"/>
      <c r="E27" s="2675"/>
      <c r="F27" s="2675"/>
      <c r="G27" s="2675"/>
      <c r="H27" s="2675"/>
      <c r="I27" s="2675"/>
      <c r="J27" s="2675"/>
      <c r="K27" s="2675"/>
      <c r="L27" s="2675"/>
      <c r="M27" s="2675"/>
      <c r="N27" s="2675"/>
      <c r="O27" s="2675"/>
      <c r="P27" s="2675"/>
      <c r="Q27" s="2675"/>
      <c r="R27" s="2675"/>
      <c r="S27" s="2675"/>
      <c r="T27" s="2675"/>
      <c r="U27" s="2675"/>
      <c r="V27" s="2675"/>
      <c r="W27" s="2675"/>
      <c r="X27" s="2675"/>
      <c r="Y27" s="2675"/>
      <c r="Z27" s="2675"/>
      <c r="AA27" s="2675"/>
      <c r="AB27" s="2675"/>
      <c r="AC27" s="2675"/>
      <c r="AD27" s="2675"/>
      <c r="AE27" s="2675"/>
      <c r="AF27" s="2675"/>
      <c r="AG27" s="2675"/>
      <c r="AH27" s="2675"/>
      <c r="AI27" s="2675"/>
      <c r="AJ27" s="2675"/>
      <c r="AK27" s="2675"/>
      <c r="AL27" s="2675"/>
      <c r="AM27" s="2675"/>
      <c r="AN27" s="2675"/>
      <c r="AO27" s="2675"/>
      <c r="AP27" s="2675"/>
      <c r="AQ27" s="2675"/>
      <c r="AR27" s="2675"/>
      <c r="AS27" s="2675"/>
      <c r="AT27" s="2675"/>
      <c r="AU27" s="2675"/>
      <c r="AV27" s="2675"/>
      <c r="AW27" s="2675"/>
      <c r="AX27" s="2676"/>
      <c r="AY27" s="205" t="s">
        <v>434</v>
      </c>
      <c r="AZ27" s="198" t="s">
        <v>152</v>
      </c>
      <c r="BA27" s="198" t="s">
        <v>38</v>
      </c>
      <c r="BB27" s="226" t="s">
        <v>91</v>
      </c>
      <c r="BC27" s="198" t="s">
        <v>442</v>
      </c>
      <c r="BD27" s="198"/>
      <c r="BE27" s="198" t="s">
        <v>219</v>
      </c>
      <c r="BF27" s="198" t="s">
        <v>422</v>
      </c>
      <c r="BG27" s="217">
        <v>11250</v>
      </c>
      <c r="BH27" s="218">
        <f t="shared" si="9"/>
        <v>0</v>
      </c>
      <c r="BI27" s="219">
        <f t="shared" si="3"/>
        <v>11250</v>
      </c>
      <c r="BJ27" s="219">
        <v>9375</v>
      </c>
      <c r="BK27" s="219"/>
      <c r="BL27" s="219"/>
      <c r="BM27" s="219">
        <v>1875</v>
      </c>
      <c r="BN27" s="219"/>
      <c r="BO27" s="219"/>
      <c r="BP27" s="220">
        <f t="shared" si="4"/>
        <v>11250</v>
      </c>
      <c r="BQ27" s="220">
        <v>9375</v>
      </c>
      <c r="BR27" s="202"/>
      <c r="BS27" s="220"/>
      <c r="BT27" s="220">
        <v>1875</v>
      </c>
      <c r="BU27" s="220"/>
      <c r="BV27" s="220"/>
      <c r="BW27" s="220"/>
      <c r="BX27" s="202"/>
      <c r="BY27" s="221">
        <f t="shared" si="5"/>
        <v>11250</v>
      </c>
      <c r="BZ27" s="221">
        <v>9375</v>
      </c>
      <c r="CA27" s="222"/>
      <c r="CB27" s="221"/>
      <c r="CC27" s="221">
        <v>1875</v>
      </c>
      <c r="CD27" s="221"/>
      <c r="CE27" s="221"/>
      <c r="CF27" s="221"/>
      <c r="CG27" s="222"/>
      <c r="CH27" s="220">
        <f t="shared" si="6"/>
        <v>11250</v>
      </c>
      <c r="CI27" s="220">
        <v>9375</v>
      </c>
      <c r="CJ27" s="220">
        <v>1875</v>
      </c>
      <c r="CK27" s="220"/>
      <c r="CL27" s="220"/>
      <c r="CM27" s="220"/>
      <c r="CN27" s="220"/>
      <c r="CO27" s="220"/>
      <c r="CP27" s="202"/>
      <c r="CQ27" s="223">
        <f t="shared" si="7"/>
        <v>11250</v>
      </c>
      <c r="CR27" s="223">
        <v>9375</v>
      </c>
      <c r="CS27" s="223"/>
      <c r="CT27" s="223"/>
      <c r="CU27" s="223"/>
      <c r="CV27" s="223"/>
      <c r="CW27" s="223"/>
      <c r="CX27" s="223">
        <v>1875</v>
      </c>
      <c r="CY27" s="203"/>
      <c r="CZ27" s="224" t="e">
        <f t="shared" si="8"/>
        <v>#REF!</v>
      </c>
      <c r="DA27" s="224">
        <f>'4 (2025)'!J599</f>
        <v>9971.16</v>
      </c>
      <c r="DB27" s="224"/>
      <c r="DC27" s="224"/>
      <c r="DD27" s="224"/>
      <c r="DE27" s="224"/>
      <c r="DF27" s="224"/>
      <c r="DG27" s="224"/>
      <c r="DH27" s="201" t="e">
        <f>'4 (2025)'!#REF!</f>
        <v>#REF!</v>
      </c>
      <c r="DI27" s="225" t="e">
        <f>CZ27='4 (2025)'!J594</f>
        <v>#REF!</v>
      </c>
      <c r="DJ27" s="175" t="e">
        <f t="shared" si="2"/>
        <v>#REF!</v>
      </c>
    </row>
    <row r="28" spans="1:119" ht="12.75" x14ac:dyDescent="0.2">
      <c r="A28" s="214"/>
      <c r="B28" s="215"/>
      <c r="C28" s="2675" t="s">
        <v>441</v>
      </c>
      <c r="D28" s="2675"/>
      <c r="E28" s="2675"/>
      <c r="F28" s="2675"/>
      <c r="G28" s="2675"/>
      <c r="H28" s="2675"/>
      <c r="I28" s="2675"/>
      <c r="J28" s="2675"/>
      <c r="K28" s="2675"/>
      <c r="L28" s="2675"/>
      <c r="M28" s="2675"/>
      <c r="N28" s="2675"/>
      <c r="O28" s="2675"/>
      <c r="P28" s="2675"/>
      <c r="Q28" s="2675"/>
      <c r="R28" s="2675"/>
      <c r="S28" s="2675"/>
      <c r="T28" s="2675"/>
      <c r="U28" s="2675"/>
      <c r="V28" s="2675"/>
      <c r="W28" s="2675"/>
      <c r="X28" s="2675"/>
      <c r="Y28" s="2675"/>
      <c r="Z28" s="2675"/>
      <c r="AA28" s="2675"/>
      <c r="AB28" s="2675"/>
      <c r="AC28" s="2675"/>
      <c r="AD28" s="2675"/>
      <c r="AE28" s="2675"/>
      <c r="AF28" s="2675"/>
      <c r="AG28" s="2675"/>
      <c r="AH28" s="2675"/>
      <c r="AI28" s="2675"/>
      <c r="AJ28" s="2675"/>
      <c r="AK28" s="2675"/>
      <c r="AL28" s="2675"/>
      <c r="AM28" s="2675"/>
      <c r="AN28" s="2675"/>
      <c r="AO28" s="2675"/>
      <c r="AP28" s="2675"/>
      <c r="AQ28" s="2675"/>
      <c r="AR28" s="2675"/>
      <c r="AS28" s="2675"/>
      <c r="AT28" s="2675"/>
      <c r="AU28" s="2675"/>
      <c r="AV28" s="2675"/>
      <c r="AW28" s="2675"/>
      <c r="AX28" s="2676"/>
      <c r="AY28" s="205" t="s">
        <v>434</v>
      </c>
      <c r="AZ28" s="198" t="s">
        <v>152</v>
      </c>
      <c r="BA28" s="198" t="s">
        <v>38</v>
      </c>
      <c r="BB28" s="198" t="s">
        <v>92</v>
      </c>
      <c r="BC28" s="198" t="s">
        <v>442</v>
      </c>
      <c r="BD28" s="198"/>
      <c r="BE28" s="198" t="s">
        <v>219</v>
      </c>
      <c r="BF28" s="198" t="s">
        <v>438</v>
      </c>
      <c r="BG28" s="217">
        <v>11250</v>
      </c>
      <c r="BH28" s="218">
        <f t="shared" si="9"/>
        <v>0</v>
      </c>
      <c r="BI28" s="219">
        <f t="shared" si="3"/>
        <v>11250</v>
      </c>
      <c r="BJ28" s="219">
        <v>9375</v>
      </c>
      <c r="BK28" s="219"/>
      <c r="BL28" s="219"/>
      <c r="BM28" s="219">
        <v>1875</v>
      </c>
      <c r="BN28" s="219"/>
      <c r="BO28" s="219"/>
      <c r="BP28" s="220">
        <f t="shared" si="4"/>
        <v>11250</v>
      </c>
      <c r="BQ28" s="220">
        <v>9375</v>
      </c>
      <c r="BR28" s="202"/>
      <c r="BS28" s="220"/>
      <c r="BT28" s="220">
        <v>1875</v>
      </c>
      <c r="BU28" s="220"/>
      <c r="BV28" s="220"/>
      <c r="BW28" s="220"/>
      <c r="BX28" s="202"/>
      <c r="BY28" s="221">
        <f t="shared" si="5"/>
        <v>11250</v>
      </c>
      <c r="BZ28" s="221">
        <v>9375</v>
      </c>
      <c r="CA28" s="222"/>
      <c r="CB28" s="221"/>
      <c r="CC28" s="221">
        <v>1875</v>
      </c>
      <c r="CD28" s="221"/>
      <c r="CE28" s="221"/>
      <c r="CF28" s="221"/>
      <c r="CG28" s="222"/>
      <c r="CH28" s="220">
        <f t="shared" si="6"/>
        <v>11250</v>
      </c>
      <c r="CI28" s="220">
        <v>9375</v>
      </c>
      <c r="CJ28" s="220">
        <v>1875</v>
      </c>
      <c r="CK28" s="220"/>
      <c r="CL28" s="220"/>
      <c r="CM28" s="220"/>
      <c r="CN28" s="220"/>
      <c r="CO28" s="220"/>
      <c r="CP28" s="202"/>
      <c r="CQ28" s="223">
        <f t="shared" si="7"/>
        <v>11250</v>
      </c>
      <c r="CR28" s="223">
        <v>9375</v>
      </c>
      <c r="CS28" s="223"/>
      <c r="CT28" s="223"/>
      <c r="CU28" s="223"/>
      <c r="CV28" s="223"/>
      <c r="CW28" s="223"/>
      <c r="CX28" s="223">
        <v>1875</v>
      </c>
      <c r="CY28" s="203"/>
      <c r="CZ28" s="224" t="e">
        <f t="shared" si="8"/>
        <v>#REF!</v>
      </c>
      <c r="DA28" s="224">
        <f>'4 (2025)'!J611+'4 (2025)'!J613</f>
        <v>8525</v>
      </c>
      <c r="DB28" s="224"/>
      <c r="DC28" s="224"/>
      <c r="DD28" s="224"/>
      <c r="DE28" s="224"/>
      <c r="DF28" s="224"/>
      <c r="DG28" s="224"/>
      <c r="DH28" s="201" t="e">
        <f>'4 (2025)'!#REF!</f>
        <v>#REF!</v>
      </c>
      <c r="DI28" s="225" t="e">
        <f>CZ28='4 (2025)'!J606</f>
        <v>#REF!</v>
      </c>
      <c r="DJ28" s="175" t="e">
        <f t="shared" si="2"/>
        <v>#REF!</v>
      </c>
    </row>
    <row r="29" spans="1:119" ht="12.75" hidden="1" x14ac:dyDescent="0.2">
      <c r="A29" s="214"/>
      <c r="B29" s="215"/>
      <c r="C29" s="2675" t="s">
        <v>443</v>
      </c>
      <c r="D29" s="2675"/>
      <c r="E29" s="2675"/>
      <c r="F29" s="2675"/>
      <c r="G29" s="2675"/>
      <c r="H29" s="2675"/>
      <c r="I29" s="2675"/>
      <c r="J29" s="2675"/>
      <c r="K29" s="2675"/>
      <c r="L29" s="2675"/>
      <c r="M29" s="2675"/>
      <c r="N29" s="2675"/>
      <c r="O29" s="2675"/>
      <c r="P29" s="2675"/>
      <c r="Q29" s="2675"/>
      <c r="R29" s="2675"/>
      <c r="S29" s="2675"/>
      <c r="T29" s="2675"/>
      <c r="U29" s="2675"/>
      <c r="V29" s="2675"/>
      <c r="W29" s="2675"/>
      <c r="X29" s="2675"/>
      <c r="Y29" s="2675"/>
      <c r="Z29" s="2675"/>
      <c r="AA29" s="2675"/>
      <c r="AB29" s="2675"/>
      <c r="AC29" s="2675"/>
      <c r="AD29" s="2675"/>
      <c r="AE29" s="2675"/>
      <c r="AF29" s="2675"/>
      <c r="AG29" s="2675"/>
      <c r="AH29" s="2675"/>
      <c r="AI29" s="2675"/>
      <c r="AJ29" s="2675"/>
      <c r="AK29" s="2675"/>
      <c r="AL29" s="2675"/>
      <c r="AM29" s="2675"/>
      <c r="AN29" s="2675"/>
      <c r="AO29" s="2675"/>
      <c r="AP29" s="2675"/>
      <c r="AQ29" s="2675"/>
      <c r="AR29" s="2675"/>
      <c r="AS29" s="2675"/>
      <c r="AT29" s="2675"/>
      <c r="AU29" s="2675"/>
      <c r="AV29" s="2675"/>
      <c r="AW29" s="2675"/>
      <c r="AX29" s="2676"/>
      <c r="AY29" s="205" t="s">
        <v>444</v>
      </c>
      <c r="AZ29" s="198" t="s">
        <v>152</v>
      </c>
      <c r="BA29" s="198" t="s">
        <v>38</v>
      </c>
      <c r="BB29" s="216" t="s">
        <v>337</v>
      </c>
      <c r="BC29" s="198" t="s">
        <v>445</v>
      </c>
      <c r="BD29" s="198"/>
      <c r="BE29" s="198" t="s">
        <v>219</v>
      </c>
      <c r="BF29" s="198" t="s">
        <v>422</v>
      </c>
      <c r="BG29" s="217">
        <v>539726</v>
      </c>
      <c r="BH29" s="218">
        <f t="shared" si="9"/>
        <v>0</v>
      </c>
      <c r="BI29" s="219">
        <f>BJ29+BK29+BL29+BM29+BN29+BO29</f>
        <v>539726</v>
      </c>
      <c r="BJ29" s="219"/>
      <c r="BK29" s="219"/>
      <c r="BL29" s="219"/>
      <c r="BM29" s="233"/>
      <c r="BN29" s="219">
        <v>539726</v>
      </c>
      <c r="BO29" s="219"/>
      <c r="BP29" s="220">
        <f>BQ29+BR29+BS29+BT29+BU29+BV29+BX29+BW29</f>
        <v>539726</v>
      </c>
      <c r="BQ29" s="220"/>
      <c r="BR29" s="220"/>
      <c r="BS29" s="220"/>
      <c r="BT29" s="229"/>
      <c r="BU29" s="220">
        <v>539726</v>
      </c>
      <c r="BV29" s="220"/>
      <c r="BW29" s="220"/>
      <c r="BX29" s="202"/>
      <c r="BY29" s="221">
        <f>BZ29+CA29+CB29+CC29+CD29+CE29+CG29+CF29</f>
        <v>539726</v>
      </c>
      <c r="BZ29" s="221"/>
      <c r="CA29" s="221"/>
      <c r="CB29" s="221"/>
      <c r="CC29" s="230"/>
      <c r="CD29" s="221">
        <v>539726</v>
      </c>
      <c r="CE29" s="221"/>
      <c r="CF29" s="221"/>
      <c r="CG29" s="222"/>
      <c r="CH29" s="220">
        <f>CI29+CJ29+CK29+CL29+CM29+CN29+CP29+CO29</f>
        <v>539726</v>
      </c>
      <c r="CI29" s="220"/>
      <c r="CJ29" s="220"/>
      <c r="CK29" s="220"/>
      <c r="CL29" s="229"/>
      <c r="CM29" s="220">
        <v>539726</v>
      </c>
      <c r="CN29" s="220"/>
      <c r="CO29" s="220"/>
      <c r="CP29" s="202"/>
      <c r="CQ29" s="223">
        <f>SUM(CR29:CY29)</f>
        <v>539726</v>
      </c>
      <c r="CR29" s="223"/>
      <c r="CS29" s="223"/>
      <c r="CT29" s="223">
        <v>180326</v>
      </c>
      <c r="CU29" s="231"/>
      <c r="CV29" s="223">
        <f>539726-180326</f>
        <v>359400</v>
      </c>
      <c r="CW29" s="223"/>
      <c r="CX29" s="223"/>
      <c r="CY29" s="203"/>
      <c r="CZ29" s="224">
        <f>DA29+DB29+DC29+DD29+DE29+DF29+DH29+DG29</f>
        <v>0</v>
      </c>
      <c r="DA29" s="224"/>
      <c r="DB29" s="224"/>
      <c r="DC29" s="224"/>
      <c r="DD29" s="232"/>
      <c r="DE29" s="224"/>
      <c r="DF29" s="224"/>
      <c r="DG29" s="224"/>
      <c r="DH29" s="201"/>
      <c r="DI29" s="225"/>
      <c r="DJ29" s="175" t="b">
        <f>BI29=CZ29</f>
        <v>0</v>
      </c>
    </row>
    <row r="30" spans="1:119" ht="12.75" hidden="1" customHeight="1" x14ac:dyDescent="0.25">
      <c r="A30" s="214"/>
      <c r="B30" s="215"/>
      <c r="C30" s="2675" t="s">
        <v>446</v>
      </c>
      <c r="D30" s="2675"/>
      <c r="E30" s="2675"/>
      <c r="F30" s="2675"/>
      <c r="G30" s="2675"/>
      <c r="H30" s="2675"/>
      <c r="I30" s="2675"/>
      <c r="J30" s="2675"/>
      <c r="K30" s="2675"/>
      <c r="L30" s="2675"/>
      <c r="M30" s="2675"/>
      <c r="N30" s="2675"/>
      <c r="O30" s="2675"/>
      <c r="P30" s="2675"/>
      <c r="Q30" s="2675"/>
      <c r="R30" s="2675"/>
      <c r="S30" s="2675"/>
      <c r="T30" s="2675"/>
      <c r="U30" s="2675"/>
      <c r="V30" s="2675"/>
      <c r="W30" s="2675"/>
      <c r="X30" s="2675"/>
      <c r="Y30" s="2675"/>
      <c r="Z30" s="2675"/>
      <c r="AA30" s="2675"/>
      <c r="AB30" s="2675"/>
      <c r="AC30" s="2675"/>
      <c r="AD30" s="2675"/>
      <c r="AE30" s="2675"/>
      <c r="AF30" s="2675"/>
      <c r="AG30" s="2675"/>
      <c r="AH30" s="2675"/>
      <c r="AI30" s="2675"/>
      <c r="AJ30" s="2675"/>
      <c r="AK30" s="2675"/>
      <c r="AL30" s="2675"/>
      <c r="AM30" s="2675"/>
      <c r="AN30" s="2675"/>
      <c r="AO30" s="2675"/>
      <c r="AP30" s="2675"/>
      <c r="AQ30" s="2675"/>
      <c r="AR30" s="2675"/>
      <c r="AS30" s="2675"/>
      <c r="AT30" s="2675"/>
      <c r="AU30" s="2675"/>
      <c r="AV30" s="2675"/>
      <c r="AW30" s="2675"/>
      <c r="AX30" s="2676"/>
      <c r="AY30" s="205" t="s">
        <v>444</v>
      </c>
      <c r="AZ30" s="198" t="s">
        <v>152</v>
      </c>
      <c r="BA30" s="198" t="s">
        <v>38</v>
      </c>
      <c r="BB30" s="226" t="s">
        <v>91</v>
      </c>
      <c r="BC30" s="198" t="s">
        <v>445</v>
      </c>
      <c r="BD30" s="198"/>
      <c r="BE30" s="198" t="s">
        <v>219</v>
      </c>
      <c r="BF30" s="198" t="s">
        <v>422</v>
      </c>
      <c r="BG30" s="217">
        <v>4735210</v>
      </c>
      <c r="BH30" s="218">
        <f t="shared" si="9"/>
        <v>0</v>
      </c>
      <c r="BI30" s="219">
        <f>BJ30+BK30+BL30+BM30+BN30+BO30</f>
        <v>4735210</v>
      </c>
      <c r="BJ30" s="219"/>
      <c r="BK30" s="219"/>
      <c r="BL30" s="219">
        <v>2042546.07</v>
      </c>
      <c r="BM30" s="219"/>
      <c r="BN30" s="219">
        <v>2692663.93</v>
      </c>
      <c r="BO30" s="219"/>
      <c r="BP30" s="220">
        <f>BQ30+BR30+BS30+BT30+BU30+BV30+BX30+BW30</f>
        <v>4735210</v>
      </c>
      <c r="BQ30" s="220"/>
      <c r="BR30" s="220"/>
      <c r="BS30" s="220">
        <v>2042496.07</v>
      </c>
      <c r="BT30" s="220"/>
      <c r="BU30" s="220">
        <v>2692713.93</v>
      </c>
      <c r="BV30" s="220"/>
      <c r="BW30" s="220"/>
      <c r="BX30" s="202"/>
      <c r="BY30" s="221">
        <f>BZ30+CA30+CB30+CC30+CD30+CE30+CG30+CF30</f>
        <v>4735210</v>
      </c>
      <c r="BZ30" s="221"/>
      <c r="CA30" s="221"/>
      <c r="CB30" s="221">
        <v>2042496.07</v>
      </c>
      <c r="CC30" s="221"/>
      <c r="CD30" s="221">
        <v>2692713.93</v>
      </c>
      <c r="CE30" s="221"/>
      <c r="CF30" s="221"/>
      <c r="CG30" s="222"/>
      <c r="CH30" s="220">
        <f>CI30+CJ30+CK30+CL30+CM30+CN30+CP30+CO30</f>
        <v>4735210</v>
      </c>
      <c r="CI30" s="220"/>
      <c r="CJ30" s="220"/>
      <c r="CK30" s="220">
        <v>2042496.07</v>
      </c>
      <c r="CL30" s="220"/>
      <c r="CM30" s="220">
        <v>2692713.93</v>
      </c>
      <c r="CN30" s="220"/>
      <c r="CO30" s="220"/>
      <c r="CP30" s="202"/>
      <c r="CQ30" s="223">
        <f>SUM(CR30:CY30)</f>
        <v>4735210</v>
      </c>
      <c r="CR30" s="223"/>
      <c r="CS30" s="223"/>
      <c r="CT30" s="223">
        <f>2465276.07-46444</f>
        <v>2418832.0699999998</v>
      </c>
      <c r="CU30" s="223"/>
      <c r="CV30" s="223">
        <f>2269658.93+46444</f>
        <v>2316102.9300000002</v>
      </c>
      <c r="CW30" s="223">
        <v>275</v>
      </c>
      <c r="CX30" s="223"/>
      <c r="CY30" s="203"/>
      <c r="CZ30" s="224">
        <f>DA30+DB30+DC30+DD30+DE30+DF30+DH30+DG30</f>
        <v>0</v>
      </c>
      <c r="DA30" s="224"/>
      <c r="DB30" s="224"/>
      <c r="DC30" s="224"/>
      <c r="DD30" s="224"/>
      <c r="DE30" s="224"/>
      <c r="DF30" s="224"/>
      <c r="DG30" s="224"/>
      <c r="DH30" s="201"/>
      <c r="DI30" s="225"/>
      <c r="DJ30" s="175" t="b">
        <f>BI30=CZ30</f>
        <v>0</v>
      </c>
      <c r="DL30" s="348" t="s">
        <v>379</v>
      </c>
      <c r="DM30" s="349"/>
    </row>
    <row r="31" spans="1:119" ht="12.75" customHeight="1" x14ac:dyDescent="0.25">
      <c r="A31" s="214"/>
      <c r="B31" s="215"/>
      <c r="C31" s="2675" t="s">
        <v>443</v>
      </c>
      <c r="D31" s="2675"/>
      <c r="E31" s="2675"/>
      <c r="F31" s="2675"/>
      <c r="G31" s="2675"/>
      <c r="H31" s="2675"/>
      <c r="I31" s="2675"/>
      <c r="J31" s="2675"/>
      <c r="K31" s="2675"/>
      <c r="L31" s="2675"/>
      <c r="M31" s="2675"/>
      <c r="N31" s="2675"/>
      <c r="O31" s="2675"/>
      <c r="P31" s="2675"/>
      <c r="Q31" s="2675"/>
      <c r="R31" s="2675"/>
      <c r="S31" s="2675"/>
      <c r="T31" s="2675"/>
      <c r="U31" s="2675"/>
      <c r="V31" s="2675"/>
      <c r="W31" s="2675"/>
      <c r="X31" s="2675"/>
      <c r="Y31" s="2675"/>
      <c r="Z31" s="2675"/>
      <c r="AA31" s="2675"/>
      <c r="AB31" s="2675"/>
      <c r="AC31" s="2675"/>
      <c r="AD31" s="2675"/>
      <c r="AE31" s="2675"/>
      <c r="AF31" s="2675"/>
      <c r="AG31" s="2675"/>
      <c r="AH31" s="2675"/>
      <c r="AI31" s="2675"/>
      <c r="AJ31" s="2675"/>
      <c r="AK31" s="2675"/>
      <c r="AL31" s="2675"/>
      <c r="AM31" s="2675"/>
      <c r="AN31" s="2675"/>
      <c r="AO31" s="2675"/>
      <c r="AP31" s="2675"/>
      <c r="AQ31" s="2675"/>
      <c r="AR31" s="2675"/>
      <c r="AS31" s="2675"/>
      <c r="AT31" s="2675"/>
      <c r="AU31" s="2675"/>
      <c r="AV31" s="2675"/>
      <c r="AW31" s="2675"/>
      <c r="AX31" s="2676"/>
      <c r="AY31" s="205" t="s">
        <v>444</v>
      </c>
      <c r="AZ31" s="198" t="s">
        <v>152</v>
      </c>
      <c r="BA31" s="198" t="s">
        <v>28</v>
      </c>
      <c r="BB31" s="216" t="s">
        <v>138</v>
      </c>
      <c r="BC31" s="198" t="s">
        <v>445</v>
      </c>
      <c r="BD31" s="198"/>
      <c r="BE31" s="198" t="s">
        <v>219</v>
      </c>
      <c r="BF31" s="198" t="s">
        <v>422</v>
      </c>
      <c r="BG31" s="217">
        <v>539726</v>
      </c>
      <c r="BH31" s="218">
        <f t="shared" si="9"/>
        <v>0</v>
      </c>
      <c r="BI31" s="219">
        <f>BJ31+BK31+BL31+BM31+BN31+BO31</f>
        <v>539726</v>
      </c>
      <c r="BJ31" s="219"/>
      <c r="BK31" s="219"/>
      <c r="BL31" s="219"/>
      <c r="BM31" s="233"/>
      <c r="BN31" s="219">
        <v>539726</v>
      </c>
      <c r="BO31" s="219"/>
      <c r="BP31" s="220">
        <f>BQ31+BR31+BS31+BT31+BU31+BV31+BX31+BW31</f>
        <v>539726</v>
      </c>
      <c r="BQ31" s="220"/>
      <c r="BR31" s="220"/>
      <c r="BS31" s="220"/>
      <c r="BT31" s="229"/>
      <c r="BU31" s="220">
        <v>539726</v>
      </c>
      <c r="BV31" s="220"/>
      <c r="BW31" s="220"/>
      <c r="BX31" s="202"/>
      <c r="BY31" s="221">
        <f>BZ31+CA31+CB31+CC31+CD31+CE31+CG31+CF31</f>
        <v>539726</v>
      </c>
      <c r="BZ31" s="221"/>
      <c r="CA31" s="221"/>
      <c r="CB31" s="221"/>
      <c r="CC31" s="230"/>
      <c r="CD31" s="221">
        <v>539726</v>
      </c>
      <c r="CE31" s="221"/>
      <c r="CF31" s="221"/>
      <c r="CG31" s="222"/>
      <c r="CH31" s="220">
        <f>CI31+CJ31+CK31+CL31+CM31+CN31+CP31+CO31</f>
        <v>539726</v>
      </c>
      <c r="CI31" s="220"/>
      <c r="CJ31" s="220"/>
      <c r="CK31" s="220"/>
      <c r="CL31" s="229"/>
      <c r="CM31" s="220">
        <v>539726</v>
      </c>
      <c r="CN31" s="220"/>
      <c r="CO31" s="220"/>
      <c r="CP31" s="202"/>
      <c r="CQ31" s="223">
        <f>SUM(CR31:CY31)</f>
        <v>539726</v>
      </c>
      <c r="CR31" s="223"/>
      <c r="CS31" s="223"/>
      <c r="CT31" s="223">
        <v>180326</v>
      </c>
      <c r="CU31" s="231"/>
      <c r="CV31" s="223">
        <f>539726-180326</f>
        <v>359400</v>
      </c>
      <c r="CW31" s="223"/>
      <c r="CX31" s="223"/>
      <c r="CY31" s="203"/>
      <c r="CZ31" s="224" t="e">
        <f>DA31+DB31+DC31+DD31+DE31+DF31+DH31+DG31</f>
        <v>#REF!</v>
      </c>
      <c r="DA31" s="224"/>
      <c r="DB31" s="224"/>
      <c r="DC31" s="224" t="e">
        <f>'4 (2025)'!#REF!+'4 (2025)'!#REF!+'4 (2025)'!#REF!+'4 (2025)'!#REF!</f>
        <v>#REF!</v>
      </c>
      <c r="DD31" s="232"/>
      <c r="DE31" s="224" t="e">
        <f>'4 (2025)'!#REF!+'4 (2025)'!#REF!+'4 (2025)'!#REF!+'4 (2025)'!#REF!+'4 (2025)'!#REF!+'4 (2025)'!#REF!</f>
        <v>#REF!</v>
      </c>
      <c r="DF31" s="224"/>
      <c r="DG31" s="224"/>
      <c r="DH31" s="201" t="e">
        <f>'4 (2025)'!#REF!</f>
        <v>#REF!</v>
      </c>
      <c r="DI31" s="225" t="e">
        <f>CZ31='4 (2025)'!#REF!</f>
        <v>#REF!</v>
      </c>
      <c r="DJ31" s="175" t="e">
        <f>BI31=CZ31</f>
        <v>#REF!</v>
      </c>
      <c r="DL31" s="350" t="e">
        <f>DC31+DC41+DC70+DC78+DC97+DC103+DC105+DC33+DC40</f>
        <v>#REF!</v>
      </c>
      <c r="DM31" s="349" t="s">
        <v>203</v>
      </c>
    </row>
    <row r="32" spans="1:119" ht="15.75" x14ac:dyDescent="0.25">
      <c r="A32" s="214"/>
      <c r="B32" s="215"/>
      <c r="C32" s="2701" t="s">
        <v>446</v>
      </c>
      <c r="D32" s="2701"/>
      <c r="E32" s="2701"/>
      <c r="F32" s="2701"/>
      <c r="G32" s="2701"/>
      <c r="H32" s="2701"/>
      <c r="I32" s="2701"/>
      <c r="J32" s="2701"/>
      <c r="K32" s="2701"/>
      <c r="L32" s="2701"/>
      <c r="M32" s="2701"/>
      <c r="N32" s="2701"/>
      <c r="O32" s="2701"/>
      <c r="P32" s="2701"/>
      <c r="Q32" s="2701"/>
      <c r="R32" s="2701"/>
      <c r="S32" s="2701"/>
      <c r="T32" s="2701"/>
      <c r="U32" s="2701"/>
      <c r="V32" s="2701"/>
      <c r="W32" s="2701"/>
      <c r="X32" s="2701"/>
      <c r="Y32" s="2701"/>
      <c r="Z32" s="2701"/>
      <c r="AA32" s="2701"/>
      <c r="AB32" s="2701"/>
      <c r="AC32" s="2701"/>
      <c r="AD32" s="2701"/>
      <c r="AE32" s="2701"/>
      <c r="AF32" s="2701"/>
      <c r="AG32" s="2701"/>
      <c r="AH32" s="2701"/>
      <c r="AI32" s="2701"/>
      <c r="AJ32" s="2701"/>
      <c r="AK32" s="2701"/>
      <c r="AL32" s="2701"/>
      <c r="AM32" s="2701"/>
      <c r="AN32" s="2701"/>
      <c r="AO32" s="2701"/>
      <c r="AP32" s="2701"/>
      <c r="AQ32" s="2701"/>
      <c r="AR32" s="2701"/>
      <c r="AS32" s="2701"/>
      <c r="AT32" s="2701"/>
      <c r="AU32" s="2701"/>
      <c r="AV32" s="2701"/>
      <c r="AW32" s="2701"/>
      <c r="AX32" s="2702"/>
      <c r="AY32" s="387" t="s">
        <v>444</v>
      </c>
      <c r="AZ32" s="388" t="s">
        <v>152</v>
      </c>
      <c r="BA32" s="388" t="s">
        <v>28</v>
      </c>
      <c r="BB32" s="389" t="s">
        <v>67</v>
      </c>
      <c r="BC32" s="388" t="s">
        <v>445</v>
      </c>
      <c r="BD32" s="388"/>
      <c r="BE32" s="388" t="s">
        <v>219</v>
      </c>
      <c r="BF32" s="388" t="s">
        <v>422</v>
      </c>
      <c r="BG32" s="224">
        <v>4735210</v>
      </c>
      <c r="BH32" s="390">
        <f t="shared" si="9"/>
        <v>0</v>
      </c>
      <c r="BI32" s="224">
        <f t="shared" si="3"/>
        <v>4735210</v>
      </c>
      <c r="BJ32" s="224"/>
      <c r="BK32" s="224"/>
      <c r="BL32" s="224">
        <v>2042546.07</v>
      </c>
      <c r="BM32" s="224"/>
      <c r="BN32" s="224">
        <v>2692663.93</v>
      </c>
      <c r="BO32" s="224"/>
      <c r="BP32" s="224">
        <f t="shared" si="4"/>
        <v>4735210</v>
      </c>
      <c r="BQ32" s="224"/>
      <c r="BR32" s="224"/>
      <c r="BS32" s="224">
        <v>2042496.07</v>
      </c>
      <c r="BT32" s="224"/>
      <c r="BU32" s="224">
        <v>2692713.93</v>
      </c>
      <c r="BV32" s="224"/>
      <c r="BW32" s="224"/>
      <c r="BX32" s="201"/>
      <c r="BY32" s="224">
        <f t="shared" si="5"/>
        <v>4735210</v>
      </c>
      <c r="BZ32" s="224"/>
      <c r="CA32" s="224"/>
      <c r="CB32" s="224">
        <v>2042496.07</v>
      </c>
      <c r="CC32" s="224"/>
      <c r="CD32" s="224">
        <v>2692713.93</v>
      </c>
      <c r="CE32" s="224"/>
      <c r="CF32" s="224"/>
      <c r="CG32" s="201"/>
      <c r="CH32" s="224">
        <f t="shared" si="6"/>
        <v>4735210</v>
      </c>
      <c r="CI32" s="224"/>
      <c r="CJ32" s="224"/>
      <c r="CK32" s="224">
        <v>2042496.07</v>
      </c>
      <c r="CL32" s="224"/>
      <c r="CM32" s="224">
        <v>2692713.93</v>
      </c>
      <c r="CN32" s="224"/>
      <c r="CO32" s="224"/>
      <c r="CP32" s="201"/>
      <c r="CQ32" s="224">
        <f t="shared" si="7"/>
        <v>4735210</v>
      </c>
      <c r="CR32" s="224"/>
      <c r="CS32" s="224"/>
      <c r="CT32" s="224">
        <f>2465276.07-46444</f>
        <v>2418832.0699999998</v>
      </c>
      <c r="CU32" s="224"/>
      <c r="CV32" s="224">
        <f>2269658.93+46444</f>
        <v>2316102.9300000002</v>
      </c>
      <c r="CW32" s="224">
        <v>275</v>
      </c>
      <c r="CX32" s="224"/>
      <c r="CY32" s="201"/>
      <c r="CZ32" s="224" t="e">
        <f t="shared" si="8"/>
        <v>#REF!</v>
      </c>
      <c r="DA32" s="224" t="e">
        <f>'4 (2025)'!#REF!+'4 (2025)'!#REF!+'4 (2025)'!#REF!+'4 (2025)'!#REF!+'4 (2025)'!#REF!</f>
        <v>#REF!</v>
      </c>
      <c r="DB32" s="224"/>
      <c r="DC32" s="224" t="e">
        <f>'4 (2025)'!#REF!+'4 (2025)'!#REF!+'4 (2025)'!#REF!+'4 (2025)'!#REF!+'4 (2025)'!#REF!+'4 (2025)'!#REF!+'4 (2025)'!#REF!+'4 (2025)'!#REF!+'4 (2025)'!#REF!+'4 (2025)'!#REF!+'4 (2025)'!#REF!+'4 (2025)'!#REF!+'4 (2025)'!#REF!</f>
        <v>#REF!</v>
      </c>
      <c r="DD32" s="224"/>
      <c r="DE32" s="224" t="e">
        <f>'4 (2025)'!#REF!+'4 (2025)'!#REF!+'4 (2025)'!#REF!+'4 (2025)'!#REF!+'4 (2025)'!#REF!+'4 (2025)'!#REF!+'4 (2025)'!J623+'4 (2025)'!#REF!</f>
        <v>#REF!</v>
      </c>
      <c r="DF32" s="224"/>
      <c r="DG32" s="224"/>
      <c r="DH32" s="201"/>
      <c r="DI32" s="225" t="e">
        <f>CZ32='4 (2025)'!J618</f>
        <v>#REF!</v>
      </c>
      <c r="DJ32" s="175" t="e">
        <f t="shared" si="2"/>
        <v>#REF!</v>
      </c>
      <c r="DL32" s="350" t="e">
        <f>DC32+DC42+DC24+DC71+DC104+DC96</f>
        <v>#REF!</v>
      </c>
      <c r="DM32" s="349" t="s">
        <v>507</v>
      </c>
      <c r="DN32" s="391"/>
      <c r="DO32" s="391"/>
    </row>
    <row r="33" spans="1:119" ht="12.75" customHeight="1" x14ac:dyDescent="0.25">
      <c r="A33" s="356"/>
      <c r="B33" s="357"/>
      <c r="C33" s="362"/>
      <c r="D33" s="362"/>
      <c r="E33" s="362"/>
      <c r="F33" s="2703" t="s">
        <v>465</v>
      </c>
      <c r="G33" s="2704"/>
      <c r="H33" s="2704"/>
      <c r="I33" s="2704"/>
      <c r="J33" s="2704"/>
      <c r="K33" s="2704"/>
      <c r="L33" s="2704"/>
      <c r="M33" s="2704"/>
      <c r="N33" s="2704"/>
      <c r="O33" s="2704"/>
      <c r="P33" s="2704"/>
      <c r="Q33" s="2704"/>
      <c r="R33" s="2704"/>
      <c r="S33" s="2704"/>
      <c r="T33" s="2704"/>
      <c r="U33" s="2704"/>
      <c r="V33" s="2704"/>
      <c r="W33" s="2704"/>
      <c r="X33" s="2704"/>
      <c r="Y33" s="2704"/>
      <c r="Z33" s="2704"/>
      <c r="AA33" s="2704"/>
      <c r="AB33" s="2704"/>
      <c r="AC33" s="2704"/>
      <c r="AD33" s="2704"/>
      <c r="AE33" s="2704"/>
      <c r="AF33" s="2704"/>
      <c r="AG33" s="2704"/>
      <c r="AH33" s="2704"/>
      <c r="AI33" s="2704"/>
      <c r="AJ33" s="2704"/>
      <c r="AK33" s="2704"/>
      <c r="AL33" s="2704"/>
      <c r="AM33" s="2704"/>
      <c r="AN33" s="2704"/>
      <c r="AO33" s="2704"/>
      <c r="AP33" s="2704"/>
      <c r="AQ33" s="2704"/>
      <c r="AR33" s="2704"/>
      <c r="AS33" s="2704"/>
      <c r="AT33" s="2704"/>
      <c r="AU33" s="2704"/>
      <c r="AV33" s="2704"/>
      <c r="AW33" s="2704"/>
      <c r="AX33" s="2705"/>
      <c r="AY33" s="359"/>
      <c r="AZ33" s="198" t="s">
        <v>152</v>
      </c>
      <c r="BA33" s="198" t="s">
        <v>38</v>
      </c>
      <c r="BB33" s="216" t="s">
        <v>337</v>
      </c>
      <c r="BC33" s="276" t="s">
        <v>466</v>
      </c>
      <c r="BD33" s="276"/>
      <c r="BE33" s="276" t="s">
        <v>219</v>
      </c>
      <c r="BF33" s="276" t="s">
        <v>422</v>
      </c>
      <c r="BG33" s="277">
        <v>1087268</v>
      </c>
      <c r="BH33" s="278">
        <f t="shared" si="9"/>
        <v>0</v>
      </c>
      <c r="BI33" s="293">
        <f t="shared" si="3"/>
        <v>1087268</v>
      </c>
      <c r="BJ33" s="279">
        <v>96773</v>
      </c>
      <c r="BK33" s="279"/>
      <c r="BL33" s="279">
        <v>256330</v>
      </c>
      <c r="BM33" s="279">
        <v>2193.5500000000002</v>
      </c>
      <c r="BN33" s="279">
        <v>731971.45</v>
      </c>
      <c r="BO33" s="279"/>
      <c r="BP33" s="280">
        <f t="shared" si="4"/>
        <v>1087268</v>
      </c>
      <c r="BQ33" s="280">
        <v>96773</v>
      </c>
      <c r="BR33" s="280"/>
      <c r="BS33" s="280">
        <v>369913.55</v>
      </c>
      <c r="BT33" s="280">
        <v>0.01</v>
      </c>
      <c r="BU33" s="280">
        <v>620581.43999999994</v>
      </c>
      <c r="BV33" s="280"/>
      <c r="BW33" s="280"/>
      <c r="BX33" s="281"/>
      <c r="BY33" s="282">
        <f t="shared" si="5"/>
        <v>1087268</v>
      </c>
      <c r="BZ33" s="282">
        <v>96773</v>
      </c>
      <c r="CA33" s="282"/>
      <c r="CB33" s="282">
        <v>369913.55</v>
      </c>
      <c r="CC33" s="282">
        <v>0.01</v>
      </c>
      <c r="CD33" s="282">
        <v>620581.43999999994</v>
      </c>
      <c r="CE33" s="282"/>
      <c r="CF33" s="282"/>
      <c r="CG33" s="283"/>
      <c r="CH33" s="280">
        <f t="shared" si="6"/>
        <v>1087268</v>
      </c>
      <c r="CI33" s="280">
        <v>96773</v>
      </c>
      <c r="CJ33" s="280"/>
      <c r="CK33" s="280">
        <v>369913.55</v>
      </c>
      <c r="CL33" s="280">
        <v>147981.60999999999</v>
      </c>
      <c r="CM33" s="280">
        <v>472599.84</v>
      </c>
      <c r="CN33" s="280">
        <v>0</v>
      </c>
      <c r="CO33" s="280"/>
      <c r="CP33" s="281"/>
      <c r="CQ33" s="272">
        <f t="shared" si="7"/>
        <v>1087268</v>
      </c>
      <c r="CR33" s="272">
        <v>127138</v>
      </c>
      <c r="CS33" s="272">
        <v>100000</v>
      </c>
      <c r="CT33" s="272">
        <v>320203.27</v>
      </c>
      <c r="CU33" s="272"/>
      <c r="CV33" s="272">
        <v>257198.6</v>
      </c>
      <c r="CW33" s="272">
        <v>282728.13</v>
      </c>
      <c r="CX33" s="272"/>
      <c r="CY33" s="284"/>
      <c r="CZ33" s="263" t="e">
        <f>DA33+DB33+DC33+DD33+DE33+DF33+DH33+DG33</f>
        <v>#REF!</v>
      </c>
      <c r="DA33" s="285"/>
      <c r="DB33" s="285"/>
      <c r="DC33" s="285" t="e">
        <f>'4 (2025)'!#REF!</f>
        <v>#REF!</v>
      </c>
      <c r="DD33" s="285"/>
      <c r="DE33" s="285"/>
      <c r="DF33" s="285"/>
      <c r="DG33" s="285"/>
      <c r="DH33" s="286"/>
      <c r="DI33" s="225" t="e">
        <f>CZ33='4 (2025)'!#REF!</f>
        <v>#REF!</v>
      </c>
      <c r="DL33" s="350"/>
      <c r="DM33" s="349"/>
    </row>
    <row r="34" spans="1:119" ht="12.75" customHeight="1" x14ac:dyDescent="0.25">
      <c r="A34" s="356"/>
      <c r="B34" s="357"/>
      <c r="C34" s="358"/>
      <c r="D34" s="358"/>
      <c r="E34" s="358"/>
      <c r="F34" s="2703" t="s">
        <v>465</v>
      </c>
      <c r="G34" s="2704"/>
      <c r="H34" s="2704"/>
      <c r="I34" s="2704"/>
      <c r="J34" s="2704"/>
      <c r="K34" s="2704"/>
      <c r="L34" s="2704"/>
      <c r="M34" s="2704"/>
      <c r="N34" s="2704"/>
      <c r="O34" s="2704"/>
      <c r="P34" s="2704"/>
      <c r="Q34" s="2704"/>
      <c r="R34" s="2704"/>
      <c r="S34" s="2704"/>
      <c r="T34" s="2704"/>
      <c r="U34" s="2704"/>
      <c r="V34" s="2704"/>
      <c r="W34" s="2704"/>
      <c r="X34" s="2704"/>
      <c r="Y34" s="2704"/>
      <c r="Z34" s="2704"/>
      <c r="AA34" s="2704"/>
      <c r="AB34" s="2704"/>
      <c r="AC34" s="2704"/>
      <c r="AD34" s="2704"/>
      <c r="AE34" s="2704"/>
      <c r="AF34" s="2704"/>
      <c r="AG34" s="2704"/>
      <c r="AH34" s="2704"/>
      <c r="AI34" s="2704"/>
      <c r="AJ34" s="2704"/>
      <c r="AK34" s="2704"/>
      <c r="AL34" s="2704"/>
      <c r="AM34" s="2704"/>
      <c r="AN34" s="2704"/>
      <c r="AO34" s="2704"/>
      <c r="AP34" s="2704"/>
      <c r="AQ34" s="2704"/>
      <c r="AR34" s="2704"/>
      <c r="AS34" s="2704"/>
      <c r="AT34" s="2704"/>
      <c r="AU34" s="2704"/>
      <c r="AV34" s="2704"/>
      <c r="AW34" s="2704"/>
      <c r="AX34" s="2705"/>
      <c r="AY34" s="359"/>
      <c r="AZ34" s="198" t="s">
        <v>152</v>
      </c>
      <c r="BA34" s="198" t="s">
        <v>38</v>
      </c>
      <c r="BB34" s="198" t="s">
        <v>144</v>
      </c>
      <c r="BC34" s="276" t="s">
        <v>466</v>
      </c>
      <c r="BD34" s="276"/>
      <c r="BE34" s="276" t="s">
        <v>219</v>
      </c>
      <c r="BF34" s="276" t="s">
        <v>438</v>
      </c>
      <c r="BG34" s="277">
        <v>1087268</v>
      </c>
      <c r="BH34" s="278">
        <f t="shared" si="9"/>
        <v>0</v>
      </c>
      <c r="BI34" s="293">
        <f>BJ34+BK34+BL34+BM34+BN34+BO34</f>
        <v>1087268</v>
      </c>
      <c r="BJ34" s="279">
        <v>96773</v>
      </c>
      <c r="BK34" s="279"/>
      <c r="BL34" s="279">
        <v>256330</v>
      </c>
      <c r="BM34" s="279">
        <v>2193.5500000000002</v>
      </c>
      <c r="BN34" s="279">
        <v>731971.45</v>
      </c>
      <c r="BO34" s="279"/>
      <c r="BP34" s="280">
        <f>BQ34+BR34+BS34+BT34+BU34+BV34+BX34+BW34</f>
        <v>1087268</v>
      </c>
      <c r="BQ34" s="280">
        <v>96773</v>
      </c>
      <c r="BR34" s="280"/>
      <c r="BS34" s="280">
        <v>369913.55</v>
      </c>
      <c r="BT34" s="280">
        <v>0.01</v>
      </c>
      <c r="BU34" s="280">
        <v>620581.43999999994</v>
      </c>
      <c r="BV34" s="280"/>
      <c r="BW34" s="280"/>
      <c r="BX34" s="281"/>
      <c r="BY34" s="282">
        <f>BZ34+CA34+CB34+CC34+CD34+CE34+CG34+CF34</f>
        <v>1087268</v>
      </c>
      <c r="BZ34" s="282">
        <v>96773</v>
      </c>
      <c r="CA34" s="282"/>
      <c r="CB34" s="282">
        <v>369913.55</v>
      </c>
      <c r="CC34" s="282">
        <v>0.01</v>
      </c>
      <c r="CD34" s="282">
        <v>620581.43999999994</v>
      </c>
      <c r="CE34" s="282"/>
      <c r="CF34" s="282"/>
      <c r="CG34" s="283"/>
      <c r="CH34" s="280">
        <f>CI34+CJ34+CK34+CL34+CM34+CN34+CP34+CO34</f>
        <v>1087268</v>
      </c>
      <c r="CI34" s="280">
        <v>96773</v>
      </c>
      <c r="CJ34" s="280"/>
      <c r="CK34" s="280">
        <v>369913.55</v>
      </c>
      <c r="CL34" s="280">
        <v>147981.60999999999</v>
      </c>
      <c r="CM34" s="280">
        <v>472599.84</v>
      </c>
      <c r="CN34" s="280">
        <v>0</v>
      </c>
      <c r="CO34" s="280"/>
      <c r="CP34" s="281"/>
      <c r="CQ34" s="272">
        <f>SUM(CR34:CY34)</f>
        <v>1087268</v>
      </c>
      <c r="CR34" s="272">
        <v>127138</v>
      </c>
      <c r="CS34" s="272">
        <v>100000</v>
      </c>
      <c r="CT34" s="272">
        <v>320203.27</v>
      </c>
      <c r="CU34" s="272"/>
      <c r="CV34" s="272">
        <v>257198.6</v>
      </c>
      <c r="CW34" s="272">
        <v>282728.13</v>
      </c>
      <c r="CX34" s="272"/>
      <c r="CY34" s="284"/>
      <c r="CZ34" s="263" t="e">
        <f t="shared" si="8"/>
        <v>#REF!</v>
      </c>
      <c r="DA34" s="285"/>
      <c r="DB34" s="285"/>
      <c r="DC34" s="285" t="e">
        <f>'4 (2025)'!#REF!</f>
        <v>#REF!</v>
      </c>
      <c r="DD34" s="285"/>
      <c r="DE34" s="285"/>
      <c r="DF34" s="285"/>
      <c r="DG34" s="285"/>
      <c r="DH34" s="286"/>
      <c r="DI34" s="225" t="e">
        <f>CZ34='4 (2025)'!#REF!</f>
        <v>#REF!</v>
      </c>
      <c r="DL34" s="350"/>
      <c r="DM34" s="349"/>
    </row>
    <row r="35" spans="1:119" ht="12.75" customHeight="1" x14ac:dyDescent="0.25">
      <c r="A35" s="356"/>
      <c r="B35" s="357"/>
      <c r="C35" s="358"/>
      <c r="D35" s="358"/>
      <c r="E35" s="358"/>
      <c r="F35" s="2703" t="s">
        <v>465</v>
      </c>
      <c r="G35" s="2704"/>
      <c r="H35" s="2704"/>
      <c r="I35" s="2704"/>
      <c r="J35" s="2704"/>
      <c r="K35" s="2704"/>
      <c r="L35" s="2704"/>
      <c r="M35" s="2704"/>
      <c r="N35" s="2704"/>
      <c r="O35" s="2704"/>
      <c r="P35" s="2704"/>
      <c r="Q35" s="2704"/>
      <c r="R35" s="2704"/>
      <c r="S35" s="2704"/>
      <c r="T35" s="2704"/>
      <c r="U35" s="2704"/>
      <c r="V35" s="2704"/>
      <c r="W35" s="2704"/>
      <c r="X35" s="2704"/>
      <c r="Y35" s="2704"/>
      <c r="Z35" s="2704"/>
      <c r="AA35" s="2704"/>
      <c r="AB35" s="2704"/>
      <c r="AC35" s="2704"/>
      <c r="AD35" s="2704"/>
      <c r="AE35" s="2704"/>
      <c r="AF35" s="2704"/>
      <c r="AG35" s="2704"/>
      <c r="AH35" s="2704"/>
      <c r="AI35" s="2704"/>
      <c r="AJ35" s="2704"/>
      <c r="AK35" s="2704"/>
      <c r="AL35" s="2704"/>
      <c r="AM35" s="2704"/>
      <c r="AN35" s="2704"/>
      <c r="AO35" s="2704"/>
      <c r="AP35" s="2704"/>
      <c r="AQ35" s="2704"/>
      <c r="AR35" s="2704"/>
      <c r="AS35" s="2704"/>
      <c r="AT35" s="2704"/>
      <c r="AU35" s="2704"/>
      <c r="AV35" s="2704"/>
      <c r="AW35" s="2704"/>
      <c r="AX35" s="2705"/>
      <c r="AY35" s="359"/>
      <c r="AZ35" s="198" t="s">
        <v>152</v>
      </c>
      <c r="BA35" s="198" t="s">
        <v>95</v>
      </c>
      <c r="BB35" s="198" t="s">
        <v>94</v>
      </c>
      <c r="BC35" s="276" t="s">
        <v>466</v>
      </c>
      <c r="BD35" s="276"/>
      <c r="BE35" s="276" t="s">
        <v>219</v>
      </c>
      <c r="BF35" s="276" t="s">
        <v>438</v>
      </c>
      <c r="BG35" s="277">
        <v>1087268</v>
      </c>
      <c r="BH35" s="278">
        <f t="shared" si="9"/>
        <v>0</v>
      </c>
      <c r="BI35" s="293">
        <f>BJ35+BK35+BL35+BM35+BN35+BO35</f>
        <v>1087268</v>
      </c>
      <c r="BJ35" s="279">
        <v>96773</v>
      </c>
      <c r="BK35" s="279"/>
      <c r="BL35" s="279">
        <v>256330</v>
      </c>
      <c r="BM35" s="279">
        <v>2193.5500000000002</v>
      </c>
      <c r="BN35" s="279">
        <v>731971.45</v>
      </c>
      <c r="BO35" s="279"/>
      <c r="BP35" s="280">
        <f>BQ35+BR35+BS35+BT35+BU35+BV35+BX35+BW35</f>
        <v>1087268</v>
      </c>
      <c r="BQ35" s="280">
        <v>96773</v>
      </c>
      <c r="BR35" s="280"/>
      <c r="BS35" s="280">
        <v>369913.55</v>
      </c>
      <c r="BT35" s="280">
        <v>0.01</v>
      </c>
      <c r="BU35" s="280">
        <v>620581.43999999994</v>
      </c>
      <c r="BV35" s="280"/>
      <c r="BW35" s="280"/>
      <c r="BX35" s="281"/>
      <c r="BY35" s="282">
        <f>BZ35+CA35+CB35+CC35+CD35+CE35+CG35+CF35</f>
        <v>1087268</v>
      </c>
      <c r="BZ35" s="282">
        <v>96773</v>
      </c>
      <c r="CA35" s="282"/>
      <c r="CB35" s="282">
        <v>369913.55</v>
      </c>
      <c r="CC35" s="282">
        <v>0.01</v>
      </c>
      <c r="CD35" s="282">
        <v>620581.43999999994</v>
      </c>
      <c r="CE35" s="282"/>
      <c r="CF35" s="282"/>
      <c r="CG35" s="283"/>
      <c r="CH35" s="280">
        <f>CI35+CJ35+CK35+CL35+CM35+CN35+CP35+CO35</f>
        <v>1087268</v>
      </c>
      <c r="CI35" s="280">
        <v>96773</v>
      </c>
      <c r="CJ35" s="280"/>
      <c r="CK35" s="280">
        <v>369913.55</v>
      </c>
      <c r="CL35" s="280">
        <v>147981.60999999999</v>
      </c>
      <c r="CM35" s="280">
        <v>472599.84</v>
      </c>
      <c r="CN35" s="280">
        <v>0</v>
      </c>
      <c r="CO35" s="280"/>
      <c r="CP35" s="281"/>
      <c r="CQ35" s="272">
        <f>SUM(CR35:CY35)</f>
        <v>1087268</v>
      </c>
      <c r="CR35" s="272">
        <v>127138</v>
      </c>
      <c r="CS35" s="272">
        <v>100000</v>
      </c>
      <c r="CT35" s="272">
        <v>320203.27</v>
      </c>
      <c r="CU35" s="272"/>
      <c r="CV35" s="272">
        <v>257198.6</v>
      </c>
      <c r="CW35" s="272">
        <v>282728.13</v>
      </c>
      <c r="CX35" s="272"/>
      <c r="CY35" s="284"/>
      <c r="CZ35" s="263" t="e">
        <f t="shared" si="8"/>
        <v>#REF!</v>
      </c>
      <c r="DA35" s="285"/>
      <c r="DB35" s="285"/>
      <c r="DC35" s="285" t="e">
        <f>'4 (2025)'!#REF!</f>
        <v>#REF!</v>
      </c>
      <c r="DD35" s="285"/>
      <c r="DE35" s="285"/>
      <c r="DF35" s="285"/>
      <c r="DG35" s="285"/>
      <c r="DH35" s="286"/>
      <c r="DI35" s="225" t="e">
        <f>CZ35='4 (2025)'!#REF!</f>
        <v>#REF!</v>
      </c>
      <c r="DL35" s="350"/>
      <c r="DM35" s="349"/>
    </row>
    <row r="36" spans="1:119" ht="12.75" x14ac:dyDescent="0.2">
      <c r="A36" s="214"/>
      <c r="B36" s="215"/>
      <c r="C36" s="2675" t="s">
        <v>449</v>
      </c>
      <c r="D36" s="2675"/>
      <c r="E36" s="2675"/>
      <c r="F36" s="2675"/>
      <c r="G36" s="2675"/>
      <c r="H36" s="2675"/>
      <c r="I36" s="2675"/>
      <c r="J36" s="2675"/>
      <c r="K36" s="2675"/>
      <c r="L36" s="2675"/>
      <c r="M36" s="2675"/>
      <c r="N36" s="2675"/>
      <c r="O36" s="2675"/>
      <c r="P36" s="2675"/>
      <c r="Q36" s="2675"/>
      <c r="R36" s="2675"/>
      <c r="S36" s="2675"/>
      <c r="T36" s="2675"/>
      <c r="U36" s="2675"/>
      <c r="V36" s="2675"/>
      <c r="W36" s="2675"/>
      <c r="X36" s="2675"/>
      <c r="Y36" s="2675"/>
      <c r="Z36" s="2675"/>
      <c r="AA36" s="2675"/>
      <c r="AB36" s="2675"/>
      <c r="AC36" s="2675"/>
      <c r="AD36" s="2675"/>
      <c r="AE36" s="2675"/>
      <c r="AF36" s="2675"/>
      <c r="AG36" s="2675"/>
      <c r="AH36" s="2675"/>
      <c r="AI36" s="2675"/>
      <c r="AJ36" s="2675"/>
      <c r="AK36" s="2675"/>
      <c r="AL36" s="2675"/>
      <c r="AM36" s="2675"/>
      <c r="AN36" s="2675"/>
      <c r="AO36" s="2675"/>
      <c r="AP36" s="2675"/>
      <c r="AQ36" s="2675"/>
      <c r="AR36" s="2675"/>
      <c r="AS36" s="2675"/>
      <c r="AT36" s="2675"/>
      <c r="AU36" s="2675"/>
      <c r="AV36" s="2675"/>
      <c r="AW36" s="2675"/>
      <c r="AX36" s="2676"/>
      <c r="AY36" s="205" t="s">
        <v>426</v>
      </c>
      <c r="AZ36" s="198" t="s">
        <v>152</v>
      </c>
      <c r="BA36" s="198" t="s">
        <v>38</v>
      </c>
      <c r="BB36" s="226" t="s">
        <v>91</v>
      </c>
      <c r="BC36" s="198" t="s">
        <v>450</v>
      </c>
      <c r="BD36" s="198"/>
      <c r="BE36" s="198" t="s">
        <v>219</v>
      </c>
      <c r="BF36" s="198" t="s">
        <v>422</v>
      </c>
      <c r="BG36" s="217">
        <v>2543227.6800000002</v>
      </c>
      <c r="BH36" s="218"/>
      <c r="BI36" s="219">
        <f t="shared" si="3"/>
        <v>2543227.6800000002</v>
      </c>
      <c r="BJ36" s="219"/>
      <c r="BK36" s="219"/>
      <c r="BL36" s="227">
        <v>59421.31</v>
      </c>
      <c r="BM36" s="227">
        <v>1396.93</v>
      </c>
      <c r="BN36" s="227">
        <v>2482409.44</v>
      </c>
      <c r="BO36" s="219"/>
      <c r="BP36" s="220">
        <f t="shared" si="4"/>
        <v>2543227.6800000002</v>
      </c>
      <c r="BQ36" s="220"/>
      <c r="BR36" s="220"/>
      <c r="BS36" s="220">
        <v>59421.31</v>
      </c>
      <c r="BT36" s="220">
        <v>3157.72</v>
      </c>
      <c r="BU36" s="220">
        <v>2480648.65</v>
      </c>
      <c r="BV36" s="220"/>
      <c r="BW36" s="220"/>
      <c r="BX36" s="202"/>
      <c r="BY36" s="221">
        <f t="shared" si="5"/>
        <v>2543227.6800000002</v>
      </c>
      <c r="BZ36" s="221"/>
      <c r="CA36" s="221"/>
      <c r="CB36" s="221">
        <v>59421.31</v>
      </c>
      <c r="CC36" s="221">
        <v>3157.72</v>
      </c>
      <c r="CD36" s="221">
        <v>2480648.65</v>
      </c>
      <c r="CE36" s="221"/>
      <c r="CF36" s="221"/>
      <c r="CG36" s="222"/>
      <c r="CH36" s="220">
        <f t="shared" si="6"/>
        <v>2543227.6800000002</v>
      </c>
      <c r="CI36" s="220"/>
      <c r="CJ36" s="220"/>
      <c r="CK36" s="220">
        <v>59421.31</v>
      </c>
      <c r="CL36" s="220">
        <v>3157.72</v>
      </c>
      <c r="CM36" s="220">
        <v>2480648.65</v>
      </c>
      <c r="CN36" s="220"/>
      <c r="CO36" s="220"/>
      <c r="CP36" s="202"/>
      <c r="CQ36" s="223">
        <f t="shared" si="7"/>
        <v>2543227.6800000002</v>
      </c>
      <c r="CR36" s="223"/>
      <c r="CS36" s="223"/>
      <c r="CT36" s="223">
        <v>59421.31</v>
      </c>
      <c r="CU36" s="223">
        <v>3157.72</v>
      </c>
      <c r="CV36" s="223">
        <v>2480648.65</v>
      </c>
      <c r="CW36" s="223"/>
      <c r="CX36" s="223"/>
      <c r="CY36" s="203"/>
      <c r="CZ36" s="224">
        <f t="shared" si="8"/>
        <v>74100</v>
      </c>
      <c r="DA36" s="224">
        <f>'4 (2025)'!J783</f>
        <v>74100</v>
      </c>
      <c r="DB36" s="224"/>
      <c r="DC36" s="224"/>
      <c r="DD36" s="224"/>
      <c r="DE36" s="224"/>
      <c r="DF36" s="224"/>
      <c r="DG36" s="224"/>
      <c r="DH36" s="201"/>
      <c r="DI36" s="225" t="b">
        <f>'4 (2025)'!J777=CZ36</f>
        <v>0</v>
      </c>
      <c r="DJ36" s="175" t="b">
        <f t="shared" si="2"/>
        <v>0</v>
      </c>
    </row>
    <row r="37" spans="1:119" ht="13.5" customHeight="1" x14ac:dyDescent="0.2">
      <c r="A37" s="356"/>
      <c r="B37" s="215"/>
      <c r="C37" s="370"/>
      <c r="D37" s="370"/>
      <c r="E37" s="370"/>
      <c r="F37" s="2675" t="s">
        <v>467</v>
      </c>
      <c r="G37" s="2706"/>
      <c r="H37" s="2706"/>
      <c r="I37" s="2706"/>
      <c r="J37" s="2706"/>
      <c r="K37" s="2706"/>
      <c r="L37" s="2706"/>
      <c r="M37" s="2706"/>
      <c r="N37" s="2706"/>
      <c r="O37" s="2706"/>
      <c r="P37" s="2706"/>
      <c r="Q37" s="2706"/>
      <c r="R37" s="2706"/>
      <c r="S37" s="2706"/>
      <c r="T37" s="2706"/>
      <c r="U37" s="2706"/>
      <c r="V37" s="2706"/>
      <c r="W37" s="2706"/>
      <c r="X37" s="2706"/>
      <c r="Y37" s="2706"/>
      <c r="Z37" s="2706"/>
      <c r="AA37" s="2706"/>
      <c r="AB37" s="2706"/>
      <c r="AC37" s="2706"/>
      <c r="AD37" s="2706"/>
      <c r="AE37" s="2706"/>
      <c r="AF37" s="2706"/>
      <c r="AG37" s="2706"/>
      <c r="AH37" s="2706"/>
      <c r="AI37" s="2706"/>
      <c r="AJ37" s="2706"/>
      <c r="AK37" s="2706"/>
      <c r="AL37" s="2706"/>
      <c r="AM37" s="2706"/>
      <c r="AN37" s="2706"/>
      <c r="AO37" s="2706"/>
      <c r="AP37" s="2706"/>
      <c r="AQ37" s="2706"/>
      <c r="AR37" s="2706"/>
      <c r="AS37" s="2706"/>
      <c r="AT37" s="2706"/>
      <c r="AU37" s="2706"/>
      <c r="AV37" s="2706"/>
      <c r="AW37" s="2706"/>
      <c r="AX37" s="2707"/>
      <c r="AY37" s="205"/>
      <c r="AZ37" s="198" t="s">
        <v>152</v>
      </c>
      <c r="BA37" s="198" t="s">
        <v>28</v>
      </c>
      <c r="BB37" s="226" t="s">
        <v>67</v>
      </c>
      <c r="BC37" s="198" t="s">
        <v>452</v>
      </c>
      <c r="BD37" s="198"/>
      <c r="BE37" s="198" t="s">
        <v>219</v>
      </c>
      <c r="BF37" s="198" t="s">
        <v>422</v>
      </c>
      <c r="BG37" s="217">
        <v>1495316.29</v>
      </c>
      <c r="BH37" s="218">
        <f>BG37-BI37</f>
        <v>0</v>
      </c>
      <c r="BI37" s="219">
        <f>BJ37+BK37+BL37+BM37+BN37+BO37</f>
        <v>1495316.29</v>
      </c>
      <c r="BJ37" s="219"/>
      <c r="BK37" s="219"/>
      <c r="BL37" s="219">
        <v>1043390</v>
      </c>
      <c r="BM37" s="233"/>
      <c r="BN37" s="219">
        <v>451926.29</v>
      </c>
      <c r="BO37" s="219"/>
      <c r="BP37" s="220">
        <f>BQ37+BR37+BS37+BT37+BU37+BV37+BX37+BW37</f>
        <v>1495316.29</v>
      </c>
      <c r="BQ37" s="220"/>
      <c r="BR37" s="220"/>
      <c r="BS37" s="220">
        <v>1043390</v>
      </c>
      <c r="BT37" s="229"/>
      <c r="BU37" s="220">
        <v>451926.29</v>
      </c>
      <c r="BV37" s="220"/>
      <c r="BW37" s="220"/>
      <c r="BX37" s="202"/>
      <c r="BY37" s="221">
        <f>BZ37+CA37+CB37+CC37+CD37+CE37+CG37+CF37</f>
        <v>1695316.29</v>
      </c>
      <c r="BZ37" s="221">
        <v>100000</v>
      </c>
      <c r="CA37" s="221"/>
      <c r="CB37" s="228">
        <f>1143390-200000</f>
        <v>943390</v>
      </c>
      <c r="CC37" s="230"/>
      <c r="CD37" s="221">
        <v>451926.29</v>
      </c>
      <c r="CE37" s="221"/>
      <c r="CF37" s="221"/>
      <c r="CG37" s="228">
        <v>200000</v>
      </c>
      <c r="CH37" s="220">
        <f>CI37+CJ37+CK37+CL37+CM37+CN37+CP37+CO37</f>
        <v>1695316.29</v>
      </c>
      <c r="CI37" s="220">
        <v>100000</v>
      </c>
      <c r="CJ37" s="220"/>
      <c r="CK37" s="220">
        <v>1143390</v>
      </c>
      <c r="CL37" s="229"/>
      <c r="CM37" s="220">
        <v>451926.29</v>
      </c>
      <c r="CN37" s="220"/>
      <c r="CO37" s="220"/>
      <c r="CP37" s="202"/>
      <c r="CQ37" s="223">
        <f>SUM(CR37:CY37)</f>
        <v>1695316.29</v>
      </c>
      <c r="CR37" s="223">
        <f>95039.39-92487.1</f>
        <v>2552.29</v>
      </c>
      <c r="CS37" s="223"/>
      <c r="CT37" s="223">
        <f>1600276.9+92487.1</f>
        <v>1692764</v>
      </c>
      <c r="CU37" s="231"/>
      <c r="CV37" s="223"/>
      <c r="CW37" s="223"/>
      <c r="CX37" s="223"/>
      <c r="CY37" s="203"/>
      <c r="CZ37" s="224">
        <f>DA37+DB37+DC37+DD37+DE37+DF37+DH37+DG37</f>
        <v>0</v>
      </c>
      <c r="DA37" s="224"/>
      <c r="DB37" s="224"/>
      <c r="DC37" s="224"/>
      <c r="DD37" s="232"/>
      <c r="DE37" s="224"/>
      <c r="DF37" s="224"/>
      <c r="DG37" s="224"/>
      <c r="DH37" s="201"/>
      <c r="DI37" s="225" t="e">
        <f>CZ37='4 (2025)'!#REF!</f>
        <v>#REF!</v>
      </c>
    </row>
    <row r="38" spans="1:119" ht="12.75" hidden="1" x14ac:dyDescent="0.2">
      <c r="A38" s="214"/>
      <c r="B38" s="215"/>
      <c r="C38" s="2675" t="s">
        <v>451</v>
      </c>
      <c r="D38" s="2675"/>
      <c r="E38" s="2675"/>
      <c r="F38" s="2675"/>
      <c r="G38" s="2675"/>
      <c r="H38" s="2675"/>
      <c r="I38" s="2675"/>
      <c r="J38" s="2675"/>
      <c r="K38" s="2675"/>
      <c r="L38" s="2675"/>
      <c r="M38" s="2675"/>
      <c r="N38" s="2675"/>
      <c r="O38" s="2675"/>
      <c r="P38" s="2675"/>
      <c r="Q38" s="2675"/>
      <c r="R38" s="2675"/>
      <c r="S38" s="2675"/>
      <c r="T38" s="2675"/>
      <c r="U38" s="2675"/>
      <c r="V38" s="2675"/>
      <c r="W38" s="2675"/>
      <c r="X38" s="2675"/>
      <c r="Y38" s="2675"/>
      <c r="Z38" s="2675"/>
      <c r="AA38" s="2675"/>
      <c r="AB38" s="2675"/>
      <c r="AC38" s="2675"/>
      <c r="AD38" s="2675"/>
      <c r="AE38" s="2675"/>
      <c r="AF38" s="2675"/>
      <c r="AG38" s="2675"/>
      <c r="AH38" s="2675"/>
      <c r="AI38" s="2675"/>
      <c r="AJ38" s="2675"/>
      <c r="AK38" s="2675"/>
      <c r="AL38" s="2675"/>
      <c r="AM38" s="2675"/>
      <c r="AN38" s="2675"/>
      <c r="AO38" s="2675"/>
      <c r="AP38" s="2675"/>
      <c r="AQ38" s="2675"/>
      <c r="AR38" s="2675"/>
      <c r="AS38" s="2675"/>
      <c r="AT38" s="2675"/>
      <c r="AU38" s="2675"/>
      <c r="AV38" s="2675"/>
      <c r="AW38" s="2675"/>
      <c r="AX38" s="2676"/>
      <c r="AY38" s="205" t="s">
        <v>426</v>
      </c>
      <c r="AZ38" s="198" t="s">
        <v>152</v>
      </c>
      <c r="BA38" s="198" t="s">
        <v>38</v>
      </c>
      <c r="BB38" s="226" t="s">
        <v>91</v>
      </c>
      <c r="BC38" s="198" t="s">
        <v>452</v>
      </c>
      <c r="BD38" s="198"/>
      <c r="BE38" s="198" t="s">
        <v>219</v>
      </c>
      <c r="BF38" s="198" t="s">
        <v>422</v>
      </c>
      <c r="BG38" s="217">
        <v>2543227.6800000002</v>
      </c>
      <c r="BH38" s="218"/>
      <c r="BI38" s="219">
        <f t="shared" si="3"/>
        <v>2543227.6800000002</v>
      </c>
      <c r="BJ38" s="219"/>
      <c r="BK38" s="219"/>
      <c r="BL38" s="227">
        <v>59421.31</v>
      </c>
      <c r="BM38" s="227">
        <v>1396.93</v>
      </c>
      <c r="BN38" s="227">
        <v>2482409.44</v>
      </c>
      <c r="BO38" s="219"/>
      <c r="BP38" s="220">
        <f t="shared" si="4"/>
        <v>2543227.6800000002</v>
      </c>
      <c r="BQ38" s="220"/>
      <c r="BR38" s="220"/>
      <c r="BS38" s="220">
        <v>59421.31</v>
      </c>
      <c r="BT38" s="220">
        <v>3157.72</v>
      </c>
      <c r="BU38" s="220">
        <v>2480648.65</v>
      </c>
      <c r="BV38" s="220"/>
      <c r="BW38" s="220"/>
      <c r="BX38" s="202"/>
      <c r="BY38" s="221">
        <f t="shared" si="5"/>
        <v>2543227.6800000002</v>
      </c>
      <c r="BZ38" s="221"/>
      <c r="CA38" s="221"/>
      <c r="CB38" s="221">
        <v>59421.31</v>
      </c>
      <c r="CC38" s="221">
        <v>3157.72</v>
      </c>
      <c r="CD38" s="221">
        <v>2480648.65</v>
      </c>
      <c r="CE38" s="221"/>
      <c r="CF38" s="221"/>
      <c r="CG38" s="222"/>
      <c r="CH38" s="220">
        <f t="shared" si="6"/>
        <v>2543227.6800000002</v>
      </c>
      <c r="CI38" s="220"/>
      <c r="CJ38" s="220"/>
      <c r="CK38" s="220">
        <v>59421.31</v>
      </c>
      <c r="CL38" s="220">
        <v>3157.72</v>
      </c>
      <c r="CM38" s="220">
        <v>2480648.65</v>
      </c>
      <c r="CN38" s="220"/>
      <c r="CO38" s="220"/>
      <c r="CP38" s="202"/>
      <c r="CQ38" s="223">
        <f t="shared" si="7"/>
        <v>2543227.6800000002</v>
      </c>
      <c r="CR38" s="223"/>
      <c r="CS38" s="223"/>
      <c r="CT38" s="223">
        <v>59421.31</v>
      </c>
      <c r="CU38" s="223">
        <v>3157.72</v>
      </c>
      <c r="CV38" s="223">
        <v>2480648.65</v>
      </c>
      <c r="CW38" s="223"/>
      <c r="CX38" s="223"/>
      <c r="CY38" s="203"/>
      <c r="CZ38" s="224">
        <f t="shared" si="8"/>
        <v>0</v>
      </c>
      <c r="DA38" s="224"/>
      <c r="DB38" s="224"/>
      <c r="DC38" s="224"/>
      <c r="DD38" s="224"/>
      <c r="DE38" s="224"/>
      <c r="DF38" s="224"/>
      <c r="DG38" s="224"/>
      <c r="DH38" s="201"/>
      <c r="DI38" s="225" t="e">
        <f>'4 (2025)'!#REF!=CZ38</f>
        <v>#REF!</v>
      </c>
      <c r="DJ38" s="175" t="b">
        <f t="shared" si="2"/>
        <v>0</v>
      </c>
    </row>
    <row r="39" spans="1:119" ht="12.75" customHeight="1" x14ac:dyDescent="0.2">
      <c r="A39" s="214"/>
      <c r="B39" s="215"/>
      <c r="C39" s="2675" t="s">
        <v>451</v>
      </c>
      <c r="D39" s="2675"/>
      <c r="E39" s="2675"/>
      <c r="F39" s="2675"/>
      <c r="G39" s="2675"/>
      <c r="H39" s="2675"/>
      <c r="I39" s="2675"/>
      <c r="J39" s="2675"/>
      <c r="K39" s="2675"/>
      <c r="L39" s="2675"/>
      <c r="M39" s="2675"/>
      <c r="N39" s="2675"/>
      <c r="O39" s="2675"/>
      <c r="P39" s="2675"/>
      <c r="Q39" s="2675"/>
      <c r="R39" s="2675"/>
      <c r="S39" s="2675"/>
      <c r="T39" s="2675"/>
      <c r="U39" s="2675"/>
      <c r="V39" s="2675"/>
      <c r="W39" s="2675"/>
      <c r="X39" s="2675"/>
      <c r="Y39" s="2675"/>
      <c r="Z39" s="2675"/>
      <c r="AA39" s="2675"/>
      <c r="AB39" s="2675"/>
      <c r="AC39" s="2675"/>
      <c r="AD39" s="2675"/>
      <c r="AE39" s="2675"/>
      <c r="AF39" s="2675"/>
      <c r="AG39" s="2675"/>
      <c r="AH39" s="2675"/>
      <c r="AI39" s="2675"/>
      <c r="AJ39" s="2675"/>
      <c r="AK39" s="2675"/>
      <c r="AL39" s="2675"/>
      <c r="AM39" s="2675"/>
      <c r="AN39" s="2675"/>
      <c r="AO39" s="2675"/>
      <c r="AP39" s="2675"/>
      <c r="AQ39" s="2675"/>
      <c r="AR39" s="2675"/>
      <c r="AS39" s="2675"/>
      <c r="AT39" s="2675"/>
      <c r="AU39" s="2675"/>
      <c r="AV39" s="2675"/>
      <c r="AW39" s="2675"/>
      <c r="AX39" s="2676"/>
      <c r="AY39" s="205" t="s">
        <v>447</v>
      </c>
      <c r="AZ39" s="198" t="s">
        <v>152</v>
      </c>
      <c r="BA39" s="198" t="s">
        <v>38</v>
      </c>
      <c r="BB39" s="198" t="s">
        <v>92</v>
      </c>
      <c r="BC39" s="198" t="s">
        <v>452</v>
      </c>
      <c r="BD39" s="198"/>
      <c r="BE39" s="198" t="s">
        <v>219</v>
      </c>
      <c r="BF39" s="198" t="s">
        <v>438</v>
      </c>
      <c r="BG39" s="217">
        <v>24000</v>
      </c>
      <c r="BH39" s="218">
        <f>BG39-BI39</f>
        <v>0</v>
      </c>
      <c r="BI39" s="219">
        <f t="shared" si="3"/>
        <v>24000</v>
      </c>
      <c r="BJ39" s="219">
        <v>24000</v>
      </c>
      <c r="BK39" s="219"/>
      <c r="BL39" s="219"/>
      <c r="BM39" s="233"/>
      <c r="BN39" s="219"/>
      <c r="BO39" s="219"/>
      <c r="BP39" s="220">
        <f t="shared" si="4"/>
        <v>24000</v>
      </c>
      <c r="BQ39" s="220">
        <v>23999.98</v>
      </c>
      <c r="BR39" s="220">
        <v>0.02</v>
      </c>
      <c r="BS39" s="220"/>
      <c r="BT39" s="229"/>
      <c r="BU39" s="220"/>
      <c r="BV39" s="220"/>
      <c r="BW39" s="220"/>
      <c r="BX39" s="202"/>
      <c r="BY39" s="221">
        <f t="shared" si="5"/>
        <v>24000</v>
      </c>
      <c r="BZ39" s="221">
        <v>23999.98</v>
      </c>
      <c r="CA39" s="221">
        <v>0.02</v>
      </c>
      <c r="CB39" s="221"/>
      <c r="CC39" s="230"/>
      <c r="CD39" s="221"/>
      <c r="CE39" s="221"/>
      <c r="CF39" s="221"/>
      <c r="CG39" s="222"/>
      <c r="CH39" s="220">
        <f t="shared" si="6"/>
        <v>24000</v>
      </c>
      <c r="CI39" s="220">
        <v>23999.8</v>
      </c>
      <c r="CJ39" s="220">
        <v>0.2</v>
      </c>
      <c r="CK39" s="220"/>
      <c r="CL39" s="229"/>
      <c r="CM39" s="220"/>
      <c r="CN39" s="220"/>
      <c r="CO39" s="220"/>
      <c r="CP39" s="202"/>
      <c r="CQ39" s="223">
        <f t="shared" si="7"/>
        <v>24000</v>
      </c>
      <c r="CR39" s="223">
        <v>23999.8</v>
      </c>
      <c r="CS39" s="223"/>
      <c r="CT39" s="223"/>
      <c r="CU39" s="231"/>
      <c r="CV39" s="223"/>
      <c r="CW39" s="223"/>
      <c r="CX39" s="223">
        <v>0.2</v>
      </c>
      <c r="CY39" s="203"/>
      <c r="CZ39" s="224">
        <f t="shared" si="8"/>
        <v>40000</v>
      </c>
      <c r="DA39" s="224">
        <f>'4 (2025)'!J895</f>
        <v>40000</v>
      </c>
      <c r="DB39" s="224"/>
      <c r="DC39" s="224"/>
      <c r="DD39" s="232"/>
      <c r="DE39" s="224"/>
      <c r="DF39" s="224"/>
      <c r="DG39" s="224"/>
      <c r="DH39" s="201"/>
      <c r="DI39" s="225" t="b">
        <f>CZ39='4 (2025)'!J816</f>
        <v>0</v>
      </c>
      <c r="DJ39" s="175" t="b">
        <f t="shared" si="2"/>
        <v>0</v>
      </c>
    </row>
    <row r="40" spans="1:119" ht="12.75" customHeight="1" x14ac:dyDescent="0.2">
      <c r="A40" s="214"/>
      <c r="B40" s="215"/>
      <c r="C40" s="2675" t="s">
        <v>451</v>
      </c>
      <c r="D40" s="2675"/>
      <c r="E40" s="2675"/>
      <c r="F40" s="2675"/>
      <c r="G40" s="2675"/>
      <c r="H40" s="2675"/>
      <c r="I40" s="2675"/>
      <c r="J40" s="2675"/>
      <c r="K40" s="2675"/>
      <c r="L40" s="2675"/>
      <c r="M40" s="2675"/>
      <c r="N40" s="2675"/>
      <c r="O40" s="2675"/>
      <c r="P40" s="2675"/>
      <c r="Q40" s="2675"/>
      <c r="R40" s="2675"/>
      <c r="S40" s="2675"/>
      <c r="T40" s="2675"/>
      <c r="U40" s="2675"/>
      <c r="V40" s="2675"/>
      <c r="W40" s="2675"/>
      <c r="X40" s="2675"/>
      <c r="Y40" s="2675"/>
      <c r="Z40" s="2675"/>
      <c r="AA40" s="2675"/>
      <c r="AB40" s="2675"/>
      <c r="AC40" s="2675"/>
      <c r="AD40" s="2675"/>
      <c r="AE40" s="2675"/>
      <c r="AF40" s="2675"/>
      <c r="AG40" s="2675"/>
      <c r="AH40" s="2675"/>
      <c r="AI40" s="2675"/>
      <c r="AJ40" s="2675"/>
      <c r="AK40" s="2675"/>
      <c r="AL40" s="2675"/>
      <c r="AM40" s="2675"/>
      <c r="AN40" s="2675"/>
      <c r="AO40" s="2675"/>
      <c r="AP40" s="2675"/>
      <c r="AQ40" s="2675"/>
      <c r="AR40" s="2675"/>
      <c r="AS40" s="2675"/>
      <c r="AT40" s="2675"/>
      <c r="AU40" s="2675"/>
      <c r="AV40" s="2675"/>
      <c r="AW40" s="2675"/>
      <c r="AX40" s="2676"/>
      <c r="AY40" s="205" t="s">
        <v>447</v>
      </c>
      <c r="AZ40" s="198" t="s">
        <v>152</v>
      </c>
      <c r="BA40" s="198" t="s">
        <v>38</v>
      </c>
      <c r="BB40" s="216" t="s">
        <v>337</v>
      </c>
      <c r="BC40" s="198" t="s">
        <v>452</v>
      </c>
      <c r="BD40" s="198"/>
      <c r="BE40" s="198" t="s">
        <v>219</v>
      </c>
      <c r="BF40" s="198" t="s">
        <v>422</v>
      </c>
      <c r="BG40" s="217">
        <v>650000.37</v>
      </c>
      <c r="BH40" s="218">
        <f>BG40-BI40</f>
        <v>0</v>
      </c>
      <c r="BI40" s="219">
        <f>BJ40+BK40+BL40+BM40+BN40+BO40</f>
        <v>650000.37</v>
      </c>
      <c r="BJ40" s="219"/>
      <c r="BK40" s="219"/>
      <c r="BL40" s="219">
        <v>600000.37</v>
      </c>
      <c r="BM40" s="233"/>
      <c r="BN40" s="219">
        <v>50000</v>
      </c>
      <c r="BO40" s="219"/>
      <c r="BP40" s="220">
        <f>BQ40+BR40+BS40+BT40+BU40+BV40+BX40+BW40</f>
        <v>650000.37</v>
      </c>
      <c r="BQ40" s="220"/>
      <c r="BR40" s="220"/>
      <c r="BS40" s="220">
        <v>600000.37</v>
      </c>
      <c r="BT40" s="229"/>
      <c r="BU40" s="220">
        <v>50000</v>
      </c>
      <c r="BV40" s="220"/>
      <c r="BW40" s="220"/>
      <c r="BX40" s="202"/>
      <c r="BY40" s="221">
        <f>BZ40+CA40+CB40+CC40+CD40+CE40+CG40+CF40</f>
        <v>650000.37</v>
      </c>
      <c r="BZ40" s="221"/>
      <c r="CA40" s="221"/>
      <c r="CB40" s="221">
        <v>600000.37</v>
      </c>
      <c r="CC40" s="230"/>
      <c r="CD40" s="221">
        <v>50000</v>
      </c>
      <c r="CE40" s="221"/>
      <c r="CF40" s="221"/>
      <c r="CG40" s="222"/>
      <c r="CH40" s="220">
        <f>CI40+CJ40+CK40+CL40+CM40+CN40+CP40+CO40</f>
        <v>650000.37</v>
      </c>
      <c r="CI40" s="220"/>
      <c r="CJ40" s="220"/>
      <c r="CK40" s="220">
        <v>599535</v>
      </c>
      <c r="CL40" s="229"/>
      <c r="CM40" s="220">
        <v>50000</v>
      </c>
      <c r="CN40" s="220"/>
      <c r="CO40" s="220"/>
      <c r="CP40" s="220">
        <v>465.37</v>
      </c>
      <c r="CQ40" s="223">
        <f>SUM(CR40:CY40)</f>
        <v>650000.37</v>
      </c>
      <c r="CR40" s="223">
        <v>50465.37</v>
      </c>
      <c r="CS40" s="223"/>
      <c r="CT40" s="223">
        <v>599535</v>
      </c>
      <c r="CU40" s="231"/>
      <c r="CV40" s="223"/>
      <c r="CW40" s="223"/>
      <c r="CX40" s="223"/>
      <c r="CY40" s="223"/>
      <c r="CZ40" s="224" t="e">
        <f>DA40+DB40+DC40+DD40+DE40+DF40+DH40+DG40</f>
        <v>#REF!</v>
      </c>
      <c r="DA40" s="224"/>
      <c r="DB40" s="224"/>
      <c r="DC40" s="224" t="e">
        <f>'4 (2025)'!#REF!</f>
        <v>#REF!</v>
      </c>
      <c r="DD40" s="232"/>
      <c r="DE40" s="224"/>
      <c r="DF40" s="224"/>
      <c r="DG40" s="224"/>
      <c r="DH40" s="224"/>
      <c r="DI40" s="225" t="e">
        <f>CZ40='4 (2025)'!#REF!</f>
        <v>#REF!</v>
      </c>
      <c r="DJ40" s="175" t="e">
        <f>BI40=CZ40</f>
        <v>#REF!</v>
      </c>
    </row>
    <row r="41" spans="1:119" ht="12.75" customHeight="1" x14ac:dyDescent="0.2">
      <c r="A41" s="214"/>
      <c r="B41" s="215"/>
      <c r="C41" s="2675" t="s">
        <v>451</v>
      </c>
      <c r="D41" s="2675"/>
      <c r="E41" s="2675"/>
      <c r="F41" s="2675"/>
      <c r="G41" s="2675"/>
      <c r="H41" s="2675"/>
      <c r="I41" s="2675"/>
      <c r="J41" s="2675"/>
      <c r="K41" s="2675"/>
      <c r="L41" s="2675"/>
      <c r="M41" s="2675"/>
      <c r="N41" s="2675"/>
      <c r="O41" s="2675"/>
      <c r="P41" s="2675"/>
      <c r="Q41" s="2675"/>
      <c r="R41" s="2675"/>
      <c r="S41" s="2675"/>
      <c r="T41" s="2675"/>
      <c r="U41" s="2675"/>
      <c r="V41" s="2675"/>
      <c r="W41" s="2675"/>
      <c r="X41" s="2675"/>
      <c r="Y41" s="2675"/>
      <c r="Z41" s="2675"/>
      <c r="AA41" s="2675"/>
      <c r="AB41" s="2675"/>
      <c r="AC41" s="2675"/>
      <c r="AD41" s="2675"/>
      <c r="AE41" s="2675"/>
      <c r="AF41" s="2675"/>
      <c r="AG41" s="2675"/>
      <c r="AH41" s="2675"/>
      <c r="AI41" s="2675"/>
      <c r="AJ41" s="2675"/>
      <c r="AK41" s="2675"/>
      <c r="AL41" s="2675"/>
      <c r="AM41" s="2675"/>
      <c r="AN41" s="2675"/>
      <c r="AO41" s="2675"/>
      <c r="AP41" s="2675"/>
      <c r="AQ41" s="2675"/>
      <c r="AR41" s="2675"/>
      <c r="AS41" s="2675"/>
      <c r="AT41" s="2675"/>
      <c r="AU41" s="2675"/>
      <c r="AV41" s="2675"/>
      <c r="AW41" s="2675"/>
      <c r="AX41" s="2676"/>
      <c r="AY41" s="205" t="s">
        <v>447</v>
      </c>
      <c r="AZ41" s="198" t="s">
        <v>152</v>
      </c>
      <c r="BA41" s="198" t="s">
        <v>28</v>
      </c>
      <c r="BB41" s="216" t="s">
        <v>138</v>
      </c>
      <c r="BC41" s="198" t="s">
        <v>452</v>
      </c>
      <c r="BD41" s="198"/>
      <c r="BE41" s="198" t="s">
        <v>219</v>
      </c>
      <c r="BF41" s="198" t="s">
        <v>422</v>
      </c>
      <c r="BG41" s="217">
        <v>650000.37</v>
      </c>
      <c r="BH41" s="218">
        <f>BG41-BI41</f>
        <v>0</v>
      </c>
      <c r="BI41" s="219">
        <f>BJ41+BK41+BL41+BM41+BN41+BO41</f>
        <v>650000.37</v>
      </c>
      <c r="BJ41" s="219"/>
      <c r="BK41" s="219"/>
      <c r="BL41" s="219">
        <v>600000.37</v>
      </c>
      <c r="BM41" s="233"/>
      <c r="BN41" s="219">
        <v>50000</v>
      </c>
      <c r="BO41" s="219"/>
      <c r="BP41" s="220">
        <f>BQ41+BR41+BS41+BT41+BU41+BV41+BX41+BW41</f>
        <v>650000.37</v>
      </c>
      <c r="BQ41" s="220"/>
      <c r="BR41" s="220"/>
      <c r="BS41" s="220">
        <v>600000.37</v>
      </c>
      <c r="BT41" s="229"/>
      <c r="BU41" s="220">
        <v>50000</v>
      </c>
      <c r="BV41" s="220"/>
      <c r="BW41" s="220"/>
      <c r="BX41" s="202"/>
      <c r="BY41" s="221">
        <f>BZ41+CA41+CB41+CC41+CD41+CE41+CG41+CF41</f>
        <v>650000.37</v>
      </c>
      <c r="BZ41" s="221"/>
      <c r="CA41" s="221"/>
      <c r="CB41" s="221">
        <v>600000.37</v>
      </c>
      <c r="CC41" s="230"/>
      <c r="CD41" s="221">
        <v>50000</v>
      </c>
      <c r="CE41" s="221"/>
      <c r="CF41" s="221"/>
      <c r="CG41" s="222"/>
      <c r="CH41" s="220">
        <f>CI41+CJ41+CK41+CL41+CM41+CN41+CP41+CO41</f>
        <v>650000.37</v>
      </c>
      <c r="CI41" s="220"/>
      <c r="CJ41" s="220"/>
      <c r="CK41" s="220">
        <v>599535</v>
      </c>
      <c r="CL41" s="229"/>
      <c r="CM41" s="220">
        <v>50000</v>
      </c>
      <c r="CN41" s="220"/>
      <c r="CO41" s="220"/>
      <c r="CP41" s="220">
        <v>465.37</v>
      </c>
      <c r="CQ41" s="223">
        <f>SUM(CR41:CY41)</f>
        <v>650000.37</v>
      </c>
      <c r="CR41" s="223">
        <v>50465.37</v>
      </c>
      <c r="CS41" s="223"/>
      <c r="CT41" s="223">
        <v>599535</v>
      </c>
      <c r="CU41" s="231"/>
      <c r="CV41" s="223"/>
      <c r="CW41" s="223"/>
      <c r="CX41" s="223"/>
      <c r="CY41" s="223"/>
      <c r="CZ41" s="224" t="e">
        <f>DA41+DB41+DC41+DD41+DE41+DF41+DH41+DG41</f>
        <v>#REF!</v>
      </c>
      <c r="DA41" s="224"/>
      <c r="DB41" s="224"/>
      <c r="DC41" s="224" t="e">
        <f>'4 (2025)'!#REF!+'4 (2025)'!#REF!+'4 (2025)'!#REF!+'4 (2025)'!#REF!</f>
        <v>#REF!</v>
      </c>
      <c r="DD41" s="232"/>
      <c r="DE41" s="224"/>
      <c r="DF41" s="224"/>
      <c r="DG41" s="224"/>
      <c r="DH41" s="224"/>
      <c r="DI41" s="225" t="e">
        <f>CZ41='4 (2025)'!#REF!</f>
        <v>#REF!</v>
      </c>
      <c r="DJ41" s="175" t="e">
        <f>BI41=CZ41</f>
        <v>#REF!</v>
      </c>
    </row>
    <row r="42" spans="1:119" ht="13.5" customHeight="1" thickBot="1" x14ac:dyDescent="0.25">
      <c r="A42" s="214"/>
      <c r="B42" s="215"/>
      <c r="C42" s="2710" t="s">
        <v>451</v>
      </c>
      <c r="D42" s="2710"/>
      <c r="E42" s="2710"/>
      <c r="F42" s="2710"/>
      <c r="G42" s="2710"/>
      <c r="H42" s="2710"/>
      <c r="I42" s="2710"/>
      <c r="J42" s="2710"/>
      <c r="K42" s="2710"/>
      <c r="L42" s="2710"/>
      <c r="M42" s="2710"/>
      <c r="N42" s="2710"/>
      <c r="O42" s="2710"/>
      <c r="P42" s="2710"/>
      <c r="Q42" s="2710"/>
      <c r="R42" s="2710"/>
      <c r="S42" s="2710"/>
      <c r="T42" s="2710"/>
      <c r="U42" s="2710"/>
      <c r="V42" s="2710"/>
      <c r="W42" s="2710"/>
      <c r="X42" s="2710"/>
      <c r="Y42" s="2710"/>
      <c r="Z42" s="2710"/>
      <c r="AA42" s="2710"/>
      <c r="AB42" s="2710"/>
      <c r="AC42" s="2710"/>
      <c r="AD42" s="2710"/>
      <c r="AE42" s="2710"/>
      <c r="AF42" s="2710"/>
      <c r="AG42" s="2710"/>
      <c r="AH42" s="2710"/>
      <c r="AI42" s="2710"/>
      <c r="AJ42" s="2710"/>
      <c r="AK42" s="2710"/>
      <c r="AL42" s="2710"/>
      <c r="AM42" s="2710"/>
      <c r="AN42" s="2710"/>
      <c r="AO42" s="2710"/>
      <c r="AP42" s="2710"/>
      <c r="AQ42" s="2710"/>
      <c r="AR42" s="2710"/>
      <c r="AS42" s="2710"/>
      <c r="AT42" s="2710"/>
      <c r="AU42" s="2710"/>
      <c r="AV42" s="2710"/>
      <c r="AW42" s="2710"/>
      <c r="AX42" s="2711"/>
      <c r="AY42" s="234" t="s">
        <v>447</v>
      </c>
      <c r="AZ42" s="235" t="s">
        <v>152</v>
      </c>
      <c r="BA42" s="235" t="s">
        <v>28</v>
      </c>
      <c r="BB42" s="236" t="s">
        <v>67</v>
      </c>
      <c r="BC42" s="235" t="s">
        <v>452</v>
      </c>
      <c r="BD42" s="235"/>
      <c r="BE42" s="235" t="s">
        <v>219</v>
      </c>
      <c r="BF42" s="235" t="s">
        <v>422</v>
      </c>
      <c r="BG42" s="237">
        <v>1495316.29</v>
      </c>
      <c r="BH42" s="238">
        <f>BG42-BI42</f>
        <v>0</v>
      </c>
      <c r="BI42" s="239">
        <f>BJ42+BK42+BL42+BM42+BN42+BO42</f>
        <v>1495316.29</v>
      </c>
      <c r="BJ42" s="239"/>
      <c r="BK42" s="239"/>
      <c r="BL42" s="239">
        <v>1043390</v>
      </c>
      <c r="BM42" s="269"/>
      <c r="BN42" s="239">
        <v>451926.29</v>
      </c>
      <c r="BO42" s="239"/>
      <c r="BP42" s="240">
        <f>BQ42+BR42+BS42+BT42+BU42+BV42+BX42+BW42</f>
        <v>1495316.29</v>
      </c>
      <c r="BQ42" s="240"/>
      <c r="BR42" s="240"/>
      <c r="BS42" s="240">
        <v>1043390</v>
      </c>
      <c r="BT42" s="270"/>
      <c r="BU42" s="240">
        <v>451926.29</v>
      </c>
      <c r="BV42" s="240"/>
      <c r="BW42" s="240"/>
      <c r="BX42" s="241"/>
      <c r="BY42" s="242">
        <f>BZ42+CA42+CB42+CC42+CD42+CE42+CG42+CF42</f>
        <v>1695316.29</v>
      </c>
      <c r="BZ42" s="242">
        <v>100000</v>
      </c>
      <c r="CA42" s="242"/>
      <c r="CB42" s="385">
        <f>1143390-200000</f>
        <v>943390</v>
      </c>
      <c r="CC42" s="271"/>
      <c r="CD42" s="242">
        <v>451926.29</v>
      </c>
      <c r="CE42" s="242"/>
      <c r="CF42" s="242"/>
      <c r="CG42" s="385">
        <v>200000</v>
      </c>
      <c r="CH42" s="240">
        <f>CI42+CJ42+CK42+CL42+CM42+CN42+CP42+CO42</f>
        <v>1695316.29</v>
      </c>
      <c r="CI42" s="240">
        <v>100000</v>
      </c>
      <c r="CJ42" s="240"/>
      <c r="CK42" s="240">
        <v>1143390</v>
      </c>
      <c r="CL42" s="270"/>
      <c r="CM42" s="240">
        <v>451926.29</v>
      </c>
      <c r="CN42" s="240"/>
      <c r="CO42" s="240"/>
      <c r="CP42" s="241"/>
      <c r="CQ42" s="244">
        <f>SUM(CR42:CY42)</f>
        <v>1695316.29</v>
      </c>
      <c r="CR42" s="244">
        <f>95039.39-92487.1</f>
        <v>2552.29</v>
      </c>
      <c r="CS42" s="244"/>
      <c r="CT42" s="244">
        <f>1600276.9+92487.1</f>
        <v>1692764</v>
      </c>
      <c r="CU42" s="273"/>
      <c r="CV42" s="244"/>
      <c r="CW42" s="244"/>
      <c r="CX42" s="244"/>
      <c r="CY42" s="245"/>
      <c r="CZ42" s="246" t="e">
        <f>DA42+DB42+DC42+DD42+DE42+DF42+DH42+DG42</f>
        <v>#REF!</v>
      </c>
      <c r="DA42" s="246"/>
      <c r="DB42" s="246"/>
      <c r="DC42" s="246" t="e">
        <f>'4 (2025)'!#REF!+'4 (2025)'!#REF!+'4 (2025)'!#REF!+'4 (2025)'!J1007</f>
        <v>#REF!</v>
      </c>
      <c r="DD42" s="274"/>
      <c r="DE42" s="246" t="e">
        <f>'4 (2025)'!#REF!+'4 (2025)'!#REF!+'4 (2025)'!#REF!+'4 (2025)'!#REF!</f>
        <v>#REF!</v>
      </c>
      <c r="DF42" s="246"/>
      <c r="DG42" s="246"/>
      <c r="DH42" s="247"/>
      <c r="DI42" s="225" t="e">
        <f>CZ42='4 (2025)'!J899</f>
        <v>#REF!</v>
      </c>
      <c r="DJ42" s="175" t="e">
        <f>BI42=CZ42</f>
        <v>#REF!</v>
      </c>
    </row>
    <row r="43" spans="1:119" ht="26.25" hidden="1" customHeight="1" thickBot="1" x14ac:dyDescent="0.25">
      <c r="A43" s="214"/>
      <c r="B43" s="215"/>
      <c r="C43" s="2712" t="s">
        <v>453</v>
      </c>
      <c r="D43" s="2712"/>
      <c r="E43" s="2712"/>
      <c r="F43" s="2712"/>
      <c r="G43" s="2712"/>
      <c r="H43" s="2712"/>
      <c r="I43" s="2712"/>
      <c r="J43" s="2712"/>
      <c r="K43" s="2712"/>
      <c r="L43" s="2712"/>
      <c r="M43" s="2712"/>
      <c r="N43" s="2712"/>
      <c r="O43" s="2712"/>
      <c r="P43" s="2712"/>
      <c r="Q43" s="2712"/>
      <c r="R43" s="2712"/>
      <c r="S43" s="2712"/>
      <c r="T43" s="2712"/>
      <c r="U43" s="2712"/>
      <c r="V43" s="2712"/>
      <c r="W43" s="2712"/>
      <c r="X43" s="2712"/>
      <c r="Y43" s="2712"/>
      <c r="Z43" s="2712"/>
      <c r="AA43" s="2712"/>
      <c r="AB43" s="2712"/>
      <c r="AC43" s="2712"/>
      <c r="AD43" s="2712"/>
      <c r="AE43" s="2712"/>
      <c r="AF43" s="2712"/>
      <c r="AG43" s="2712"/>
      <c r="AH43" s="2712"/>
      <c r="AI43" s="2712"/>
      <c r="AJ43" s="2712"/>
      <c r="AK43" s="2712"/>
      <c r="AL43" s="2712"/>
      <c r="AM43" s="2712"/>
      <c r="AN43" s="2712"/>
      <c r="AO43" s="2712"/>
      <c r="AP43" s="2712"/>
      <c r="AQ43" s="2712"/>
      <c r="AR43" s="2712"/>
      <c r="AS43" s="2712"/>
      <c r="AT43" s="2712"/>
      <c r="AU43" s="2712"/>
      <c r="AV43" s="2712"/>
      <c r="AW43" s="2712"/>
      <c r="AX43" s="2713"/>
      <c r="AY43" s="371" t="s">
        <v>420</v>
      </c>
      <c r="AZ43" s="372" t="s">
        <v>152</v>
      </c>
      <c r="BA43" s="372" t="s">
        <v>28</v>
      </c>
      <c r="BB43" s="373" t="s">
        <v>67</v>
      </c>
      <c r="BC43" s="372" t="s">
        <v>454</v>
      </c>
      <c r="BD43" s="372"/>
      <c r="BE43" s="372" t="s">
        <v>219</v>
      </c>
      <c r="BF43" s="372" t="s">
        <v>422</v>
      </c>
      <c r="BG43" s="374">
        <v>167400</v>
      </c>
      <c r="BH43" s="375"/>
      <c r="BI43" s="376">
        <f>BJ43+BK43+BL43+BM43+BN43+BO43</f>
        <v>167400</v>
      </c>
      <c r="BJ43" s="376"/>
      <c r="BK43" s="376"/>
      <c r="BL43" s="376">
        <v>167400</v>
      </c>
      <c r="BM43" s="376"/>
      <c r="BN43" s="376"/>
      <c r="BO43" s="376"/>
      <c r="BP43" s="377">
        <f>BQ43+BR43+BS43+BT43+BU43+BV43+BX43+BW43</f>
        <v>167400</v>
      </c>
      <c r="BQ43" s="377"/>
      <c r="BR43" s="377"/>
      <c r="BS43" s="377">
        <v>167400</v>
      </c>
      <c r="BT43" s="377"/>
      <c r="BU43" s="377"/>
      <c r="BV43" s="377"/>
      <c r="BW43" s="377"/>
      <c r="BX43" s="378"/>
      <c r="BY43" s="379">
        <f>BZ43+CA43+CB43+CC43+CD43+CE43+CG43+CF43</f>
        <v>167400</v>
      </c>
      <c r="BZ43" s="379"/>
      <c r="CA43" s="379"/>
      <c r="CB43" s="379">
        <v>167400</v>
      </c>
      <c r="CC43" s="379"/>
      <c r="CD43" s="379"/>
      <c r="CE43" s="379"/>
      <c r="CF43" s="379"/>
      <c r="CG43" s="380"/>
      <c r="CH43" s="377">
        <f>CI43+CJ43+CK43+CL43+CM43+CN43+CP43+CO43</f>
        <v>167400</v>
      </c>
      <c r="CI43" s="377"/>
      <c r="CJ43" s="377"/>
      <c r="CK43" s="377">
        <v>167400</v>
      </c>
      <c r="CL43" s="377"/>
      <c r="CM43" s="377"/>
      <c r="CN43" s="377"/>
      <c r="CO43" s="377"/>
      <c r="CP43" s="378"/>
      <c r="CQ43" s="381">
        <f>SUM(CR43:CY43)</f>
        <v>167400</v>
      </c>
      <c r="CR43" s="381"/>
      <c r="CS43" s="381"/>
      <c r="CT43" s="381">
        <v>167400</v>
      </c>
      <c r="CU43" s="381"/>
      <c r="CV43" s="381"/>
      <c r="CW43" s="381"/>
      <c r="CX43" s="381"/>
      <c r="CY43" s="382"/>
      <c r="CZ43" s="383">
        <f t="shared" ref="CZ43:CZ83" si="10">DA43+DB43+DC43+DD43+DE43+DF43+DH43+DG43</f>
        <v>0</v>
      </c>
      <c r="DA43" s="383"/>
      <c r="DB43" s="383"/>
      <c r="DC43" s="383"/>
      <c r="DD43" s="383"/>
      <c r="DE43" s="383"/>
      <c r="DF43" s="383"/>
      <c r="DG43" s="383"/>
      <c r="DH43" s="384"/>
      <c r="DI43" s="225"/>
      <c r="DJ43" s="175" t="b">
        <f>BI43=CZ43</f>
        <v>0</v>
      </c>
      <c r="DK43" s="248"/>
      <c r="DL43" s="248"/>
    </row>
    <row r="44" spans="1:119" ht="12.75" hidden="1" customHeight="1" x14ac:dyDescent="0.2">
      <c r="A44" s="214"/>
      <c r="B44" s="215"/>
      <c r="C44" s="2675" t="s">
        <v>455</v>
      </c>
      <c r="D44" s="2675"/>
      <c r="E44" s="2675"/>
      <c r="F44" s="2675"/>
      <c r="G44" s="2675"/>
      <c r="H44" s="2675"/>
      <c r="I44" s="2675"/>
      <c r="J44" s="2675"/>
      <c r="K44" s="2675"/>
      <c r="L44" s="2675"/>
      <c r="M44" s="2675"/>
      <c r="N44" s="2675"/>
      <c r="O44" s="2675"/>
      <c r="P44" s="2675"/>
      <c r="Q44" s="2675"/>
      <c r="R44" s="2675"/>
      <c r="S44" s="2675"/>
      <c r="T44" s="2675"/>
      <c r="U44" s="2675"/>
      <c r="V44" s="2675"/>
      <c r="W44" s="2675"/>
      <c r="X44" s="2675"/>
      <c r="Y44" s="2675"/>
      <c r="Z44" s="2675"/>
      <c r="AA44" s="2675"/>
      <c r="AB44" s="2675"/>
      <c r="AC44" s="2675"/>
      <c r="AD44" s="2675"/>
      <c r="AE44" s="2675"/>
      <c r="AF44" s="2675"/>
      <c r="AG44" s="2675"/>
      <c r="AH44" s="2675"/>
      <c r="AI44" s="2675"/>
      <c r="AJ44" s="2675"/>
      <c r="AK44" s="2675"/>
      <c r="AL44" s="2675"/>
      <c r="AM44" s="2675"/>
      <c r="AN44" s="2675"/>
      <c r="AO44" s="2675"/>
      <c r="AP44" s="2675"/>
      <c r="AQ44" s="2675"/>
      <c r="AR44" s="2675"/>
      <c r="AS44" s="2675"/>
      <c r="AT44" s="2675"/>
      <c r="AU44" s="2675"/>
      <c r="AV44" s="2675"/>
      <c r="AW44" s="2675"/>
      <c r="AX44" s="2676"/>
      <c r="AY44" s="197" t="s">
        <v>444</v>
      </c>
      <c r="AZ44" s="249" t="s">
        <v>152</v>
      </c>
      <c r="BA44" s="249" t="s">
        <v>129</v>
      </c>
      <c r="BB44" s="345" t="s">
        <v>337</v>
      </c>
      <c r="BC44" s="249" t="s">
        <v>421</v>
      </c>
      <c r="BD44" s="249"/>
      <c r="BE44" s="249" t="s">
        <v>219</v>
      </c>
      <c r="BF44" s="249" t="s">
        <v>422</v>
      </c>
      <c r="BG44" s="250"/>
      <c r="BH44" s="251"/>
      <c r="BI44" s="252">
        <f t="shared" si="3"/>
        <v>2000000</v>
      </c>
      <c r="BJ44" s="252"/>
      <c r="BK44" s="252"/>
      <c r="BL44" s="252">
        <v>1000007.93</v>
      </c>
      <c r="BM44" s="253"/>
      <c r="BN44" s="252">
        <v>999992.07</v>
      </c>
      <c r="BO44" s="253"/>
      <c r="BP44" s="254">
        <f t="shared" si="4"/>
        <v>2000000</v>
      </c>
      <c r="BQ44" s="254"/>
      <c r="BR44" s="254"/>
      <c r="BS44" s="254">
        <v>1000000</v>
      </c>
      <c r="BT44" s="255"/>
      <c r="BU44" s="254">
        <v>999992.07</v>
      </c>
      <c r="BV44" s="255"/>
      <c r="BW44" s="255"/>
      <c r="BX44" s="256">
        <v>7.93</v>
      </c>
      <c r="BY44" s="257">
        <f t="shared" si="5"/>
        <v>1999992.07</v>
      </c>
      <c r="BZ44" s="257"/>
      <c r="CA44" s="257"/>
      <c r="CB44" s="257">
        <v>1000000</v>
      </c>
      <c r="CC44" s="258"/>
      <c r="CD44" s="257">
        <v>999992.07</v>
      </c>
      <c r="CE44" s="258"/>
      <c r="CF44" s="258"/>
      <c r="CG44" s="259"/>
      <c r="CH44" s="254">
        <f t="shared" si="6"/>
        <v>1999992.07</v>
      </c>
      <c r="CI44" s="254"/>
      <c r="CJ44" s="254"/>
      <c r="CK44" s="254">
        <v>1000000</v>
      </c>
      <c r="CL44" s="255"/>
      <c r="CM44" s="254">
        <v>999992.07</v>
      </c>
      <c r="CN44" s="255"/>
      <c r="CO44" s="255"/>
      <c r="CP44" s="256"/>
      <c r="CQ44" s="260">
        <f t="shared" si="7"/>
        <v>1999992.07</v>
      </c>
      <c r="CR44" s="260"/>
      <c r="CS44" s="260"/>
      <c r="CT44" s="260">
        <v>1000000</v>
      </c>
      <c r="CU44" s="261"/>
      <c r="CV44" s="260">
        <v>999992.07</v>
      </c>
      <c r="CW44" s="261"/>
      <c r="CX44" s="261"/>
      <c r="CY44" s="262"/>
      <c r="CZ44" s="263">
        <f t="shared" si="10"/>
        <v>0</v>
      </c>
      <c r="DA44" s="263"/>
      <c r="DB44" s="263"/>
      <c r="DC44" s="263"/>
      <c r="DD44" s="264"/>
      <c r="DE44" s="263"/>
      <c r="DF44" s="264"/>
      <c r="DG44" s="263"/>
      <c r="DH44" s="265"/>
      <c r="DI44" s="225"/>
      <c r="DJ44" s="175" t="b">
        <f t="shared" si="2"/>
        <v>0</v>
      </c>
      <c r="DK44" s="248"/>
      <c r="DL44" s="275" t="e">
        <f>SUM(CZ44:CZ53)</f>
        <v>#REF!</v>
      </c>
      <c r="DM44" s="296" t="e">
        <f>#REF!</f>
        <v>#REF!</v>
      </c>
      <c r="DN44" s="175" t="e">
        <f>DL44=DM44</f>
        <v>#REF!</v>
      </c>
      <c r="DO44" s="296" t="e">
        <f>DM44-DL44</f>
        <v>#REF!</v>
      </c>
    </row>
    <row r="45" spans="1:119" ht="12.75" hidden="1" customHeight="1" x14ac:dyDescent="0.2">
      <c r="A45" s="214"/>
      <c r="B45" s="215"/>
      <c r="C45" s="2675" t="s">
        <v>455</v>
      </c>
      <c r="D45" s="2675"/>
      <c r="E45" s="2675"/>
      <c r="F45" s="2675"/>
      <c r="G45" s="2675"/>
      <c r="H45" s="2675"/>
      <c r="I45" s="2675"/>
      <c r="J45" s="2675"/>
      <c r="K45" s="2675"/>
      <c r="L45" s="2675"/>
      <c r="M45" s="2675"/>
      <c r="N45" s="2675"/>
      <c r="O45" s="2675"/>
      <c r="P45" s="2675"/>
      <c r="Q45" s="2675"/>
      <c r="R45" s="2675"/>
      <c r="S45" s="2675"/>
      <c r="T45" s="2675"/>
      <c r="U45" s="2675"/>
      <c r="V45" s="2675"/>
      <c r="W45" s="2675"/>
      <c r="X45" s="2675"/>
      <c r="Y45" s="2675"/>
      <c r="Z45" s="2675"/>
      <c r="AA45" s="2675"/>
      <c r="AB45" s="2675"/>
      <c r="AC45" s="2675"/>
      <c r="AD45" s="2675"/>
      <c r="AE45" s="2675"/>
      <c r="AF45" s="2675"/>
      <c r="AG45" s="2675"/>
      <c r="AH45" s="2675"/>
      <c r="AI45" s="2675"/>
      <c r="AJ45" s="2675"/>
      <c r="AK45" s="2675"/>
      <c r="AL45" s="2675"/>
      <c r="AM45" s="2675"/>
      <c r="AN45" s="2675"/>
      <c r="AO45" s="2675"/>
      <c r="AP45" s="2675"/>
      <c r="AQ45" s="2675"/>
      <c r="AR45" s="2675"/>
      <c r="AS45" s="2675"/>
      <c r="AT45" s="2675"/>
      <c r="AU45" s="2675"/>
      <c r="AV45" s="2675"/>
      <c r="AW45" s="2675"/>
      <c r="AX45" s="2676"/>
      <c r="AY45" s="342" t="s">
        <v>444</v>
      </c>
      <c r="AZ45" s="249" t="s">
        <v>152</v>
      </c>
      <c r="BA45" s="249" t="s">
        <v>129</v>
      </c>
      <c r="BB45" s="266" t="s">
        <v>91</v>
      </c>
      <c r="BC45" s="249" t="s">
        <v>421</v>
      </c>
      <c r="BD45" s="249"/>
      <c r="BE45" s="249" t="s">
        <v>219</v>
      </c>
      <c r="BF45" s="249" t="s">
        <v>422</v>
      </c>
      <c r="BG45" s="250"/>
      <c r="BH45" s="251"/>
      <c r="BI45" s="252">
        <f>BJ45+BK45+BL45+BM45+BN45+BO45</f>
        <v>2000000</v>
      </c>
      <c r="BJ45" s="252"/>
      <c r="BK45" s="252"/>
      <c r="BL45" s="252">
        <v>1000007.93</v>
      </c>
      <c r="BM45" s="253"/>
      <c r="BN45" s="252">
        <v>999992.07</v>
      </c>
      <c r="BO45" s="253"/>
      <c r="BP45" s="254">
        <f>BQ45+BR45+BS45+BT45+BU45+BV45+BX45+BW45</f>
        <v>2000000</v>
      </c>
      <c r="BQ45" s="254"/>
      <c r="BR45" s="254"/>
      <c r="BS45" s="254">
        <v>1000000</v>
      </c>
      <c r="BT45" s="255"/>
      <c r="BU45" s="254">
        <v>999992.07</v>
      </c>
      <c r="BV45" s="255"/>
      <c r="BW45" s="255"/>
      <c r="BX45" s="256">
        <v>7.93</v>
      </c>
      <c r="BY45" s="257">
        <f>BZ45+CA45+CB45+CC45+CD45+CE45+CG45+CF45</f>
        <v>1999992.07</v>
      </c>
      <c r="BZ45" s="257"/>
      <c r="CA45" s="257"/>
      <c r="CB45" s="257">
        <v>1000000</v>
      </c>
      <c r="CC45" s="258"/>
      <c r="CD45" s="257">
        <v>999992.07</v>
      </c>
      <c r="CE45" s="258"/>
      <c r="CF45" s="258"/>
      <c r="CG45" s="259"/>
      <c r="CH45" s="254">
        <f>CI45+CJ45+CK45+CL45+CM45+CN45+CP45+CO45</f>
        <v>1999992.07</v>
      </c>
      <c r="CI45" s="254"/>
      <c r="CJ45" s="254"/>
      <c r="CK45" s="254">
        <v>1000000</v>
      </c>
      <c r="CL45" s="255"/>
      <c r="CM45" s="254">
        <v>999992.07</v>
      </c>
      <c r="CN45" s="255"/>
      <c r="CO45" s="255"/>
      <c r="CP45" s="256"/>
      <c r="CQ45" s="260">
        <f>SUM(CR45:CY45)</f>
        <v>1999992.07</v>
      </c>
      <c r="CR45" s="260"/>
      <c r="CS45" s="260"/>
      <c r="CT45" s="260">
        <v>1000000</v>
      </c>
      <c r="CU45" s="261"/>
      <c r="CV45" s="260">
        <v>999992.07</v>
      </c>
      <c r="CW45" s="261"/>
      <c r="CX45" s="261"/>
      <c r="CY45" s="262"/>
      <c r="CZ45" s="263">
        <f>DA45+DB45+DC45+DD45+DE45+DF45+DH45+DG45</f>
        <v>0</v>
      </c>
      <c r="DA45" s="263"/>
      <c r="DB45" s="263"/>
      <c r="DC45" s="263"/>
      <c r="DD45" s="264"/>
      <c r="DE45" s="263"/>
      <c r="DF45" s="264"/>
      <c r="DG45" s="263"/>
      <c r="DH45" s="265"/>
      <c r="DI45" s="225"/>
      <c r="DJ45" s="175" t="b">
        <f>BI45=CZ45</f>
        <v>0</v>
      </c>
      <c r="DK45" s="248"/>
      <c r="DL45" s="248"/>
    </row>
    <row r="46" spans="1:119" ht="12.75" hidden="1" customHeight="1" x14ac:dyDescent="0.2">
      <c r="A46" s="214"/>
      <c r="B46" s="215"/>
      <c r="C46" s="2675" t="s">
        <v>455</v>
      </c>
      <c r="D46" s="2675"/>
      <c r="E46" s="2675"/>
      <c r="F46" s="2675"/>
      <c r="G46" s="2675"/>
      <c r="H46" s="2675"/>
      <c r="I46" s="2675"/>
      <c r="J46" s="2675"/>
      <c r="K46" s="2675"/>
      <c r="L46" s="2675"/>
      <c r="M46" s="2675"/>
      <c r="N46" s="2675"/>
      <c r="O46" s="2675"/>
      <c r="P46" s="2675"/>
      <c r="Q46" s="2675"/>
      <c r="R46" s="2675"/>
      <c r="S46" s="2675"/>
      <c r="T46" s="2675"/>
      <c r="U46" s="2675"/>
      <c r="V46" s="2675"/>
      <c r="W46" s="2675"/>
      <c r="X46" s="2675"/>
      <c r="Y46" s="2675"/>
      <c r="Z46" s="2675"/>
      <c r="AA46" s="2675"/>
      <c r="AB46" s="2675"/>
      <c r="AC46" s="2675"/>
      <c r="AD46" s="2675"/>
      <c r="AE46" s="2675"/>
      <c r="AF46" s="2675"/>
      <c r="AG46" s="2675"/>
      <c r="AH46" s="2675"/>
      <c r="AI46" s="2675"/>
      <c r="AJ46" s="2675"/>
      <c r="AK46" s="2675"/>
      <c r="AL46" s="2675"/>
      <c r="AM46" s="2675"/>
      <c r="AN46" s="2675"/>
      <c r="AO46" s="2675"/>
      <c r="AP46" s="2675"/>
      <c r="AQ46" s="2675"/>
      <c r="AR46" s="2675"/>
      <c r="AS46" s="2675"/>
      <c r="AT46" s="2675"/>
      <c r="AU46" s="2675"/>
      <c r="AV46" s="2675"/>
      <c r="AW46" s="2675"/>
      <c r="AX46" s="2676"/>
      <c r="AY46" s="197" t="s">
        <v>444</v>
      </c>
      <c r="AZ46" s="249" t="s">
        <v>152</v>
      </c>
      <c r="BA46" s="249" t="s">
        <v>128</v>
      </c>
      <c r="BB46" s="266" t="s">
        <v>67</v>
      </c>
      <c r="BC46" s="249" t="s">
        <v>421</v>
      </c>
      <c r="BD46" s="249"/>
      <c r="BE46" s="249" t="s">
        <v>219</v>
      </c>
      <c r="BF46" s="249" t="s">
        <v>422</v>
      </c>
      <c r="BG46" s="250"/>
      <c r="BH46" s="251"/>
      <c r="BI46" s="252">
        <f t="shared" si="3"/>
        <v>2000000</v>
      </c>
      <c r="BJ46" s="252"/>
      <c r="BK46" s="252"/>
      <c r="BL46" s="252">
        <v>1000007.93</v>
      </c>
      <c r="BM46" s="253"/>
      <c r="BN46" s="252">
        <v>999992.07</v>
      </c>
      <c r="BO46" s="253"/>
      <c r="BP46" s="254">
        <f t="shared" si="4"/>
        <v>2000000</v>
      </c>
      <c r="BQ46" s="254"/>
      <c r="BR46" s="254"/>
      <c r="BS46" s="254">
        <v>1000000</v>
      </c>
      <c r="BT46" s="255"/>
      <c r="BU46" s="254">
        <v>999992.07</v>
      </c>
      <c r="BV46" s="255"/>
      <c r="BW46" s="255"/>
      <c r="BX46" s="256">
        <v>7.93</v>
      </c>
      <c r="BY46" s="257">
        <f t="shared" si="5"/>
        <v>1999992.07</v>
      </c>
      <c r="BZ46" s="257"/>
      <c r="CA46" s="257"/>
      <c r="CB46" s="257">
        <v>1000000</v>
      </c>
      <c r="CC46" s="258"/>
      <c r="CD46" s="257">
        <v>999992.07</v>
      </c>
      <c r="CE46" s="258"/>
      <c r="CF46" s="258"/>
      <c r="CG46" s="259"/>
      <c r="CH46" s="254">
        <f t="shared" si="6"/>
        <v>1999992.07</v>
      </c>
      <c r="CI46" s="254"/>
      <c r="CJ46" s="254"/>
      <c r="CK46" s="254">
        <v>1000000</v>
      </c>
      <c r="CL46" s="255"/>
      <c r="CM46" s="254">
        <v>999992.07</v>
      </c>
      <c r="CN46" s="255"/>
      <c r="CO46" s="255"/>
      <c r="CP46" s="256"/>
      <c r="CQ46" s="260">
        <f t="shared" si="7"/>
        <v>1999992.07</v>
      </c>
      <c r="CR46" s="260"/>
      <c r="CS46" s="260"/>
      <c r="CT46" s="260">
        <v>1000000</v>
      </c>
      <c r="CU46" s="261"/>
      <c r="CV46" s="260">
        <v>999992.07</v>
      </c>
      <c r="CW46" s="261"/>
      <c r="CX46" s="261"/>
      <c r="CY46" s="262"/>
      <c r="CZ46" s="263">
        <f t="shared" si="10"/>
        <v>0</v>
      </c>
      <c r="DA46" s="263"/>
      <c r="DB46" s="263"/>
      <c r="DC46" s="263"/>
      <c r="DD46" s="264"/>
      <c r="DE46" s="263"/>
      <c r="DF46" s="264"/>
      <c r="DG46" s="263"/>
      <c r="DH46" s="265"/>
      <c r="DI46" s="225"/>
      <c r="DJ46" s="175" t="b">
        <f t="shared" si="2"/>
        <v>0</v>
      </c>
      <c r="DK46" s="248"/>
      <c r="DL46" s="248"/>
    </row>
    <row r="47" spans="1:119" ht="12.75" hidden="1" customHeight="1" x14ac:dyDescent="0.2">
      <c r="A47" s="214"/>
      <c r="B47" s="215"/>
      <c r="C47" s="2675" t="s">
        <v>456</v>
      </c>
      <c r="D47" s="2675"/>
      <c r="E47" s="2675"/>
      <c r="F47" s="2675"/>
      <c r="G47" s="2675"/>
      <c r="H47" s="2675"/>
      <c r="I47" s="2675"/>
      <c r="J47" s="2675"/>
      <c r="K47" s="2675"/>
      <c r="L47" s="2675"/>
      <c r="M47" s="2675"/>
      <c r="N47" s="2675"/>
      <c r="O47" s="2675"/>
      <c r="P47" s="2675"/>
      <c r="Q47" s="2675"/>
      <c r="R47" s="2675"/>
      <c r="S47" s="2675"/>
      <c r="T47" s="2675"/>
      <c r="U47" s="2675"/>
      <c r="V47" s="2675"/>
      <c r="W47" s="2675"/>
      <c r="X47" s="2675"/>
      <c r="Y47" s="2675"/>
      <c r="Z47" s="2675"/>
      <c r="AA47" s="2675"/>
      <c r="AB47" s="2675"/>
      <c r="AC47" s="2675"/>
      <c r="AD47" s="2675"/>
      <c r="AE47" s="2675"/>
      <c r="AF47" s="2675"/>
      <c r="AG47" s="2675"/>
      <c r="AH47" s="2675"/>
      <c r="AI47" s="2675"/>
      <c r="AJ47" s="2675"/>
      <c r="AK47" s="2675"/>
      <c r="AL47" s="2675"/>
      <c r="AM47" s="2675"/>
      <c r="AN47" s="2675"/>
      <c r="AO47" s="2675"/>
      <c r="AP47" s="2675"/>
      <c r="AQ47" s="2675"/>
      <c r="AR47" s="2675"/>
      <c r="AS47" s="2675"/>
      <c r="AT47" s="2675"/>
      <c r="AU47" s="2675"/>
      <c r="AV47" s="2675"/>
      <c r="AW47" s="2675"/>
      <c r="AX47" s="2676"/>
      <c r="AY47" s="197" t="s">
        <v>444</v>
      </c>
      <c r="AZ47" s="249" t="s">
        <v>152</v>
      </c>
      <c r="BA47" s="249" t="s">
        <v>129</v>
      </c>
      <c r="BB47" s="267" t="s">
        <v>337</v>
      </c>
      <c r="BC47" s="249" t="s">
        <v>427</v>
      </c>
      <c r="BD47" s="249"/>
      <c r="BE47" s="249" t="s">
        <v>219</v>
      </c>
      <c r="BF47" s="249" t="s">
        <v>422</v>
      </c>
      <c r="BG47" s="250"/>
      <c r="BH47" s="251"/>
      <c r="BI47" s="252">
        <f t="shared" si="3"/>
        <v>2000000</v>
      </c>
      <c r="BJ47" s="252"/>
      <c r="BK47" s="252"/>
      <c r="BL47" s="252">
        <v>1000007.93</v>
      </c>
      <c r="BM47" s="253"/>
      <c r="BN47" s="252">
        <v>999992.07</v>
      </c>
      <c r="BO47" s="253"/>
      <c r="BP47" s="254">
        <f t="shared" si="4"/>
        <v>2000000</v>
      </c>
      <c r="BQ47" s="254"/>
      <c r="BR47" s="254"/>
      <c r="BS47" s="254">
        <v>1000000</v>
      </c>
      <c r="BT47" s="255"/>
      <c r="BU47" s="254">
        <v>999992.07</v>
      </c>
      <c r="BV47" s="255"/>
      <c r="BW47" s="255"/>
      <c r="BX47" s="256">
        <v>7.93</v>
      </c>
      <c r="BY47" s="257">
        <f t="shared" si="5"/>
        <v>1999992.07</v>
      </c>
      <c r="BZ47" s="257"/>
      <c r="CA47" s="257"/>
      <c r="CB47" s="257">
        <v>1000000</v>
      </c>
      <c r="CC47" s="258"/>
      <c r="CD47" s="257">
        <v>999992.07</v>
      </c>
      <c r="CE47" s="258"/>
      <c r="CF47" s="258"/>
      <c r="CG47" s="259"/>
      <c r="CH47" s="254">
        <f t="shared" si="6"/>
        <v>1999992.07</v>
      </c>
      <c r="CI47" s="254"/>
      <c r="CJ47" s="254"/>
      <c r="CK47" s="254">
        <v>1000000</v>
      </c>
      <c r="CL47" s="255"/>
      <c r="CM47" s="254">
        <v>999992.07</v>
      </c>
      <c r="CN47" s="255"/>
      <c r="CO47" s="255"/>
      <c r="CP47" s="256"/>
      <c r="CQ47" s="260">
        <f t="shared" si="7"/>
        <v>1999992.07</v>
      </c>
      <c r="CR47" s="260"/>
      <c r="CS47" s="260"/>
      <c r="CT47" s="260">
        <v>1000000</v>
      </c>
      <c r="CU47" s="261"/>
      <c r="CV47" s="260">
        <v>999992.07</v>
      </c>
      <c r="CW47" s="261"/>
      <c r="CX47" s="261"/>
      <c r="CY47" s="262"/>
      <c r="CZ47" s="263">
        <f t="shared" si="10"/>
        <v>0</v>
      </c>
      <c r="DA47" s="263"/>
      <c r="DB47" s="263"/>
      <c r="DC47" s="263"/>
      <c r="DD47" s="264"/>
      <c r="DE47" s="263"/>
      <c r="DF47" s="264"/>
      <c r="DG47" s="263"/>
      <c r="DH47" s="265"/>
      <c r="DI47" s="225"/>
      <c r="DJ47" s="175" t="b">
        <f t="shared" si="2"/>
        <v>0</v>
      </c>
      <c r="DK47" s="248"/>
      <c r="DL47" s="248"/>
    </row>
    <row r="48" spans="1:119" ht="12.75" hidden="1" customHeight="1" x14ac:dyDescent="0.2">
      <c r="A48" s="214"/>
      <c r="B48" s="215"/>
      <c r="C48" s="2675" t="s">
        <v>456</v>
      </c>
      <c r="D48" s="2675"/>
      <c r="E48" s="2675"/>
      <c r="F48" s="2675"/>
      <c r="G48" s="2675"/>
      <c r="H48" s="2675"/>
      <c r="I48" s="2675"/>
      <c r="J48" s="2675"/>
      <c r="K48" s="2675"/>
      <c r="L48" s="2675"/>
      <c r="M48" s="2675"/>
      <c r="N48" s="2675"/>
      <c r="O48" s="2675"/>
      <c r="P48" s="2675"/>
      <c r="Q48" s="2675"/>
      <c r="R48" s="2675"/>
      <c r="S48" s="2675"/>
      <c r="T48" s="2675"/>
      <c r="U48" s="2675"/>
      <c r="V48" s="2675"/>
      <c r="W48" s="2675"/>
      <c r="X48" s="2675"/>
      <c r="Y48" s="2675"/>
      <c r="Z48" s="2675"/>
      <c r="AA48" s="2675"/>
      <c r="AB48" s="2675"/>
      <c r="AC48" s="2675"/>
      <c r="AD48" s="2675"/>
      <c r="AE48" s="2675"/>
      <c r="AF48" s="2675"/>
      <c r="AG48" s="2675"/>
      <c r="AH48" s="2675"/>
      <c r="AI48" s="2675"/>
      <c r="AJ48" s="2675"/>
      <c r="AK48" s="2675"/>
      <c r="AL48" s="2675"/>
      <c r="AM48" s="2675"/>
      <c r="AN48" s="2675"/>
      <c r="AO48" s="2675"/>
      <c r="AP48" s="2675"/>
      <c r="AQ48" s="2675"/>
      <c r="AR48" s="2675"/>
      <c r="AS48" s="2675"/>
      <c r="AT48" s="2675"/>
      <c r="AU48" s="2675"/>
      <c r="AV48" s="2675"/>
      <c r="AW48" s="2675"/>
      <c r="AX48" s="2676"/>
      <c r="AY48" s="197" t="s">
        <v>444</v>
      </c>
      <c r="AZ48" s="249" t="s">
        <v>152</v>
      </c>
      <c r="BA48" s="249" t="s">
        <v>129</v>
      </c>
      <c r="BB48" s="268" t="s">
        <v>91</v>
      </c>
      <c r="BC48" s="249" t="s">
        <v>427</v>
      </c>
      <c r="BD48" s="249"/>
      <c r="BE48" s="249" t="s">
        <v>219</v>
      </c>
      <c r="BF48" s="249" t="s">
        <v>422</v>
      </c>
      <c r="BG48" s="250"/>
      <c r="BH48" s="251"/>
      <c r="BI48" s="252">
        <f t="shared" si="3"/>
        <v>2000000</v>
      </c>
      <c r="BJ48" s="252"/>
      <c r="BK48" s="252"/>
      <c r="BL48" s="252">
        <v>1000007.93</v>
      </c>
      <c r="BM48" s="253"/>
      <c r="BN48" s="252">
        <v>999992.07</v>
      </c>
      <c r="BO48" s="253"/>
      <c r="BP48" s="254">
        <f t="shared" si="4"/>
        <v>2000000</v>
      </c>
      <c r="BQ48" s="254"/>
      <c r="BR48" s="254"/>
      <c r="BS48" s="254">
        <v>1000000</v>
      </c>
      <c r="BT48" s="255"/>
      <c r="BU48" s="254">
        <v>999992.07</v>
      </c>
      <c r="BV48" s="255"/>
      <c r="BW48" s="255"/>
      <c r="BX48" s="256">
        <v>7.93</v>
      </c>
      <c r="BY48" s="257">
        <f t="shared" si="5"/>
        <v>1999992.07</v>
      </c>
      <c r="BZ48" s="257"/>
      <c r="CA48" s="257"/>
      <c r="CB48" s="257">
        <v>1000000</v>
      </c>
      <c r="CC48" s="258"/>
      <c r="CD48" s="257">
        <v>999992.07</v>
      </c>
      <c r="CE48" s="258"/>
      <c r="CF48" s="258"/>
      <c r="CG48" s="259"/>
      <c r="CH48" s="254">
        <f t="shared" si="6"/>
        <v>1999992.07</v>
      </c>
      <c r="CI48" s="254"/>
      <c r="CJ48" s="254"/>
      <c r="CK48" s="254">
        <v>1000000</v>
      </c>
      <c r="CL48" s="255"/>
      <c r="CM48" s="254">
        <v>999992.07</v>
      </c>
      <c r="CN48" s="255"/>
      <c r="CO48" s="255"/>
      <c r="CP48" s="256"/>
      <c r="CQ48" s="260">
        <f t="shared" si="7"/>
        <v>1999992.07</v>
      </c>
      <c r="CR48" s="260"/>
      <c r="CS48" s="260"/>
      <c r="CT48" s="260">
        <v>1000000</v>
      </c>
      <c r="CU48" s="261"/>
      <c r="CV48" s="260">
        <v>999992.07</v>
      </c>
      <c r="CW48" s="261"/>
      <c r="CX48" s="261"/>
      <c r="CY48" s="262"/>
      <c r="CZ48" s="263">
        <f t="shared" si="10"/>
        <v>0</v>
      </c>
      <c r="DA48" s="263"/>
      <c r="DB48" s="263"/>
      <c r="DC48" s="263"/>
      <c r="DD48" s="264"/>
      <c r="DE48" s="263"/>
      <c r="DF48" s="264"/>
      <c r="DG48" s="263"/>
      <c r="DH48" s="265"/>
      <c r="DI48" s="225"/>
      <c r="DJ48" s="175" t="b">
        <f t="shared" si="2"/>
        <v>0</v>
      </c>
      <c r="DK48" s="248"/>
      <c r="DL48" s="248"/>
    </row>
    <row r="49" spans="1:119" ht="12.75" hidden="1" customHeight="1" x14ac:dyDescent="0.2">
      <c r="A49" s="214"/>
      <c r="B49" s="215"/>
      <c r="C49" s="2675" t="s">
        <v>457</v>
      </c>
      <c r="D49" s="2675"/>
      <c r="E49" s="2675"/>
      <c r="F49" s="2675"/>
      <c r="G49" s="2675"/>
      <c r="H49" s="2675"/>
      <c r="I49" s="2675"/>
      <c r="J49" s="2675"/>
      <c r="K49" s="2675"/>
      <c r="L49" s="2675"/>
      <c r="M49" s="2675"/>
      <c r="N49" s="2675"/>
      <c r="O49" s="2675"/>
      <c r="P49" s="2675"/>
      <c r="Q49" s="2675"/>
      <c r="R49" s="2675"/>
      <c r="S49" s="2675"/>
      <c r="T49" s="2675"/>
      <c r="U49" s="2675"/>
      <c r="V49" s="2675"/>
      <c r="W49" s="2675"/>
      <c r="X49" s="2675"/>
      <c r="Y49" s="2675"/>
      <c r="Z49" s="2675"/>
      <c r="AA49" s="2675"/>
      <c r="AB49" s="2675"/>
      <c r="AC49" s="2675"/>
      <c r="AD49" s="2675"/>
      <c r="AE49" s="2675"/>
      <c r="AF49" s="2675"/>
      <c r="AG49" s="2675"/>
      <c r="AH49" s="2675"/>
      <c r="AI49" s="2675"/>
      <c r="AJ49" s="2675"/>
      <c r="AK49" s="2675"/>
      <c r="AL49" s="2675"/>
      <c r="AM49" s="2675"/>
      <c r="AN49" s="2675"/>
      <c r="AO49" s="2675"/>
      <c r="AP49" s="2675"/>
      <c r="AQ49" s="2675"/>
      <c r="AR49" s="2675"/>
      <c r="AS49" s="2675"/>
      <c r="AT49" s="2675"/>
      <c r="AU49" s="2675"/>
      <c r="AV49" s="2675"/>
      <c r="AW49" s="2675"/>
      <c r="AX49" s="2676"/>
      <c r="AY49" s="197" t="s">
        <v>444</v>
      </c>
      <c r="AZ49" s="249" t="s">
        <v>152</v>
      </c>
      <c r="BA49" s="249" t="s">
        <v>129</v>
      </c>
      <c r="BB49" s="267" t="s">
        <v>337</v>
      </c>
      <c r="BC49" s="249" t="s">
        <v>431</v>
      </c>
      <c r="BD49" s="249"/>
      <c r="BE49" s="249" t="s">
        <v>219</v>
      </c>
      <c r="BF49" s="249" t="s">
        <v>422</v>
      </c>
      <c r="BG49" s="250"/>
      <c r="BH49" s="251"/>
      <c r="BI49" s="252">
        <f t="shared" si="3"/>
        <v>2000000</v>
      </c>
      <c r="BJ49" s="252"/>
      <c r="BK49" s="252"/>
      <c r="BL49" s="252">
        <v>1000007.93</v>
      </c>
      <c r="BM49" s="253"/>
      <c r="BN49" s="252">
        <v>999992.07</v>
      </c>
      <c r="BO49" s="253"/>
      <c r="BP49" s="254">
        <f t="shared" si="4"/>
        <v>2000000</v>
      </c>
      <c r="BQ49" s="254"/>
      <c r="BR49" s="254"/>
      <c r="BS49" s="254">
        <v>1000000</v>
      </c>
      <c r="BT49" s="255"/>
      <c r="BU49" s="254">
        <v>999992.07</v>
      </c>
      <c r="BV49" s="255"/>
      <c r="BW49" s="255"/>
      <c r="BX49" s="256">
        <v>7.93</v>
      </c>
      <c r="BY49" s="257">
        <f t="shared" si="5"/>
        <v>1999992.07</v>
      </c>
      <c r="BZ49" s="257"/>
      <c r="CA49" s="257"/>
      <c r="CB49" s="257">
        <v>1000000</v>
      </c>
      <c r="CC49" s="258"/>
      <c r="CD49" s="257">
        <v>999992.07</v>
      </c>
      <c r="CE49" s="258"/>
      <c r="CF49" s="258"/>
      <c r="CG49" s="259"/>
      <c r="CH49" s="254">
        <f t="shared" si="6"/>
        <v>1999992.07</v>
      </c>
      <c r="CI49" s="254"/>
      <c r="CJ49" s="254"/>
      <c r="CK49" s="254">
        <v>1000000</v>
      </c>
      <c r="CL49" s="255"/>
      <c r="CM49" s="254">
        <v>999992.07</v>
      </c>
      <c r="CN49" s="255"/>
      <c r="CO49" s="255"/>
      <c r="CP49" s="256"/>
      <c r="CQ49" s="260">
        <f t="shared" si="7"/>
        <v>1999992.07</v>
      </c>
      <c r="CR49" s="260"/>
      <c r="CS49" s="260"/>
      <c r="CT49" s="260">
        <v>1000000</v>
      </c>
      <c r="CU49" s="261"/>
      <c r="CV49" s="260">
        <v>999992.07</v>
      </c>
      <c r="CW49" s="261"/>
      <c r="CX49" s="261"/>
      <c r="CY49" s="262"/>
      <c r="CZ49" s="263">
        <f t="shared" si="10"/>
        <v>0</v>
      </c>
      <c r="DA49" s="263"/>
      <c r="DB49" s="263"/>
      <c r="DC49" s="263"/>
      <c r="DD49" s="264"/>
      <c r="DE49" s="263"/>
      <c r="DF49" s="264"/>
      <c r="DG49" s="263"/>
      <c r="DH49" s="265"/>
      <c r="DI49" s="225"/>
      <c r="DJ49" s="175" t="b">
        <f t="shared" si="2"/>
        <v>0</v>
      </c>
      <c r="DK49" s="248"/>
      <c r="DL49" s="248"/>
    </row>
    <row r="50" spans="1:119" ht="12.75" hidden="1" customHeight="1" x14ac:dyDescent="0.2">
      <c r="A50" s="214"/>
      <c r="B50" s="215"/>
      <c r="C50" s="2675" t="s">
        <v>457</v>
      </c>
      <c r="D50" s="2675"/>
      <c r="E50" s="2675"/>
      <c r="F50" s="2675"/>
      <c r="G50" s="2675"/>
      <c r="H50" s="2675"/>
      <c r="I50" s="2675"/>
      <c r="J50" s="2675"/>
      <c r="K50" s="2675"/>
      <c r="L50" s="2675"/>
      <c r="M50" s="2675"/>
      <c r="N50" s="2675"/>
      <c r="O50" s="2675"/>
      <c r="P50" s="2675"/>
      <c r="Q50" s="2675"/>
      <c r="R50" s="2675"/>
      <c r="S50" s="2675"/>
      <c r="T50" s="2675"/>
      <c r="U50" s="2675"/>
      <c r="V50" s="2675"/>
      <c r="W50" s="2675"/>
      <c r="X50" s="2675"/>
      <c r="Y50" s="2675"/>
      <c r="Z50" s="2675"/>
      <c r="AA50" s="2675"/>
      <c r="AB50" s="2675"/>
      <c r="AC50" s="2675"/>
      <c r="AD50" s="2675"/>
      <c r="AE50" s="2675"/>
      <c r="AF50" s="2675"/>
      <c r="AG50" s="2675"/>
      <c r="AH50" s="2675"/>
      <c r="AI50" s="2675"/>
      <c r="AJ50" s="2675"/>
      <c r="AK50" s="2675"/>
      <c r="AL50" s="2675"/>
      <c r="AM50" s="2675"/>
      <c r="AN50" s="2675"/>
      <c r="AO50" s="2675"/>
      <c r="AP50" s="2675"/>
      <c r="AQ50" s="2675"/>
      <c r="AR50" s="2675"/>
      <c r="AS50" s="2675"/>
      <c r="AT50" s="2675"/>
      <c r="AU50" s="2675"/>
      <c r="AV50" s="2675"/>
      <c r="AW50" s="2675"/>
      <c r="AX50" s="2676"/>
      <c r="AY50" s="197" t="s">
        <v>444</v>
      </c>
      <c r="AZ50" s="249" t="s">
        <v>152</v>
      </c>
      <c r="BA50" s="249" t="s">
        <v>129</v>
      </c>
      <c r="BB50" s="268" t="s">
        <v>91</v>
      </c>
      <c r="BC50" s="249" t="s">
        <v>431</v>
      </c>
      <c r="BD50" s="249"/>
      <c r="BE50" s="249" t="s">
        <v>219</v>
      </c>
      <c r="BF50" s="249" t="s">
        <v>422</v>
      </c>
      <c r="BG50" s="250"/>
      <c r="BH50" s="251"/>
      <c r="BI50" s="252">
        <f t="shared" si="3"/>
        <v>2000000</v>
      </c>
      <c r="BJ50" s="252"/>
      <c r="BK50" s="252"/>
      <c r="BL50" s="252">
        <v>1000007.93</v>
      </c>
      <c r="BM50" s="253"/>
      <c r="BN50" s="252">
        <v>999992.07</v>
      </c>
      <c r="BO50" s="253"/>
      <c r="BP50" s="254">
        <f t="shared" si="4"/>
        <v>2000000</v>
      </c>
      <c r="BQ50" s="254"/>
      <c r="BR50" s="254"/>
      <c r="BS50" s="254">
        <v>1000000</v>
      </c>
      <c r="BT50" s="255"/>
      <c r="BU50" s="254">
        <v>999992.07</v>
      </c>
      <c r="BV50" s="255"/>
      <c r="BW50" s="255"/>
      <c r="BX50" s="256">
        <v>7.93</v>
      </c>
      <c r="BY50" s="257">
        <f t="shared" si="5"/>
        <v>1999992.07</v>
      </c>
      <c r="BZ50" s="257"/>
      <c r="CA50" s="257"/>
      <c r="CB50" s="257">
        <v>1000000</v>
      </c>
      <c r="CC50" s="258"/>
      <c r="CD50" s="257">
        <v>999992.07</v>
      </c>
      <c r="CE50" s="258"/>
      <c r="CF50" s="258"/>
      <c r="CG50" s="259"/>
      <c r="CH50" s="254">
        <f t="shared" si="6"/>
        <v>1999992.07</v>
      </c>
      <c r="CI50" s="254"/>
      <c r="CJ50" s="254"/>
      <c r="CK50" s="254">
        <v>1000000</v>
      </c>
      <c r="CL50" s="255"/>
      <c r="CM50" s="254">
        <v>999992.07</v>
      </c>
      <c r="CN50" s="255"/>
      <c r="CO50" s="255"/>
      <c r="CP50" s="256"/>
      <c r="CQ50" s="260">
        <f t="shared" si="7"/>
        <v>1999992.07</v>
      </c>
      <c r="CR50" s="260"/>
      <c r="CS50" s="260"/>
      <c r="CT50" s="260">
        <v>1000000</v>
      </c>
      <c r="CU50" s="261"/>
      <c r="CV50" s="260">
        <v>999992.07</v>
      </c>
      <c r="CW50" s="261"/>
      <c r="CX50" s="261"/>
      <c r="CY50" s="262"/>
      <c r="CZ50" s="263">
        <f t="shared" si="10"/>
        <v>0</v>
      </c>
      <c r="DA50" s="263"/>
      <c r="DB50" s="263"/>
      <c r="DC50" s="263"/>
      <c r="DD50" s="264"/>
      <c r="DE50" s="263"/>
      <c r="DF50" s="264"/>
      <c r="DG50" s="263"/>
      <c r="DH50" s="265"/>
      <c r="DI50" s="225"/>
      <c r="DJ50" s="175" t="b">
        <f t="shared" si="2"/>
        <v>0</v>
      </c>
      <c r="DK50" s="248"/>
      <c r="DL50" s="248"/>
    </row>
    <row r="51" spans="1:119" ht="12.75" customHeight="1" thickBot="1" x14ac:dyDescent="0.25">
      <c r="A51" s="214"/>
      <c r="B51" s="215"/>
      <c r="C51" s="2710" t="s">
        <v>460</v>
      </c>
      <c r="D51" s="2710"/>
      <c r="E51" s="2710"/>
      <c r="F51" s="2710"/>
      <c r="G51" s="2710"/>
      <c r="H51" s="2710"/>
      <c r="I51" s="2710"/>
      <c r="J51" s="2710"/>
      <c r="K51" s="2710"/>
      <c r="L51" s="2710"/>
      <c r="M51" s="2710"/>
      <c r="N51" s="2710"/>
      <c r="O51" s="2710"/>
      <c r="P51" s="2710"/>
      <c r="Q51" s="2710"/>
      <c r="R51" s="2710"/>
      <c r="S51" s="2710"/>
      <c r="T51" s="2710"/>
      <c r="U51" s="2710"/>
      <c r="V51" s="2710"/>
      <c r="W51" s="2710"/>
      <c r="X51" s="2710"/>
      <c r="Y51" s="2710"/>
      <c r="Z51" s="2710"/>
      <c r="AA51" s="2710"/>
      <c r="AB51" s="2710"/>
      <c r="AC51" s="2710"/>
      <c r="AD51" s="2710"/>
      <c r="AE51" s="2710"/>
      <c r="AF51" s="2710"/>
      <c r="AG51" s="2710"/>
      <c r="AH51" s="2710"/>
      <c r="AI51" s="2710"/>
      <c r="AJ51" s="2710"/>
      <c r="AK51" s="2710"/>
      <c r="AL51" s="2710"/>
      <c r="AM51" s="2710"/>
      <c r="AN51" s="2710"/>
      <c r="AO51" s="2710"/>
      <c r="AP51" s="2710"/>
      <c r="AQ51" s="2710"/>
      <c r="AR51" s="2710"/>
      <c r="AS51" s="2710"/>
      <c r="AT51" s="2710"/>
      <c r="AU51" s="2710"/>
      <c r="AV51" s="2710"/>
      <c r="AW51" s="2710"/>
      <c r="AX51" s="2711"/>
      <c r="AY51" s="234" t="s">
        <v>444</v>
      </c>
      <c r="AZ51" s="235" t="s">
        <v>152</v>
      </c>
      <c r="BA51" s="235" t="s">
        <v>129</v>
      </c>
      <c r="BB51" s="236" t="s">
        <v>91</v>
      </c>
      <c r="BC51" s="235" t="s">
        <v>435</v>
      </c>
      <c r="BD51" s="235"/>
      <c r="BE51" s="235" t="s">
        <v>219</v>
      </c>
      <c r="BF51" s="235" t="s">
        <v>422</v>
      </c>
      <c r="BG51" s="237"/>
      <c r="BH51" s="238"/>
      <c r="BI51" s="239">
        <f>BJ51+BK51+BL51+BM51+BN51+BO51</f>
        <v>2000000</v>
      </c>
      <c r="BJ51" s="239"/>
      <c r="BK51" s="239"/>
      <c r="BL51" s="239">
        <v>1000007.93</v>
      </c>
      <c r="BM51" s="269"/>
      <c r="BN51" s="239">
        <v>999992.07</v>
      </c>
      <c r="BO51" s="269"/>
      <c r="BP51" s="240">
        <f>BQ51+BR51+BS51+BT51+BU51+BV51+BX51+BW51</f>
        <v>2000000</v>
      </c>
      <c r="BQ51" s="240"/>
      <c r="BR51" s="240"/>
      <c r="BS51" s="240">
        <v>1000000</v>
      </c>
      <c r="BT51" s="270"/>
      <c r="BU51" s="240">
        <v>999992.07</v>
      </c>
      <c r="BV51" s="270"/>
      <c r="BW51" s="270"/>
      <c r="BX51" s="241">
        <v>7.93</v>
      </c>
      <c r="BY51" s="242">
        <f>BZ51+CA51+CB51+CC51+CD51+CE51+CG51+CF51</f>
        <v>1999992.07</v>
      </c>
      <c r="BZ51" s="242"/>
      <c r="CA51" s="242"/>
      <c r="CB51" s="242">
        <v>1000000</v>
      </c>
      <c r="CC51" s="271"/>
      <c r="CD51" s="242">
        <v>999992.07</v>
      </c>
      <c r="CE51" s="271"/>
      <c r="CF51" s="271"/>
      <c r="CG51" s="243"/>
      <c r="CH51" s="240">
        <f>CI51+CJ51+CK51+CL51+CM51+CN51+CP51+CO51</f>
        <v>1999992.07</v>
      </c>
      <c r="CI51" s="240"/>
      <c r="CJ51" s="240"/>
      <c r="CK51" s="240">
        <v>1000000</v>
      </c>
      <c r="CL51" s="270"/>
      <c r="CM51" s="240">
        <v>999992.07</v>
      </c>
      <c r="CN51" s="270"/>
      <c r="CO51" s="270"/>
      <c r="CP51" s="241"/>
      <c r="CQ51" s="244">
        <f>SUM(CR51:CY51)</f>
        <v>1999992.07</v>
      </c>
      <c r="CR51" s="244"/>
      <c r="CS51" s="244"/>
      <c r="CT51" s="244">
        <v>1000000</v>
      </c>
      <c r="CU51" s="273"/>
      <c r="CV51" s="244">
        <v>999992.07</v>
      </c>
      <c r="CW51" s="273"/>
      <c r="CX51" s="273"/>
      <c r="CY51" s="245"/>
      <c r="CZ51" s="246" t="e">
        <f>DA51+DB51+DC51+DD51+DE51+DF51+DH51+DG51</f>
        <v>#REF!</v>
      </c>
      <c r="DA51" s="246" t="e">
        <f>#REF!</f>
        <v>#REF!</v>
      </c>
      <c r="DB51" s="246"/>
      <c r="DC51" s="246"/>
      <c r="DD51" s="274"/>
      <c r="DE51" s="246"/>
      <c r="DF51" s="274"/>
      <c r="DG51" s="246"/>
      <c r="DH51" s="247"/>
      <c r="DI51" s="225" t="e">
        <f>CZ51=#REF!</f>
        <v>#REF!</v>
      </c>
      <c r="DJ51" s="175" t="e">
        <f>BI51=CZ51</f>
        <v>#REF!</v>
      </c>
      <c r="DK51" s="248"/>
      <c r="DL51" s="248"/>
    </row>
    <row r="52" spans="1:119" ht="12.75" hidden="1" x14ac:dyDescent="0.2">
      <c r="A52" s="214"/>
      <c r="B52" s="215"/>
      <c r="C52" s="2708" t="s">
        <v>458</v>
      </c>
      <c r="D52" s="2708"/>
      <c r="E52" s="2708"/>
      <c r="F52" s="2708"/>
      <c r="G52" s="2708"/>
      <c r="H52" s="2708"/>
      <c r="I52" s="2708"/>
      <c r="J52" s="2708"/>
      <c r="K52" s="2708"/>
      <c r="L52" s="2708"/>
      <c r="M52" s="2708"/>
      <c r="N52" s="2708"/>
      <c r="O52" s="2708"/>
      <c r="P52" s="2708"/>
      <c r="Q52" s="2708"/>
      <c r="R52" s="2708"/>
      <c r="S52" s="2708"/>
      <c r="T52" s="2708"/>
      <c r="U52" s="2708"/>
      <c r="V52" s="2708"/>
      <c r="W52" s="2708"/>
      <c r="X52" s="2708"/>
      <c r="Y52" s="2708"/>
      <c r="Z52" s="2708"/>
      <c r="AA52" s="2708"/>
      <c r="AB52" s="2708"/>
      <c r="AC52" s="2708"/>
      <c r="AD52" s="2708"/>
      <c r="AE52" s="2708"/>
      <c r="AF52" s="2708"/>
      <c r="AG52" s="2708"/>
      <c r="AH52" s="2708"/>
      <c r="AI52" s="2708"/>
      <c r="AJ52" s="2708"/>
      <c r="AK52" s="2708"/>
      <c r="AL52" s="2708"/>
      <c r="AM52" s="2708"/>
      <c r="AN52" s="2708"/>
      <c r="AO52" s="2708"/>
      <c r="AP52" s="2708"/>
      <c r="AQ52" s="2708"/>
      <c r="AR52" s="2708"/>
      <c r="AS52" s="2708"/>
      <c r="AT52" s="2708"/>
      <c r="AU52" s="2708"/>
      <c r="AV52" s="2708"/>
      <c r="AW52" s="2708"/>
      <c r="AX52" s="2709"/>
      <c r="AY52" s="197" t="s">
        <v>444</v>
      </c>
      <c r="AZ52" s="249" t="s">
        <v>152</v>
      </c>
      <c r="BA52" s="249" t="s">
        <v>128</v>
      </c>
      <c r="BB52" s="268" t="s">
        <v>67</v>
      </c>
      <c r="BC52" s="249" t="s">
        <v>445</v>
      </c>
      <c r="BD52" s="249"/>
      <c r="BE52" s="249" t="s">
        <v>219</v>
      </c>
      <c r="BF52" s="249" t="s">
        <v>422</v>
      </c>
      <c r="BG52" s="250"/>
      <c r="BH52" s="251"/>
      <c r="BI52" s="252">
        <f t="shared" si="3"/>
        <v>2000000</v>
      </c>
      <c r="BJ52" s="252"/>
      <c r="BK52" s="252"/>
      <c r="BL52" s="252">
        <v>1000007.93</v>
      </c>
      <c r="BM52" s="253"/>
      <c r="BN52" s="252">
        <v>999992.07</v>
      </c>
      <c r="BO52" s="253"/>
      <c r="BP52" s="254">
        <f t="shared" si="4"/>
        <v>2000000</v>
      </c>
      <c r="BQ52" s="254"/>
      <c r="BR52" s="254"/>
      <c r="BS52" s="254">
        <v>1000000</v>
      </c>
      <c r="BT52" s="255"/>
      <c r="BU52" s="254">
        <v>999992.07</v>
      </c>
      <c r="BV52" s="255"/>
      <c r="BW52" s="255"/>
      <c r="BX52" s="256">
        <v>7.93</v>
      </c>
      <c r="BY52" s="257">
        <f t="shared" si="5"/>
        <v>1999992.07</v>
      </c>
      <c r="BZ52" s="257"/>
      <c r="CA52" s="257"/>
      <c r="CB52" s="257">
        <v>1000000</v>
      </c>
      <c r="CC52" s="258"/>
      <c r="CD52" s="257">
        <v>999992.07</v>
      </c>
      <c r="CE52" s="258"/>
      <c r="CF52" s="258"/>
      <c r="CG52" s="259"/>
      <c r="CH52" s="254">
        <f t="shared" si="6"/>
        <v>1999992.07</v>
      </c>
      <c r="CI52" s="254"/>
      <c r="CJ52" s="254"/>
      <c r="CK52" s="254">
        <v>1000000</v>
      </c>
      <c r="CL52" s="255"/>
      <c r="CM52" s="254">
        <v>999992.07</v>
      </c>
      <c r="CN52" s="255"/>
      <c r="CO52" s="255"/>
      <c r="CP52" s="256"/>
      <c r="CQ52" s="260">
        <f t="shared" si="7"/>
        <v>1999992.07</v>
      </c>
      <c r="CR52" s="260"/>
      <c r="CS52" s="260"/>
      <c r="CT52" s="260">
        <v>1000000</v>
      </c>
      <c r="CU52" s="261"/>
      <c r="CV52" s="260">
        <v>999992.07</v>
      </c>
      <c r="CW52" s="261"/>
      <c r="CX52" s="261"/>
      <c r="CY52" s="262"/>
      <c r="CZ52" s="263">
        <f t="shared" si="10"/>
        <v>0</v>
      </c>
      <c r="DA52" s="263"/>
      <c r="DB52" s="263"/>
      <c r="DC52" s="263"/>
      <c r="DD52" s="264"/>
      <c r="DE52" s="263"/>
      <c r="DF52" s="264"/>
      <c r="DG52" s="264"/>
      <c r="DH52" s="265"/>
      <c r="DI52" s="225"/>
      <c r="DJ52" s="175" t="b">
        <f t="shared" si="2"/>
        <v>0</v>
      </c>
      <c r="DK52" s="248"/>
      <c r="DL52" s="248"/>
    </row>
    <row r="53" spans="1:119" ht="13.5" hidden="1" thickBot="1" x14ac:dyDescent="0.25">
      <c r="A53" s="214"/>
      <c r="B53" s="215"/>
      <c r="C53" s="2710" t="s">
        <v>459</v>
      </c>
      <c r="D53" s="2710"/>
      <c r="E53" s="2710"/>
      <c r="F53" s="2710"/>
      <c r="G53" s="2710"/>
      <c r="H53" s="2710"/>
      <c r="I53" s="2710"/>
      <c r="J53" s="2710"/>
      <c r="K53" s="2710"/>
      <c r="L53" s="2710"/>
      <c r="M53" s="2710"/>
      <c r="N53" s="2710"/>
      <c r="O53" s="2710"/>
      <c r="P53" s="2710"/>
      <c r="Q53" s="2710"/>
      <c r="R53" s="2710"/>
      <c r="S53" s="2710"/>
      <c r="T53" s="2710"/>
      <c r="U53" s="2710"/>
      <c r="V53" s="2710"/>
      <c r="W53" s="2710"/>
      <c r="X53" s="2710"/>
      <c r="Y53" s="2710"/>
      <c r="Z53" s="2710"/>
      <c r="AA53" s="2710"/>
      <c r="AB53" s="2710"/>
      <c r="AC53" s="2710"/>
      <c r="AD53" s="2710"/>
      <c r="AE53" s="2710"/>
      <c r="AF53" s="2710"/>
      <c r="AG53" s="2710"/>
      <c r="AH53" s="2710"/>
      <c r="AI53" s="2710"/>
      <c r="AJ53" s="2710"/>
      <c r="AK53" s="2710"/>
      <c r="AL53" s="2710"/>
      <c r="AM53" s="2710"/>
      <c r="AN53" s="2710"/>
      <c r="AO53" s="2710"/>
      <c r="AP53" s="2710"/>
      <c r="AQ53" s="2710"/>
      <c r="AR53" s="2710"/>
      <c r="AS53" s="2710"/>
      <c r="AT53" s="2710"/>
      <c r="AU53" s="2710"/>
      <c r="AV53" s="2710"/>
      <c r="AW53" s="2710"/>
      <c r="AX53" s="2711"/>
      <c r="AY53" s="234" t="s">
        <v>447</v>
      </c>
      <c r="AZ53" s="235" t="s">
        <v>152</v>
      </c>
      <c r="BA53" s="235" t="s">
        <v>129</v>
      </c>
      <c r="BB53" s="236" t="s">
        <v>91</v>
      </c>
      <c r="BC53" s="235" t="s">
        <v>448</v>
      </c>
      <c r="BD53" s="235"/>
      <c r="BE53" s="235" t="s">
        <v>219</v>
      </c>
      <c r="BF53" s="235" t="s">
        <v>422</v>
      </c>
      <c r="BG53" s="237"/>
      <c r="BH53" s="238"/>
      <c r="BI53" s="239">
        <f t="shared" si="3"/>
        <v>28774.45</v>
      </c>
      <c r="BJ53" s="239">
        <v>28774.45</v>
      </c>
      <c r="BK53" s="239"/>
      <c r="BL53" s="239"/>
      <c r="BM53" s="269"/>
      <c r="BN53" s="239"/>
      <c r="BO53" s="239"/>
      <c r="BP53" s="240">
        <f t="shared" si="4"/>
        <v>28774.45</v>
      </c>
      <c r="BQ53" s="240">
        <v>28774.45</v>
      </c>
      <c r="BR53" s="240"/>
      <c r="BS53" s="240"/>
      <c r="BT53" s="270"/>
      <c r="BU53" s="240"/>
      <c r="BV53" s="240"/>
      <c r="BW53" s="240"/>
      <c r="BX53" s="241"/>
      <c r="BY53" s="242">
        <f t="shared" si="5"/>
        <v>28774.45</v>
      </c>
      <c r="BZ53" s="242">
        <v>28774.45</v>
      </c>
      <c r="CA53" s="242"/>
      <c r="CB53" s="242"/>
      <c r="CC53" s="271"/>
      <c r="CD53" s="242"/>
      <c r="CE53" s="242"/>
      <c r="CF53" s="242"/>
      <c r="CG53" s="243"/>
      <c r="CH53" s="240">
        <f t="shared" si="6"/>
        <v>28774.45</v>
      </c>
      <c r="CI53" s="240">
        <v>28774.45</v>
      </c>
      <c r="CJ53" s="240"/>
      <c r="CK53" s="240"/>
      <c r="CL53" s="270"/>
      <c r="CM53" s="240"/>
      <c r="CN53" s="240"/>
      <c r="CO53" s="240"/>
      <c r="CP53" s="241"/>
      <c r="CQ53" s="272">
        <f t="shared" si="7"/>
        <v>28774.45</v>
      </c>
      <c r="CR53" s="244">
        <v>28774.45</v>
      </c>
      <c r="CS53" s="244"/>
      <c r="CT53" s="244"/>
      <c r="CU53" s="273"/>
      <c r="CV53" s="244"/>
      <c r="CW53" s="244"/>
      <c r="CX53" s="244"/>
      <c r="CY53" s="245"/>
      <c r="CZ53" s="246">
        <f t="shared" si="10"/>
        <v>0</v>
      </c>
      <c r="DA53" s="246"/>
      <c r="DB53" s="246"/>
      <c r="DC53" s="246"/>
      <c r="DD53" s="274"/>
      <c r="DE53" s="246"/>
      <c r="DF53" s="246"/>
      <c r="DG53" s="246"/>
      <c r="DH53" s="247"/>
      <c r="DI53" s="225"/>
      <c r="DJ53" s="175" t="b">
        <f t="shared" si="2"/>
        <v>0</v>
      </c>
      <c r="DK53" s="248"/>
      <c r="DL53" s="248"/>
    </row>
    <row r="54" spans="1:119" ht="12.75" hidden="1" x14ac:dyDescent="0.2">
      <c r="A54" s="214"/>
      <c r="B54" s="215"/>
      <c r="C54" s="2708" t="s">
        <v>457</v>
      </c>
      <c r="D54" s="2708"/>
      <c r="E54" s="2708"/>
      <c r="F54" s="2708"/>
      <c r="G54" s="2708"/>
      <c r="H54" s="2708"/>
      <c r="I54" s="2708"/>
      <c r="J54" s="2708"/>
      <c r="K54" s="2708"/>
      <c r="L54" s="2708"/>
      <c r="M54" s="2708"/>
      <c r="N54" s="2708"/>
      <c r="O54" s="2708"/>
      <c r="P54" s="2708"/>
      <c r="Q54" s="2708"/>
      <c r="R54" s="2708"/>
      <c r="S54" s="2708"/>
      <c r="T54" s="2708"/>
      <c r="U54" s="2708"/>
      <c r="V54" s="2708"/>
      <c r="W54" s="2708"/>
      <c r="X54" s="2708"/>
      <c r="Y54" s="2708"/>
      <c r="Z54" s="2708"/>
      <c r="AA54" s="2708"/>
      <c r="AB54" s="2708"/>
      <c r="AC54" s="2708"/>
      <c r="AD54" s="2708"/>
      <c r="AE54" s="2708"/>
      <c r="AF54" s="2708"/>
      <c r="AG54" s="2708"/>
      <c r="AH54" s="2708"/>
      <c r="AI54" s="2708"/>
      <c r="AJ54" s="2708"/>
      <c r="AK54" s="2708"/>
      <c r="AL54" s="2708"/>
      <c r="AM54" s="2708"/>
      <c r="AN54" s="2708"/>
      <c r="AO54" s="2708"/>
      <c r="AP54" s="2708"/>
      <c r="AQ54" s="2708"/>
      <c r="AR54" s="2708"/>
      <c r="AS54" s="2708"/>
      <c r="AT54" s="2708"/>
      <c r="AU54" s="2708"/>
      <c r="AV54" s="2708"/>
      <c r="AW54" s="2708"/>
      <c r="AX54" s="2709"/>
      <c r="AY54" s="197" t="s">
        <v>434</v>
      </c>
      <c r="AZ54" s="249" t="s">
        <v>152</v>
      </c>
      <c r="BA54" s="249" t="s">
        <v>133</v>
      </c>
      <c r="BB54" s="249" t="s">
        <v>91</v>
      </c>
      <c r="BC54" s="249" t="s">
        <v>431</v>
      </c>
      <c r="BD54" s="249"/>
      <c r="BE54" s="249" t="s">
        <v>362</v>
      </c>
      <c r="BF54" s="249" t="s">
        <v>422</v>
      </c>
      <c r="BG54" s="250">
        <v>12450</v>
      </c>
      <c r="BH54" s="251">
        <f>BG54-BI54</f>
        <v>0</v>
      </c>
      <c r="BI54" s="252">
        <f t="shared" si="3"/>
        <v>12450</v>
      </c>
      <c r="BJ54" s="252">
        <v>12450</v>
      </c>
      <c r="BK54" s="252"/>
      <c r="BL54" s="252"/>
      <c r="BM54" s="252"/>
      <c r="BN54" s="252"/>
      <c r="BO54" s="252"/>
      <c r="BP54" s="254">
        <f t="shared" si="4"/>
        <v>12450</v>
      </c>
      <c r="BQ54" s="254">
        <v>12450</v>
      </c>
      <c r="BR54" s="254"/>
      <c r="BS54" s="254"/>
      <c r="BT54" s="254"/>
      <c r="BU54" s="254"/>
      <c r="BV54" s="254"/>
      <c r="BW54" s="254"/>
      <c r="BX54" s="256"/>
      <c r="BY54" s="257">
        <f t="shared" si="5"/>
        <v>12450</v>
      </c>
      <c r="BZ54" s="257">
        <v>12450</v>
      </c>
      <c r="CA54" s="257"/>
      <c r="CB54" s="257"/>
      <c r="CC54" s="257"/>
      <c r="CD54" s="257"/>
      <c r="CE54" s="257"/>
      <c r="CF54" s="257"/>
      <c r="CG54" s="259"/>
      <c r="CH54" s="254">
        <f t="shared" si="6"/>
        <v>12450</v>
      </c>
      <c r="CI54" s="254">
        <v>12450</v>
      </c>
      <c r="CJ54" s="254"/>
      <c r="CK54" s="254"/>
      <c r="CL54" s="254"/>
      <c r="CM54" s="254"/>
      <c r="CN54" s="254"/>
      <c r="CO54" s="254"/>
      <c r="CP54" s="256"/>
      <c r="CQ54" s="272">
        <f t="shared" si="7"/>
        <v>12450</v>
      </c>
      <c r="CR54" s="260">
        <v>12450</v>
      </c>
      <c r="CS54" s="260"/>
      <c r="CT54" s="260"/>
      <c r="CU54" s="260"/>
      <c r="CV54" s="260"/>
      <c r="CW54" s="260"/>
      <c r="CX54" s="260"/>
      <c r="CY54" s="262"/>
      <c r="CZ54" s="263">
        <f t="shared" si="10"/>
        <v>0</v>
      </c>
      <c r="DA54" s="263"/>
      <c r="DB54" s="263"/>
      <c r="DC54" s="263"/>
      <c r="DD54" s="263"/>
      <c r="DE54" s="263"/>
      <c r="DF54" s="263"/>
      <c r="DG54" s="263"/>
      <c r="DH54" s="265"/>
      <c r="DI54" s="225"/>
      <c r="DJ54" s="175" t="b">
        <f t="shared" si="2"/>
        <v>0</v>
      </c>
      <c r="DK54" s="275"/>
      <c r="DL54" s="275" t="e">
        <f>SUM(CZ54:CZ83)</f>
        <v>#REF!</v>
      </c>
      <c r="DM54" s="296" t="e">
        <f>#REF!</f>
        <v>#REF!</v>
      </c>
      <c r="DN54" s="175" t="e">
        <f>DL54=DM54</f>
        <v>#REF!</v>
      </c>
      <c r="DO54" s="296" t="e">
        <f>DM54-DL54</f>
        <v>#REF!</v>
      </c>
    </row>
    <row r="55" spans="1:119" ht="12.75" hidden="1" x14ac:dyDescent="0.2">
      <c r="A55" s="214"/>
      <c r="B55" s="215"/>
      <c r="C55" s="2708" t="s">
        <v>456</v>
      </c>
      <c r="D55" s="2708"/>
      <c r="E55" s="2708"/>
      <c r="F55" s="2708"/>
      <c r="G55" s="2708"/>
      <c r="H55" s="2708"/>
      <c r="I55" s="2708"/>
      <c r="J55" s="2708"/>
      <c r="K55" s="2708"/>
      <c r="L55" s="2708"/>
      <c r="M55" s="2708"/>
      <c r="N55" s="2708"/>
      <c r="O55" s="2708"/>
      <c r="P55" s="2708"/>
      <c r="Q55" s="2708"/>
      <c r="R55" s="2708"/>
      <c r="S55" s="2708"/>
      <c r="T55" s="2708"/>
      <c r="U55" s="2708"/>
      <c r="V55" s="2708"/>
      <c r="W55" s="2708"/>
      <c r="X55" s="2708"/>
      <c r="Y55" s="2708"/>
      <c r="Z55" s="2708"/>
      <c r="AA55" s="2708"/>
      <c r="AB55" s="2708"/>
      <c r="AC55" s="2708"/>
      <c r="AD55" s="2708"/>
      <c r="AE55" s="2708"/>
      <c r="AF55" s="2708"/>
      <c r="AG55" s="2708"/>
      <c r="AH55" s="2708"/>
      <c r="AI55" s="2708"/>
      <c r="AJ55" s="2708"/>
      <c r="AK55" s="2708"/>
      <c r="AL55" s="2708"/>
      <c r="AM55" s="2708"/>
      <c r="AN55" s="2708"/>
      <c r="AO55" s="2708"/>
      <c r="AP55" s="2708"/>
      <c r="AQ55" s="2708"/>
      <c r="AR55" s="2708"/>
      <c r="AS55" s="2708"/>
      <c r="AT55" s="2708"/>
      <c r="AU55" s="2708"/>
      <c r="AV55" s="2708"/>
      <c r="AW55" s="2708"/>
      <c r="AX55" s="2709"/>
      <c r="AY55" s="352"/>
      <c r="AZ55" s="249" t="s">
        <v>152</v>
      </c>
      <c r="BA55" s="276" t="s">
        <v>508</v>
      </c>
      <c r="BB55" s="353" t="s">
        <v>337</v>
      </c>
      <c r="BC55" s="249" t="s">
        <v>427</v>
      </c>
      <c r="BD55" s="249"/>
      <c r="BE55" s="249" t="s">
        <v>362</v>
      </c>
      <c r="BF55" s="249" t="s">
        <v>422</v>
      </c>
      <c r="BG55" s="250"/>
      <c r="BH55" s="251"/>
      <c r="BI55" s="295"/>
      <c r="BJ55" s="252"/>
      <c r="BK55" s="252"/>
      <c r="BL55" s="252"/>
      <c r="BM55" s="295"/>
      <c r="BN55" s="252"/>
      <c r="BO55" s="252"/>
      <c r="BP55" s="254"/>
      <c r="BQ55" s="254"/>
      <c r="BR55" s="254"/>
      <c r="BS55" s="254"/>
      <c r="BT55" s="254"/>
      <c r="BU55" s="254"/>
      <c r="BV55" s="254"/>
      <c r="BW55" s="254"/>
      <c r="BX55" s="256"/>
      <c r="BY55" s="257"/>
      <c r="BZ55" s="257"/>
      <c r="CA55" s="257"/>
      <c r="CB55" s="257"/>
      <c r="CC55" s="257"/>
      <c r="CD55" s="257"/>
      <c r="CE55" s="257"/>
      <c r="CF55" s="257"/>
      <c r="CG55" s="259"/>
      <c r="CH55" s="254"/>
      <c r="CI55" s="254"/>
      <c r="CJ55" s="254"/>
      <c r="CK55" s="254"/>
      <c r="CL55" s="254"/>
      <c r="CM55" s="254"/>
      <c r="CN55" s="254"/>
      <c r="CO55" s="254"/>
      <c r="CP55" s="256"/>
      <c r="CQ55" s="272"/>
      <c r="CR55" s="260"/>
      <c r="CS55" s="260"/>
      <c r="CT55" s="260"/>
      <c r="CU55" s="260"/>
      <c r="CV55" s="260"/>
      <c r="CW55" s="260"/>
      <c r="CX55" s="260"/>
      <c r="CY55" s="262"/>
      <c r="CZ55" s="285" t="e">
        <f t="shared" si="10"/>
        <v>#REF!</v>
      </c>
      <c r="DA55" s="263"/>
      <c r="DB55" s="263"/>
      <c r="DC55" s="263"/>
      <c r="DD55" s="263"/>
      <c r="DE55" s="263" t="e">
        <f>'4 (2025)'!#REF!</f>
        <v>#REF!</v>
      </c>
      <c r="DF55" s="263"/>
      <c r="DG55" s="263"/>
      <c r="DH55" s="265"/>
      <c r="DI55" s="225" t="e">
        <f>CZ55=#REF!</f>
        <v>#REF!</v>
      </c>
      <c r="DK55" s="296"/>
    </row>
    <row r="56" spans="1:119" ht="12.75" hidden="1" x14ac:dyDescent="0.2">
      <c r="A56" s="214"/>
      <c r="B56" s="215"/>
      <c r="C56" s="2708" t="s">
        <v>456</v>
      </c>
      <c r="D56" s="2708"/>
      <c r="E56" s="2708"/>
      <c r="F56" s="2708"/>
      <c r="G56" s="2708"/>
      <c r="H56" s="2708"/>
      <c r="I56" s="2708"/>
      <c r="J56" s="2708"/>
      <c r="K56" s="2708"/>
      <c r="L56" s="2708"/>
      <c r="M56" s="2708"/>
      <c r="N56" s="2708"/>
      <c r="O56" s="2708"/>
      <c r="P56" s="2708"/>
      <c r="Q56" s="2708"/>
      <c r="R56" s="2708"/>
      <c r="S56" s="2708"/>
      <c r="T56" s="2708"/>
      <c r="U56" s="2708"/>
      <c r="V56" s="2708"/>
      <c r="W56" s="2708"/>
      <c r="X56" s="2708"/>
      <c r="Y56" s="2708"/>
      <c r="Z56" s="2708"/>
      <c r="AA56" s="2708"/>
      <c r="AB56" s="2708"/>
      <c r="AC56" s="2708"/>
      <c r="AD56" s="2708"/>
      <c r="AE56" s="2708"/>
      <c r="AF56" s="2708"/>
      <c r="AG56" s="2708"/>
      <c r="AH56" s="2708"/>
      <c r="AI56" s="2708"/>
      <c r="AJ56" s="2708"/>
      <c r="AK56" s="2708"/>
      <c r="AL56" s="2708"/>
      <c r="AM56" s="2708"/>
      <c r="AN56" s="2708"/>
      <c r="AO56" s="2708"/>
      <c r="AP56" s="2708"/>
      <c r="AQ56" s="2708"/>
      <c r="AR56" s="2708"/>
      <c r="AS56" s="2708"/>
      <c r="AT56" s="2708"/>
      <c r="AU56" s="2708"/>
      <c r="AV56" s="2708"/>
      <c r="AW56" s="2708"/>
      <c r="AX56" s="2709"/>
      <c r="AY56" s="352"/>
      <c r="AZ56" s="249" t="s">
        <v>152</v>
      </c>
      <c r="BA56" s="276" t="s">
        <v>508</v>
      </c>
      <c r="BB56" s="268" t="s">
        <v>91</v>
      </c>
      <c r="BC56" s="249" t="s">
        <v>427</v>
      </c>
      <c r="BD56" s="249"/>
      <c r="BE56" s="249" t="s">
        <v>362</v>
      </c>
      <c r="BF56" s="249" t="s">
        <v>422</v>
      </c>
      <c r="BG56" s="250"/>
      <c r="BH56" s="251"/>
      <c r="BI56" s="295"/>
      <c r="BJ56" s="252"/>
      <c r="BK56" s="252"/>
      <c r="BL56" s="252"/>
      <c r="BM56" s="295"/>
      <c r="BN56" s="252"/>
      <c r="BO56" s="252"/>
      <c r="BP56" s="254"/>
      <c r="BQ56" s="254"/>
      <c r="BR56" s="254"/>
      <c r="BS56" s="254"/>
      <c r="BT56" s="254"/>
      <c r="BU56" s="254"/>
      <c r="BV56" s="254"/>
      <c r="BW56" s="254"/>
      <c r="BX56" s="256"/>
      <c r="BY56" s="257"/>
      <c r="BZ56" s="257"/>
      <c r="CA56" s="257"/>
      <c r="CB56" s="257"/>
      <c r="CC56" s="257"/>
      <c r="CD56" s="257"/>
      <c r="CE56" s="257"/>
      <c r="CF56" s="257"/>
      <c r="CG56" s="259"/>
      <c r="CH56" s="254"/>
      <c r="CI56" s="254"/>
      <c r="CJ56" s="254"/>
      <c r="CK56" s="254"/>
      <c r="CL56" s="254"/>
      <c r="CM56" s="254"/>
      <c r="CN56" s="254"/>
      <c r="CO56" s="254"/>
      <c r="CP56" s="256"/>
      <c r="CQ56" s="272"/>
      <c r="CR56" s="260"/>
      <c r="CS56" s="260"/>
      <c r="CT56" s="260"/>
      <c r="CU56" s="260"/>
      <c r="CV56" s="260"/>
      <c r="CW56" s="260"/>
      <c r="CX56" s="260"/>
      <c r="CY56" s="262"/>
      <c r="CZ56" s="285" t="e">
        <f t="shared" si="10"/>
        <v>#REF!</v>
      </c>
      <c r="DA56" s="263"/>
      <c r="DB56" s="263"/>
      <c r="DC56" s="263"/>
      <c r="DD56" s="263"/>
      <c r="DE56" s="263" t="e">
        <f>'4 (2025)'!#REF!</f>
        <v>#REF!</v>
      </c>
      <c r="DF56" s="263"/>
      <c r="DG56" s="263"/>
      <c r="DH56" s="265"/>
      <c r="DI56" s="225" t="e">
        <f>CZ56=#REF!</f>
        <v>#REF!</v>
      </c>
      <c r="DK56" s="296"/>
    </row>
    <row r="57" spans="1:119" ht="12.75" hidden="1" x14ac:dyDescent="0.2">
      <c r="A57" s="214"/>
      <c r="B57" s="215"/>
      <c r="C57" s="2708" t="s">
        <v>460</v>
      </c>
      <c r="D57" s="2708"/>
      <c r="E57" s="2708"/>
      <c r="F57" s="2708"/>
      <c r="G57" s="2708"/>
      <c r="H57" s="2708"/>
      <c r="I57" s="2708"/>
      <c r="J57" s="2708"/>
      <c r="K57" s="2708"/>
      <c r="L57" s="2708"/>
      <c r="M57" s="2708"/>
      <c r="N57" s="2708"/>
      <c r="O57" s="2708"/>
      <c r="P57" s="2708"/>
      <c r="Q57" s="2708"/>
      <c r="R57" s="2708"/>
      <c r="S57" s="2708"/>
      <c r="T57" s="2708"/>
      <c r="U57" s="2708"/>
      <c r="V57" s="2708"/>
      <c r="W57" s="2708"/>
      <c r="X57" s="2708"/>
      <c r="Y57" s="2708"/>
      <c r="Z57" s="2708"/>
      <c r="AA57" s="2708"/>
      <c r="AB57" s="2708"/>
      <c r="AC57" s="2708"/>
      <c r="AD57" s="2708"/>
      <c r="AE57" s="2708"/>
      <c r="AF57" s="2708"/>
      <c r="AG57" s="2708"/>
      <c r="AH57" s="2708"/>
      <c r="AI57" s="2708"/>
      <c r="AJ57" s="2708"/>
      <c r="AK57" s="2708"/>
      <c r="AL57" s="2708"/>
      <c r="AM57" s="2708"/>
      <c r="AN57" s="2708"/>
      <c r="AO57" s="2708"/>
      <c r="AP57" s="2708"/>
      <c r="AQ57" s="2708"/>
      <c r="AR57" s="2708"/>
      <c r="AS57" s="2708"/>
      <c r="AT57" s="2708"/>
      <c r="AU57" s="2708"/>
      <c r="AV57" s="2708"/>
      <c r="AW57" s="2708"/>
      <c r="AX57" s="2709"/>
      <c r="AY57" s="197" t="s">
        <v>434</v>
      </c>
      <c r="AZ57" s="249" t="s">
        <v>152</v>
      </c>
      <c r="BA57" s="249" t="s">
        <v>131</v>
      </c>
      <c r="BB57" s="249" t="s">
        <v>91</v>
      </c>
      <c r="BC57" s="249" t="s">
        <v>435</v>
      </c>
      <c r="BD57" s="249"/>
      <c r="BE57" s="249" t="s">
        <v>362</v>
      </c>
      <c r="BF57" s="249" t="s">
        <v>422</v>
      </c>
      <c r="BG57" s="250"/>
      <c r="BH57" s="251"/>
      <c r="BI57" s="252"/>
      <c r="BJ57" s="252"/>
      <c r="BK57" s="252"/>
      <c r="BL57" s="252"/>
      <c r="BM57" s="252"/>
      <c r="BN57" s="252"/>
      <c r="BO57" s="252"/>
      <c r="BP57" s="254"/>
      <c r="BQ57" s="254"/>
      <c r="BR57" s="254"/>
      <c r="BS57" s="254"/>
      <c r="BT57" s="254"/>
      <c r="BU57" s="254"/>
      <c r="BV57" s="254"/>
      <c r="BW57" s="254"/>
      <c r="BX57" s="256"/>
      <c r="BY57" s="257"/>
      <c r="BZ57" s="257"/>
      <c r="CA57" s="257"/>
      <c r="CB57" s="257"/>
      <c r="CC57" s="257"/>
      <c r="CD57" s="257"/>
      <c r="CE57" s="257"/>
      <c r="CF57" s="257"/>
      <c r="CG57" s="259"/>
      <c r="CH57" s="254"/>
      <c r="CI57" s="254"/>
      <c r="CJ57" s="254"/>
      <c r="CK57" s="254"/>
      <c r="CL57" s="254"/>
      <c r="CM57" s="254"/>
      <c r="CN57" s="254"/>
      <c r="CO57" s="254"/>
      <c r="CP57" s="256"/>
      <c r="CQ57" s="272"/>
      <c r="CR57" s="260"/>
      <c r="CS57" s="260"/>
      <c r="CT57" s="260"/>
      <c r="CU57" s="260"/>
      <c r="CV57" s="260"/>
      <c r="CW57" s="260"/>
      <c r="CX57" s="260"/>
      <c r="CY57" s="262"/>
      <c r="CZ57" s="263">
        <f t="shared" si="10"/>
        <v>0</v>
      </c>
      <c r="DA57" s="263"/>
      <c r="DB57" s="263"/>
      <c r="DC57" s="263"/>
      <c r="DD57" s="263"/>
      <c r="DE57" s="263"/>
      <c r="DF57" s="263"/>
      <c r="DG57" s="263"/>
      <c r="DH57" s="265"/>
      <c r="DI57" s="225"/>
      <c r="DK57" s="275"/>
      <c r="DL57" s="275"/>
    </row>
    <row r="58" spans="1:119" ht="12.75" hidden="1" customHeight="1" x14ac:dyDescent="0.2">
      <c r="A58" s="214"/>
      <c r="B58" s="215"/>
      <c r="C58" s="2708" t="s">
        <v>460</v>
      </c>
      <c r="D58" s="2708"/>
      <c r="E58" s="2708"/>
      <c r="F58" s="2708"/>
      <c r="G58" s="2708"/>
      <c r="H58" s="2708"/>
      <c r="I58" s="2708"/>
      <c r="J58" s="2708"/>
      <c r="K58" s="2708"/>
      <c r="L58" s="2708"/>
      <c r="M58" s="2708"/>
      <c r="N58" s="2708"/>
      <c r="O58" s="2708"/>
      <c r="P58" s="2708"/>
      <c r="Q58" s="2708"/>
      <c r="R58" s="2708"/>
      <c r="S58" s="2708"/>
      <c r="T58" s="2708"/>
      <c r="U58" s="2708"/>
      <c r="V58" s="2708"/>
      <c r="W58" s="2708"/>
      <c r="X58" s="2708"/>
      <c r="Y58" s="2708"/>
      <c r="Z58" s="2708"/>
      <c r="AA58" s="2708"/>
      <c r="AB58" s="2708"/>
      <c r="AC58" s="2708"/>
      <c r="AD58" s="2708"/>
      <c r="AE58" s="2708"/>
      <c r="AF58" s="2708"/>
      <c r="AG58" s="2708"/>
      <c r="AH58" s="2708"/>
      <c r="AI58" s="2708"/>
      <c r="AJ58" s="2708"/>
      <c r="AK58" s="2708"/>
      <c r="AL58" s="2708"/>
      <c r="AM58" s="2708"/>
      <c r="AN58" s="2708"/>
      <c r="AO58" s="2708"/>
      <c r="AP58" s="2708"/>
      <c r="AQ58" s="2708"/>
      <c r="AR58" s="2708"/>
      <c r="AS58" s="2708"/>
      <c r="AT58" s="2708"/>
      <c r="AU58" s="2708"/>
      <c r="AV58" s="2708"/>
      <c r="AW58" s="2708"/>
      <c r="AX58" s="2709"/>
      <c r="AY58" s="205" t="s">
        <v>434</v>
      </c>
      <c r="AZ58" s="276" t="s">
        <v>152</v>
      </c>
      <c r="BA58" s="276" t="s">
        <v>132</v>
      </c>
      <c r="BB58" s="276" t="s">
        <v>510</v>
      </c>
      <c r="BC58" s="276" t="s">
        <v>435</v>
      </c>
      <c r="BD58" s="276"/>
      <c r="BE58" s="276" t="s">
        <v>362</v>
      </c>
      <c r="BF58" s="276" t="s">
        <v>422</v>
      </c>
      <c r="BG58" s="277">
        <v>6800</v>
      </c>
      <c r="BH58" s="278">
        <f t="shared" ref="BH58:BH63" si="11">BG58-BI58</f>
        <v>0</v>
      </c>
      <c r="BI58" s="279">
        <f t="shared" si="3"/>
        <v>6800</v>
      </c>
      <c r="BJ58" s="279">
        <v>6800</v>
      </c>
      <c r="BK58" s="279"/>
      <c r="BL58" s="279"/>
      <c r="BM58" s="279"/>
      <c r="BN58" s="279"/>
      <c r="BO58" s="279"/>
      <c r="BP58" s="280">
        <f t="shared" si="4"/>
        <v>6800</v>
      </c>
      <c r="BQ58" s="280">
        <v>6800</v>
      </c>
      <c r="BR58" s="280"/>
      <c r="BS58" s="280"/>
      <c r="BT58" s="280"/>
      <c r="BU58" s="280"/>
      <c r="BV58" s="280"/>
      <c r="BW58" s="280"/>
      <c r="BX58" s="281"/>
      <c r="BY58" s="282">
        <f t="shared" si="5"/>
        <v>6800</v>
      </c>
      <c r="BZ58" s="282">
        <v>6800</v>
      </c>
      <c r="CA58" s="282"/>
      <c r="CB58" s="282"/>
      <c r="CC58" s="282"/>
      <c r="CD58" s="282"/>
      <c r="CE58" s="282"/>
      <c r="CF58" s="282"/>
      <c r="CG58" s="283"/>
      <c r="CH58" s="280">
        <f t="shared" si="6"/>
        <v>6800</v>
      </c>
      <c r="CI58" s="280">
        <v>6800</v>
      </c>
      <c r="CJ58" s="280"/>
      <c r="CK58" s="280"/>
      <c r="CL58" s="280"/>
      <c r="CM58" s="280"/>
      <c r="CN58" s="280"/>
      <c r="CO58" s="280"/>
      <c r="CP58" s="281"/>
      <c r="CQ58" s="272">
        <f t="shared" si="7"/>
        <v>6800</v>
      </c>
      <c r="CR58" s="272">
        <v>6800</v>
      </c>
      <c r="CS58" s="272"/>
      <c r="CT58" s="272"/>
      <c r="CU58" s="272"/>
      <c r="CV58" s="272"/>
      <c r="CW58" s="272"/>
      <c r="CX58" s="272"/>
      <c r="CY58" s="284"/>
      <c r="CZ58" s="263">
        <f t="shared" si="10"/>
        <v>0</v>
      </c>
      <c r="DA58" s="285"/>
      <c r="DB58" s="285"/>
      <c r="DC58" s="285"/>
      <c r="DD58" s="285"/>
      <c r="DE58" s="285"/>
      <c r="DF58" s="285"/>
      <c r="DG58" s="285"/>
      <c r="DH58" s="286"/>
      <c r="DI58" s="225"/>
      <c r="DJ58" s="175" t="b">
        <f t="shared" si="2"/>
        <v>0</v>
      </c>
      <c r="DK58" s="275"/>
      <c r="DL58" s="275"/>
    </row>
    <row r="59" spans="1:119" ht="12.75" customHeight="1" x14ac:dyDescent="0.2">
      <c r="A59" s="214"/>
      <c r="B59" s="215"/>
      <c r="C59" s="2708" t="s">
        <v>460</v>
      </c>
      <c r="D59" s="2708"/>
      <c r="E59" s="2708"/>
      <c r="F59" s="2708"/>
      <c r="G59" s="2708"/>
      <c r="H59" s="2708"/>
      <c r="I59" s="2708"/>
      <c r="J59" s="2708"/>
      <c r="K59" s="2708"/>
      <c r="L59" s="2708"/>
      <c r="M59" s="2708"/>
      <c r="N59" s="2708"/>
      <c r="O59" s="2708"/>
      <c r="P59" s="2708"/>
      <c r="Q59" s="2708"/>
      <c r="R59" s="2708"/>
      <c r="S59" s="2708"/>
      <c r="T59" s="2708"/>
      <c r="U59" s="2708"/>
      <c r="V59" s="2708"/>
      <c r="W59" s="2708"/>
      <c r="X59" s="2708"/>
      <c r="Y59" s="2708"/>
      <c r="Z59" s="2708"/>
      <c r="AA59" s="2708"/>
      <c r="AB59" s="2708"/>
      <c r="AC59" s="2708"/>
      <c r="AD59" s="2708"/>
      <c r="AE59" s="2708"/>
      <c r="AF59" s="2708"/>
      <c r="AG59" s="2708"/>
      <c r="AH59" s="2708"/>
      <c r="AI59" s="2708"/>
      <c r="AJ59" s="2708"/>
      <c r="AK59" s="2708"/>
      <c r="AL59" s="2708"/>
      <c r="AM59" s="2708"/>
      <c r="AN59" s="2708"/>
      <c r="AO59" s="2708"/>
      <c r="AP59" s="2708"/>
      <c r="AQ59" s="2708"/>
      <c r="AR59" s="2708"/>
      <c r="AS59" s="2708"/>
      <c r="AT59" s="2708"/>
      <c r="AU59" s="2708"/>
      <c r="AV59" s="2708"/>
      <c r="AW59" s="2708"/>
      <c r="AX59" s="2709"/>
      <c r="AY59" s="205" t="s">
        <v>434</v>
      </c>
      <c r="AZ59" s="276" t="s">
        <v>152</v>
      </c>
      <c r="BA59" s="276" t="s">
        <v>516</v>
      </c>
      <c r="BB59" s="276" t="s">
        <v>111</v>
      </c>
      <c r="BC59" s="276" t="s">
        <v>435</v>
      </c>
      <c r="BD59" s="276"/>
      <c r="BE59" s="276" t="s">
        <v>362</v>
      </c>
      <c r="BF59" s="276" t="s">
        <v>422</v>
      </c>
      <c r="BG59" s="277">
        <v>6800</v>
      </c>
      <c r="BH59" s="278">
        <f t="shared" si="11"/>
        <v>0</v>
      </c>
      <c r="BI59" s="279">
        <f>BJ59+BK59+BL59+BM59+BN59+BO59</f>
        <v>6800</v>
      </c>
      <c r="BJ59" s="279">
        <v>6800</v>
      </c>
      <c r="BK59" s="279"/>
      <c r="BL59" s="279"/>
      <c r="BM59" s="279"/>
      <c r="BN59" s="279"/>
      <c r="BO59" s="279"/>
      <c r="BP59" s="280">
        <f>BQ59+BR59+BS59+BT59+BU59+BV59+BX59+BW59</f>
        <v>6800</v>
      </c>
      <c r="BQ59" s="280">
        <v>6800</v>
      </c>
      <c r="BR59" s="280"/>
      <c r="BS59" s="280"/>
      <c r="BT59" s="280"/>
      <c r="BU59" s="280"/>
      <c r="BV59" s="280"/>
      <c r="BW59" s="280"/>
      <c r="BX59" s="281"/>
      <c r="BY59" s="282">
        <f>BZ59+CA59+CB59+CC59+CD59+CE59+CG59+CF59</f>
        <v>6800</v>
      </c>
      <c r="BZ59" s="282">
        <v>6800</v>
      </c>
      <c r="CA59" s="282"/>
      <c r="CB59" s="282"/>
      <c r="CC59" s="282"/>
      <c r="CD59" s="282"/>
      <c r="CE59" s="282"/>
      <c r="CF59" s="282"/>
      <c r="CG59" s="283"/>
      <c r="CH59" s="280">
        <f>CI59+CJ59+CK59+CL59+CM59+CN59+CP59+CO59</f>
        <v>6800</v>
      </c>
      <c r="CI59" s="280">
        <v>6800</v>
      </c>
      <c r="CJ59" s="280"/>
      <c r="CK59" s="280"/>
      <c r="CL59" s="280"/>
      <c r="CM59" s="280"/>
      <c r="CN59" s="280"/>
      <c r="CO59" s="280"/>
      <c r="CP59" s="281"/>
      <c r="CQ59" s="272">
        <f>SUM(CR59:CY59)</f>
        <v>6800</v>
      </c>
      <c r="CR59" s="272">
        <v>6800</v>
      </c>
      <c r="CS59" s="272"/>
      <c r="CT59" s="272"/>
      <c r="CU59" s="272"/>
      <c r="CV59" s="272"/>
      <c r="CW59" s="272"/>
      <c r="CX59" s="272"/>
      <c r="CY59" s="284"/>
      <c r="CZ59" s="263" t="e">
        <f>DA59+DB59+DC59+DD59+DE59+DF59+DH59+DG59</f>
        <v>#REF!</v>
      </c>
      <c r="DA59" s="285" t="e">
        <f>#REF!</f>
        <v>#REF!</v>
      </c>
      <c r="DB59" s="285"/>
      <c r="DC59" s="285"/>
      <c r="DD59" s="285"/>
      <c r="DE59" s="285"/>
      <c r="DF59" s="285"/>
      <c r="DG59" s="285"/>
      <c r="DH59" s="286"/>
      <c r="DI59" s="225" t="e">
        <f>CZ59=#REF!</f>
        <v>#REF!</v>
      </c>
      <c r="DJ59" s="175" t="e">
        <f>BI59=CZ59</f>
        <v>#REF!</v>
      </c>
      <c r="DK59" s="275"/>
      <c r="DL59" s="275"/>
    </row>
    <row r="60" spans="1:119" ht="14.25" customHeight="1" x14ac:dyDescent="0.2">
      <c r="A60" s="214"/>
      <c r="B60" s="215"/>
      <c r="C60" s="2708" t="s">
        <v>460</v>
      </c>
      <c r="D60" s="2708"/>
      <c r="E60" s="2708"/>
      <c r="F60" s="2708"/>
      <c r="G60" s="2708"/>
      <c r="H60" s="2708"/>
      <c r="I60" s="2708"/>
      <c r="J60" s="2708"/>
      <c r="K60" s="2708"/>
      <c r="L60" s="2708"/>
      <c r="M60" s="2708"/>
      <c r="N60" s="2708"/>
      <c r="O60" s="2708"/>
      <c r="P60" s="2708"/>
      <c r="Q60" s="2708"/>
      <c r="R60" s="2708"/>
      <c r="S60" s="2708"/>
      <c r="T60" s="2708"/>
      <c r="U60" s="2708"/>
      <c r="V60" s="2708"/>
      <c r="W60" s="2708"/>
      <c r="X60" s="2708"/>
      <c r="Y60" s="2708"/>
      <c r="Z60" s="2708"/>
      <c r="AA60" s="2708"/>
      <c r="AB60" s="2708"/>
      <c r="AC60" s="2708"/>
      <c r="AD60" s="2708"/>
      <c r="AE60" s="2708"/>
      <c r="AF60" s="2708"/>
      <c r="AG60" s="2708"/>
      <c r="AH60" s="2708"/>
      <c r="AI60" s="2708"/>
      <c r="AJ60" s="2708"/>
      <c r="AK60" s="2708"/>
      <c r="AL60" s="2708"/>
      <c r="AM60" s="2708"/>
      <c r="AN60" s="2708"/>
      <c r="AO60" s="2708"/>
      <c r="AP60" s="2708"/>
      <c r="AQ60" s="2708"/>
      <c r="AR60" s="2708"/>
      <c r="AS60" s="2708"/>
      <c r="AT60" s="2708"/>
      <c r="AU60" s="2708"/>
      <c r="AV60" s="2708"/>
      <c r="AW60" s="2708"/>
      <c r="AX60" s="2709"/>
      <c r="AY60" s="205"/>
      <c r="AZ60" s="276" t="s">
        <v>152</v>
      </c>
      <c r="BA60" s="276" t="s">
        <v>517</v>
      </c>
      <c r="BB60" s="287" t="s">
        <v>113</v>
      </c>
      <c r="BC60" s="276" t="s">
        <v>435</v>
      </c>
      <c r="BD60" s="276"/>
      <c r="BE60" s="276" t="s">
        <v>362</v>
      </c>
      <c r="BF60" s="276" t="s">
        <v>422</v>
      </c>
      <c r="BG60" s="277">
        <v>6800</v>
      </c>
      <c r="BH60" s="278">
        <f t="shared" si="11"/>
        <v>0</v>
      </c>
      <c r="BI60" s="279">
        <f t="shared" si="3"/>
        <v>6800</v>
      </c>
      <c r="BJ60" s="279">
        <v>6800</v>
      </c>
      <c r="BK60" s="279"/>
      <c r="BL60" s="279"/>
      <c r="BM60" s="279"/>
      <c r="BN60" s="279"/>
      <c r="BO60" s="279"/>
      <c r="BP60" s="280">
        <f t="shared" si="4"/>
        <v>6800</v>
      </c>
      <c r="BQ60" s="280">
        <v>6800</v>
      </c>
      <c r="BR60" s="280"/>
      <c r="BS60" s="280"/>
      <c r="BT60" s="280"/>
      <c r="BU60" s="280"/>
      <c r="BV60" s="280"/>
      <c r="BW60" s="280"/>
      <c r="BX60" s="281"/>
      <c r="BY60" s="282">
        <f t="shared" si="5"/>
        <v>6800</v>
      </c>
      <c r="BZ60" s="282">
        <v>6800</v>
      </c>
      <c r="CA60" s="282"/>
      <c r="CB60" s="282"/>
      <c r="CC60" s="282"/>
      <c r="CD60" s="282"/>
      <c r="CE60" s="282"/>
      <c r="CF60" s="282"/>
      <c r="CG60" s="283"/>
      <c r="CH60" s="280">
        <f t="shared" si="6"/>
        <v>6800</v>
      </c>
      <c r="CI60" s="280">
        <v>6800</v>
      </c>
      <c r="CJ60" s="280"/>
      <c r="CK60" s="280"/>
      <c r="CL60" s="280"/>
      <c r="CM60" s="280"/>
      <c r="CN60" s="280"/>
      <c r="CO60" s="280"/>
      <c r="CP60" s="281"/>
      <c r="CQ60" s="272">
        <f t="shared" si="7"/>
        <v>6800</v>
      </c>
      <c r="CR60" s="272">
        <v>6800</v>
      </c>
      <c r="CS60" s="272"/>
      <c r="CT60" s="272"/>
      <c r="CU60" s="272"/>
      <c r="CV60" s="272"/>
      <c r="CW60" s="272"/>
      <c r="CX60" s="272"/>
      <c r="CY60" s="284"/>
      <c r="CZ60" s="263" t="e">
        <f t="shared" si="10"/>
        <v>#REF!</v>
      </c>
      <c r="DA60" s="285" t="e">
        <f>#REF!+#REF!</f>
        <v>#REF!</v>
      </c>
      <c r="DB60" s="285"/>
      <c r="DC60" s="285"/>
      <c r="DD60" s="285"/>
      <c r="DE60" s="285"/>
      <c r="DF60" s="285"/>
      <c r="DG60" s="285"/>
      <c r="DH60" s="286"/>
      <c r="DI60" s="225" t="e">
        <f>CZ60=#REF!</f>
        <v>#REF!</v>
      </c>
      <c r="DK60" s="275"/>
      <c r="DL60" s="275"/>
    </row>
    <row r="61" spans="1:119" ht="14.25" customHeight="1" x14ac:dyDescent="0.2">
      <c r="A61" s="214"/>
      <c r="B61" s="215"/>
      <c r="C61" s="2708" t="s">
        <v>451</v>
      </c>
      <c r="D61" s="2708"/>
      <c r="E61" s="2708"/>
      <c r="F61" s="2708"/>
      <c r="G61" s="2708"/>
      <c r="H61" s="2708"/>
      <c r="I61" s="2708"/>
      <c r="J61" s="2708"/>
      <c r="K61" s="2708"/>
      <c r="L61" s="2708"/>
      <c r="M61" s="2708"/>
      <c r="N61" s="2708"/>
      <c r="O61" s="2708"/>
      <c r="P61" s="2708"/>
      <c r="Q61" s="2708"/>
      <c r="R61" s="2708"/>
      <c r="S61" s="2708"/>
      <c r="T61" s="2708"/>
      <c r="U61" s="2708"/>
      <c r="V61" s="2708"/>
      <c r="W61" s="2708"/>
      <c r="X61" s="2708"/>
      <c r="Y61" s="2708"/>
      <c r="Z61" s="2708"/>
      <c r="AA61" s="2708"/>
      <c r="AB61" s="2708"/>
      <c r="AC61" s="2708"/>
      <c r="AD61" s="2708"/>
      <c r="AE61" s="2708"/>
      <c r="AF61" s="2708"/>
      <c r="AG61" s="2708"/>
      <c r="AH61" s="2708"/>
      <c r="AI61" s="2708"/>
      <c r="AJ61" s="2708"/>
      <c r="AK61" s="2708"/>
      <c r="AL61" s="2708"/>
      <c r="AM61" s="2708"/>
      <c r="AN61" s="2708"/>
      <c r="AO61" s="2708"/>
      <c r="AP61" s="2708"/>
      <c r="AQ61" s="2708"/>
      <c r="AR61" s="2708"/>
      <c r="AS61" s="2708"/>
      <c r="AT61" s="2708"/>
      <c r="AU61" s="2708"/>
      <c r="AV61" s="2708"/>
      <c r="AW61" s="2708"/>
      <c r="AX61" s="2709"/>
      <c r="AY61" s="205"/>
      <c r="AZ61" s="276" t="s">
        <v>152</v>
      </c>
      <c r="BA61" s="276" t="s">
        <v>516</v>
      </c>
      <c r="BB61" s="287" t="s">
        <v>613</v>
      </c>
      <c r="BC61" s="276" t="s">
        <v>452</v>
      </c>
      <c r="BD61" s="276"/>
      <c r="BE61" s="276" t="s">
        <v>362</v>
      </c>
      <c r="BF61" s="276" t="s">
        <v>422</v>
      </c>
      <c r="BG61" s="277">
        <v>6800</v>
      </c>
      <c r="BH61" s="278">
        <f t="shared" si="11"/>
        <v>0</v>
      </c>
      <c r="BI61" s="279">
        <f>BJ61+BK61+BL61+BM61+BN61+BO61</f>
        <v>6800</v>
      </c>
      <c r="BJ61" s="279">
        <v>6800</v>
      </c>
      <c r="BK61" s="279"/>
      <c r="BL61" s="279"/>
      <c r="BM61" s="279"/>
      <c r="BN61" s="279"/>
      <c r="BO61" s="279"/>
      <c r="BP61" s="280">
        <f>BQ61+BR61+BS61+BT61+BU61+BV61+BX61+BW61</f>
        <v>6800</v>
      </c>
      <c r="BQ61" s="280">
        <v>6800</v>
      </c>
      <c r="BR61" s="280"/>
      <c r="BS61" s="280"/>
      <c r="BT61" s="280"/>
      <c r="BU61" s="280"/>
      <c r="BV61" s="280"/>
      <c r="BW61" s="280"/>
      <c r="BX61" s="281"/>
      <c r="BY61" s="282">
        <f>BZ61+CA61+CB61+CC61+CD61+CE61+CG61+CF61</f>
        <v>6800</v>
      </c>
      <c r="BZ61" s="282">
        <v>6800</v>
      </c>
      <c r="CA61" s="282"/>
      <c r="CB61" s="282"/>
      <c r="CC61" s="282"/>
      <c r="CD61" s="282"/>
      <c r="CE61" s="282"/>
      <c r="CF61" s="282"/>
      <c r="CG61" s="283"/>
      <c r="CH61" s="280">
        <f>CI61+CJ61+CK61+CL61+CM61+CN61+CP61+CO61</f>
        <v>6800</v>
      </c>
      <c r="CI61" s="280">
        <v>6800</v>
      </c>
      <c r="CJ61" s="280"/>
      <c r="CK61" s="280"/>
      <c r="CL61" s="280"/>
      <c r="CM61" s="280"/>
      <c r="CN61" s="280"/>
      <c r="CO61" s="280"/>
      <c r="CP61" s="281"/>
      <c r="CQ61" s="272">
        <f>SUM(CR61:CY61)</f>
        <v>6800</v>
      </c>
      <c r="CR61" s="272">
        <v>6800</v>
      </c>
      <c r="CS61" s="272"/>
      <c r="CT61" s="272"/>
      <c r="CU61" s="272"/>
      <c r="CV61" s="272"/>
      <c r="CW61" s="272"/>
      <c r="CX61" s="272"/>
      <c r="CY61" s="284"/>
      <c r="CZ61" s="263" t="e">
        <f>DA61+DB61+DC61+DD61+DE61+DF61+DH61+DG61</f>
        <v>#REF!</v>
      </c>
      <c r="DA61" s="285" t="e">
        <f>#REF!</f>
        <v>#REF!</v>
      </c>
      <c r="DB61" s="285"/>
      <c r="DC61" s="285"/>
      <c r="DD61" s="285"/>
      <c r="DE61" s="285"/>
      <c r="DF61" s="285"/>
      <c r="DG61" s="285"/>
      <c r="DH61" s="286"/>
      <c r="DI61" s="225" t="e">
        <f>CZ61=#REF!</f>
        <v>#REF!</v>
      </c>
      <c r="DK61" s="275"/>
      <c r="DL61" s="275"/>
    </row>
    <row r="62" spans="1:119" ht="14.25" customHeight="1" x14ac:dyDescent="0.2">
      <c r="A62" s="214"/>
      <c r="B62" s="215"/>
      <c r="C62" s="2708" t="s">
        <v>616</v>
      </c>
      <c r="D62" s="2708"/>
      <c r="E62" s="2708"/>
      <c r="F62" s="2708"/>
      <c r="G62" s="2708"/>
      <c r="H62" s="2708"/>
      <c r="I62" s="2708"/>
      <c r="J62" s="2708"/>
      <c r="K62" s="2708"/>
      <c r="L62" s="2708"/>
      <c r="M62" s="2708"/>
      <c r="N62" s="2708"/>
      <c r="O62" s="2708"/>
      <c r="P62" s="2708"/>
      <c r="Q62" s="2708"/>
      <c r="R62" s="2708"/>
      <c r="S62" s="2708"/>
      <c r="T62" s="2708"/>
      <c r="U62" s="2708"/>
      <c r="V62" s="2708"/>
      <c r="W62" s="2708"/>
      <c r="X62" s="2708"/>
      <c r="Y62" s="2708"/>
      <c r="Z62" s="2708"/>
      <c r="AA62" s="2708"/>
      <c r="AB62" s="2708"/>
      <c r="AC62" s="2708"/>
      <c r="AD62" s="2708"/>
      <c r="AE62" s="2708"/>
      <c r="AF62" s="2708"/>
      <c r="AG62" s="2708"/>
      <c r="AH62" s="2708"/>
      <c r="AI62" s="2708"/>
      <c r="AJ62" s="2708"/>
      <c r="AK62" s="2708"/>
      <c r="AL62" s="2708"/>
      <c r="AM62" s="2708"/>
      <c r="AN62" s="2708"/>
      <c r="AO62" s="2708"/>
      <c r="AP62" s="2708"/>
      <c r="AQ62" s="2708"/>
      <c r="AR62" s="2708"/>
      <c r="AS62" s="2708"/>
      <c r="AT62" s="2708"/>
      <c r="AU62" s="2708"/>
      <c r="AV62" s="2708"/>
      <c r="AW62" s="2708"/>
      <c r="AX62" s="2709"/>
      <c r="AY62" s="205"/>
      <c r="AZ62" s="276" t="s">
        <v>152</v>
      </c>
      <c r="BA62" s="276" t="s">
        <v>516</v>
      </c>
      <c r="BB62" s="287" t="s">
        <v>613</v>
      </c>
      <c r="BC62" s="276" t="s">
        <v>479</v>
      </c>
      <c r="BD62" s="276"/>
      <c r="BE62" s="276" t="s">
        <v>362</v>
      </c>
      <c r="BF62" s="276" t="s">
        <v>422</v>
      </c>
      <c r="BG62" s="277">
        <v>6800</v>
      </c>
      <c r="BH62" s="278">
        <f t="shared" si="11"/>
        <v>0</v>
      </c>
      <c r="BI62" s="279">
        <f>BJ62+BK62+BL62+BM62+BN62+BO62</f>
        <v>6800</v>
      </c>
      <c r="BJ62" s="279">
        <v>6800</v>
      </c>
      <c r="BK62" s="279"/>
      <c r="BL62" s="279"/>
      <c r="BM62" s="279"/>
      <c r="BN62" s="279"/>
      <c r="BO62" s="279"/>
      <c r="BP62" s="280">
        <f>BQ62+BR62+BS62+BT62+BU62+BV62+BX62+BW62</f>
        <v>6800</v>
      </c>
      <c r="BQ62" s="280">
        <v>6800</v>
      </c>
      <c r="BR62" s="280"/>
      <c r="BS62" s="280"/>
      <c r="BT62" s="280"/>
      <c r="BU62" s="280"/>
      <c r="BV62" s="280"/>
      <c r="BW62" s="280"/>
      <c r="BX62" s="281"/>
      <c r="BY62" s="282">
        <f>BZ62+CA62+CB62+CC62+CD62+CE62+CG62+CF62</f>
        <v>6800</v>
      </c>
      <c r="BZ62" s="282">
        <v>6800</v>
      </c>
      <c r="CA62" s="282"/>
      <c r="CB62" s="282"/>
      <c r="CC62" s="282"/>
      <c r="CD62" s="282"/>
      <c r="CE62" s="282"/>
      <c r="CF62" s="282"/>
      <c r="CG62" s="283"/>
      <c r="CH62" s="280">
        <f>CI62+CJ62+CK62+CL62+CM62+CN62+CP62+CO62</f>
        <v>6800</v>
      </c>
      <c r="CI62" s="280">
        <v>6800</v>
      </c>
      <c r="CJ62" s="280"/>
      <c r="CK62" s="280"/>
      <c r="CL62" s="280"/>
      <c r="CM62" s="280"/>
      <c r="CN62" s="280"/>
      <c r="CO62" s="280"/>
      <c r="CP62" s="281"/>
      <c r="CQ62" s="272">
        <f>SUM(CR62:CY62)</f>
        <v>6800</v>
      </c>
      <c r="CR62" s="272">
        <v>6800</v>
      </c>
      <c r="CS62" s="272"/>
      <c r="CT62" s="272"/>
      <c r="CU62" s="272"/>
      <c r="CV62" s="272"/>
      <c r="CW62" s="272"/>
      <c r="CX62" s="272"/>
      <c r="CY62" s="284"/>
      <c r="CZ62" s="263" t="e">
        <f>DA62+DB62+DC62+DD62+DE62+DF62+DH62+DG62</f>
        <v>#REF!</v>
      </c>
      <c r="DA62" s="285" t="e">
        <f>#REF!</f>
        <v>#REF!</v>
      </c>
      <c r="DB62" s="285"/>
      <c r="DC62" s="285"/>
      <c r="DD62" s="285"/>
      <c r="DE62" s="285"/>
      <c r="DF62" s="285"/>
      <c r="DG62" s="285"/>
      <c r="DH62" s="286"/>
      <c r="DI62" s="225" t="e">
        <f>CZ62=#REF!</f>
        <v>#REF!</v>
      </c>
      <c r="DK62" s="275"/>
      <c r="DL62" s="275"/>
    </row>
    <row r="63" spans="1:119" ht="14.25" customHeight="1" x14ac:dyDescent="0.2">
      <c r="A63" s="214"/>
      <c r="B63" s="215"/>
      <c r="C63" s="2708" t="s">
        <v>460</v>
      </c>
      <c r="D63" s="2708"/>
      <c r="E63" s="2708"/>
      <c r="F63" s="2708"/>
      <c r="G63" s="2708"/>
      <c r="H63" s="2708"/>
      <c r="I63" s="2708"/>
      <c r="J63" s="2708"/>
      <c r="K63" s="2708"/>
      <c r="L63" s="2708"/>
      <c r="M63" s="2708"/>
      <c r="N63" s="2708"/>
      <c r="O63" s="2708"/>
      <c r="P63" s="2708"/>
      <c r="Q63" s="2708"/>
      <c r="R63" s="2708"/>
      <c r="S63" s="2708"/>
      <c r="T63" s="2708"/>
      <c r="U63" s="2708"/>
      <c r="V63" s="2708"/>
      <c r="W63" s="2708"/>
      <c r="X63" s="2708"/>
      <c r="Y63" s="2708"/>
      <c r="Z63" s="2708"/>
      <c r="AA63" s="2708"/>
      <c r="AB63" s="2708"/>
      <c r="AC63" s="2708"/>
      <c r="AD63" s="2708"/>
      <c r="AE63" s="2708"/>
      <c r="AF63" s="2708"/>
      <c r="AG63" s="2708"/>
      <c r="AH63" s="2708"/>
      <c r="AI63" s="2708"/>
      <c r="AJ63" s="2708"/>
      <c r="AK63" s="2708"/>
      <c r="AL63" s="2708"/>
      <c r="AM63" s="2708"/>
      <c r="AN63" s="2708"/>
      <c r="AO63" s="2708"/>
      <c r="AP63" s="2708"/>
      <c r="AQ63" s="2708"/>
      <c r="AR63" s="2708"/>
      <c r="AS63" s="2708"/>
      <c r="AT63" s="2708"/>
      <c r="AU63" s="2708"/>
      <c r="AV63" s="2708"/>
      <c r="AW63" s="2708"/>
      <c r="AX63" s="2709"/>
      <c r="AY63" s="205"/>
      <c r="AZ63" s="276" t="s">
        <v>152</v>
      </c>
      <c r="BA63" s="276" t="s">
        <v>614</v>
      </c>
      <c r="BB63" s="287" t="s">
        <v>615</v>
      </c>
      <c r="BC63" s="276" t="s">
        <v>435</v>
      </c>
      <c r="BD63" s="276"/>
      <c r="BE63" s="276" t="s">
        <v>362</v>
      </c>
      <c r="BF63" s="276" t="s">
        <v>422</v>
      </c>
      <c r="BG63" s="277">
        <v>6800</v>
      </c>
      <c r="BH63" s="278">
        <f t="shared" si="11"/>
        <v>0</v>
      </c>
      <c r="BI63" s="279">
        <f>BJ63+BK63+BL63+BM63+BN63+BO63</f>
        <v>6800</v>
      </c>
      <c r="BJ63" s="279">
        <v>6800</v>
      </c>
      <c r="BK63" s="279"/>
      <c r="BL63" s="279"/>
      <c r="BM63" s="279"/>
      <c r="BN63" s="279"/>
      <c r="BO63" s="279"/>
      <c r="BP63" s="280">
        <f>BQ63+BR63+BS63+BT63+BU63+BV63+BX63+BW63</f>
        <v>6800</v>
      </c>
      <c r="BQ63" s="280">
        <v>6800</v>
      </c>
      <c r="BR63" s="280"/>
      <c r="BS63" s="280"/>
      <c r="BT63" s="280"/>
      <c r="BU63" s="280"/>
      <c r="BV63" s="280"/>
      <c r="BW63" s="280"/>
      <c r="BX63" s="281"/>
      <c r="BY63" s="282">
        <f>BZ63+CA63+CB63+CC63+CD63+CE63+CG63+CF63</f>
        <v>6800</v>
      </c>
      <c r="BZ63" s="282">
        <v>6800</v>
      </c>
      <c r="CA63" s="282"/>
      <c r="CB63" s="282"/>
      <c r="CC63" s="282"/>
      <c r="CD63" s="282"/>
      <c r="CE63" s="282"/>
      <c r="CF63" s="282"/>
      <c r="CG63" s="283"/>
      <c r="CH63" s="280">
        <f>CI63+CJ63+CK63+CL63+CM63+CN63+CP63+CO63</f>
        <v>6800</v>
      </c>
      <c r="CI63" s="280">
        <v>6800</v>
      </c>
      <c r="CJ63" s="280"/>
      <c r="CK63" s="280"/>
      <c r="CL63" s="280"/>
      <c r="CM63" s="280"/>
      <c r="CN63" s="280"/>
      <c r="CO63" s="280"/>
      <c r="CP63" s="281"/>
      <c r="CQ63" s="272">
        <f>SUM(CR63:CY63)</f>
        <v>6800</v>
      </c>
      <c r="CR63" s="272">
        <v>6800</v>
      </c>
      <c r="CS63" s="272"/>
      <c r="CT63" s="272"/>
      <c r="CU63" s="272"/>
      <c r="CV63" s="272"/>
      <c r="CW63" s="272"/>
      <c r="CX63" s="272"/>
      <c r="CY63" s="284"/>
      <c r="CZ63" s="263" t="e">
        <f>DA63+DB63+DC63+DD63+DE63+DF63+DH63+DG63</f>
        <v>#REF!</v>
      </c>
      <c r="DA63" s="285" t="e">
        <f>#REF!</f>
        <v>#REF!</v>
      </c>
      <c r="DB63" s="285"/>
      <c r="DC63" s="285"/>
      <c r="DD63" s="285"/>
      <c r="DE63" s="285"/>
      <c r="DF63" s="285"/>
      <c r="DG63" s="285"/>
      <c r="DH63" s="286"/>
      <c r="DI63" s="225" t="e">
        <f>CZ63=#REF!</f>
        <v>#REF!</v>
      </c>
      <c r="DK63" s="275"/>
      <c r="DL63" s="275"/>
    </row>
    <row r="64" spans="1:119" ht="13.5" hidden="1" customHeight="1" x14ac:dyDescent="0.2">
      <c r="A64" s="214"/>
      <c r="B64" s="215"/>
      <c r="C64" s="2708" t="s">
        <v>460</v>
      </c>
      <c r="D64" s="2708"/>
      <c r="E64" s="2708"/>
      <c r="F64" s="2708"/>
      <c r="G64" s="2708"/>
      <c r="H64" s="2708"/>
      <c r="I64" s="2708"/>
      <c r="J64" s="2708"/>
      <c r="K64" s="2708"/>
      <c r="L64" s="2708"/>
      <c r="M64" s="2708"/>
      <c r="N64" s="2708"/>
      <c r="O64" s="2708"/>
      <c r="P64" s="2708"/>
      <c r="Q64" s="2708"/>
      <c r="R64" s="2708"/>
      <c r="S64" s="2708"/>
      <c r="T64" s="2708"/>
      <c r="U64" s="2708"/>
      <c r="V64" s="2708"/>
      <c r="W64" s="2708"/>
      <c r="X64" s="2708"/>
      <c r="Y64" s="2708"/>
      <c r="Z64" s="2708"/>
      <c r="AA64" s="2708"/>
      <c r="AB64" s="2708"/>
      <c r="AC64" s="2708"/>
      <c r="AD64" s="2708"/>
      <c r="AE64" s="2708"/>
      <c r="AF64" s="2708"/>
      <c r="AG64" s="2708"/>
      <c r="AH64" s="2708"/>
      <c r="AI64" s="2708"/>
      <c r="AJ64" s="2708"/>
      <c r="AK64" s="2708"/>
      <c r="AL64" s="2708"/>
      <c r="AM64" s="2708"/>
      <c r="AN64" s="2708"/>
      <c r="AO64" s="2708"/>
      <c r="AP64" s="2708"/>
      <c r="AQ64" s="2708"/>
      <c r="AR64" s="2708"/>
      <c r="AS64" s="2708"/>
      <c r="AT64" s="2708"/>
      <c r="AU64" s="2708"/>
      <c r="AV64" s="2708"/>
      <c r="AW64" s="2708"/>
      <c r="AX64" s="2709"/>
      <c r="AY64" s="205"/>
      <c r="AZ64" s="276" t="s">
        <v>152</v>
      </c>
      <c r="BA64" s="249" t="s">
        <v>133</v>
      </c>
      <c r="BB64" s="249" t="s">
        <v>91</v>
      </c>
      <c r="BC64" s="276" t="s">
        <v>435</v>
      </c>
      <c r="BD64" s="276"/>
      <c r="BE64" s="276" t="s">
        <v>362</v>
      </c>
      <c r="BF64" s="276" t="s">
        <v>422</v>
      </c>
      <c r="BG64" s="277"/>
      <c r="BH64" s="278"/>
      <c r="BI64" s="279"/>
      <c r="BJ64" s="279"/>
      <c r="BK64" s="279"/>
      <c r="BL64" s="279"/>
      <c r="BM64" s="279"/>
      <c r="BN64" s="279"/>
      <c r="BO64" s="279"/>
      <c r="BP64" s="280"/>
      <c r="BQ64" s="280"/>
      <c r="BR64" s="280"/>
      <c r="BS64" s="280"/>
      <c r="BT64" s="280"/>
      <c r="BU64" s="280"/>
      <c r="BV64" s="280"/>
      <c r="BW64" s="280"/>
      <c r="BX64" s="281"/>
      <c r="BY64" s="282"/>
      <c r="BZ64" s="282"/>
      <c r="CA64" s="282"/>
      <c r="CB64" s="282"/>
      <c r="CC64" s="282"/>
      <c r="CD64" s="282"/>
      <c r="CE64" s="282"/>
      <c r="CF64" s="282"/>
      <c r="CG64" s="283"/>
      <c r="CH64" s="280"/>
      <c r="CI64" s="280"/>
      <c r="CJ64" s="280"/>
      <c r="CK64" s="280"/>
      <c r="CL64" s="280"/>
      <c r="CM64" s="280"/>
      <c r="CN64" s="280"/>
      <c r="CO64" s="280"/>
      <c r="CP64" s="281"/>
      <c r="CQ64" s="272"/>
      <c r="CR64" s="272"/>
      <c r="CS64" s="272"/>
      <c r="CT64" s="272"/>
      <c r="CU64" s="272"/>
      <c r="CV64" s="272"/>
      <c r="CW64" s="272"/>
      <c r="CX64" s="272"/>
      <c r="CY64" s="284"/>
      <c r="CZ64" s="263">
        <f t="shared" si="10"/>
        <v>0</v>
      </c>
      <c r="DA64" s="285"/>
      <c r="DB64" s="285"/>
      <c r="DC64" s="285"/>
      <c r="DD64" s="285"/>
      <c r="DE64" s="285"/>
      <c r="DF64" s="285"/>
      <c r="DG64" s="285"/>
      <c r="DH64" s="286"/>
      <c r="DI64" s="225"/>
      <c r="DK64" s="275"/>
      <c r="DL64" s="275"/>
    </row>
    <row r="65" spans="1:116" ht="12.75" x14ac:dyDescent="0.2">
      <c r="A65" s="214"/>
      <c r="B65" s="215"/>
      <c r="C65" s="2708" t="s">
        <v>460</v>
      </c>
      <c r="D65" s="2708"/>
      <c r="E65" s="2708"/>
      <c r="F65" s="2708"/>
      <c r="G65" s="2708"/>
      <c r="H65" s="2708"/>
      <c r="I65" s="2708"/>
      <c r="J65" s="2708"/>
      <c r="K65" s="2708"/>
      <c r="L65" s="2708"/>
      <c r="M65" s="2708"/>
      <c r="N65" s="2708"/>
      <c r="O65" s="2708"/>
      <c r="P65" s="2708"/>
      <c r="Q65" s="2708"/>
      <c r="R65" s="2708"/>
      <c r="S65" s="2708"/>
      <c r="T65" s="2708"/>
      <c r="U65" s="2708"/>
      <c r="V65" s="2708"/>
      <c r="W65" s="2708"/>
      <c r="X65" s="2708"/>
      <c r="Y65" s="2708"/>
      <c r="Z65" s="2708"/>
      <c r="AA65" s="2708"/>
      <c r="AB65" s="2708"/>
      <c r="AC65" s="2708"/>
      <c r="AD65" s="2708"/>
      <c r="AE65" s="2708"/>
      <c r="AF65" s="2708"/>
      <c r="AG65" s="2708"/>
      <c r="AH65" s="2708"/>
      <c r="AI65" s="2708"/>
      <c r="AJ65" s="2708"/>
      <c r="AK65" s="2708"/>
      <c r="AL65" s="2708"/>
      <c r="AM65" s="2708"/>
      <c r="AN65" s="2708"/>
      <c r="AO65" s="2708"/>
      <c r="AP65" s="2708"/>
      <c r="AQ65" s="2708"/>
      <c r="AR65" s="2708"/>
      <c r="AS65" s="2708"/>
      <c r="AT65" s="2708"/>
      <c r="AU65" s="2708"/>
      <c r="AV65" s="2708"/>
      <c r="AW65" s="2708"/>
      <c r="AX65" s="2709"/>
      <c r="AY65" s="205"/>
      <c r="AZ65" s="276" t="s">
        <v>152</v>
      </c>
      <c r="BA65" s="249" t="s">
        <v>518</v>
      </c>
      <c r="BB65" s="249" t="s">
        <v>91</v>
      </c>
      <c r="BC65" s="276" t="s">
        <v>612</v>
      </c>
      <c r="BD65" s="276"/>
      <c r="BE65" s="276" t="s">
        <v>362</v>
      </c>
      <c r="BF65" s="276" t="s">
        <v>422</v>
      </c>
      <c r="BG65" s="277"/>
      <c r="BH65" s="278"/>
      <c r="BI65" s="279"/>
      <c r="BJ65" s="279"/>
      <c r="BK65" s="279"/>
      <c r="BL65" s="279"/>
      <c r="BM65" s="279"/>
      <c r="BN65" s="279"/>
      <c r="BO65" s="279"/>
      <c r="BP65" s="280"/>
      <c r="BQ65" s="280"/>
      <c r="BR65" s="280"/>
      <c r="BS65" s="280"/>
      <c r="BT65" s="280"/>
      <c r="BU65" s="280"/>
      <c r="BV65" s="280"/>
      <c r="BW65" s="280"/>
      <c r="BX65" s="281"/>
      <c r="BY65" s="282"/>
      <c r="BZ65" s="282"/>
      <c r="CA65" s="282"/>
      <c r="CB65" s="282"/>
      <c r="CC65" s="282"/>
      <c r="CD65" s="282"/>
      <c r="CE65" s="282"/>
      <c r="CF65" s="282"/>
      <c r="CG65" s="283"/>
      <c r="CH65" s="280"/>
      <c r="CI65" s="280"/>
      <c r="CJ65" s="280"/>
      <c r="CK65" s="280"/>
      <c r="CL65" s="280"/>
      <c r="CM65" s="280"/>
      <c r="CN65" s="280"/>
      <c r="CO65" s="280"/>
      <c r="CP65" s="281"/>
      <c r="CQ65" s="272"/>
      <c r="CR65" s="272"/>
      <c r="CS65" s="272"/>
      <c r="CT65" s="272"/>
      <c r="CU65" s="272"/>
      <c r="CV65" s="272"/>
      <c r="CW65" s="272"/>
      <c r="CX65" s="272"/>
      <c r="CY65" s="284"/>
      <c r="CZ65" s="263" t="e">
        <f>DA65+DB65+DC65+DD65+DE65+DF65+DH65+DG65</f>
        <v>#REF!</v>
      </c>
      <c r="DA65" s="285"/>
      <c r="DB65" s="285"/>
      <c r="DC65" s="285" t="e">
        <f>#REF!</f>
        <v>#REF!</v>
      </c>
      <c r="DD65" s="285"/>
      <c r="DE65" s="285" t="e">
        <f>#REF!</f>
        <v>#REF!</v>
      </c>
      <c r="DF65" s="285"/>
      <c r="DG65" s="285" t="e">
        <f>#REF!</f>
        <v>#REF!</v>
      </c>
      <c r="DH65" s="286"/>
      <c r="DI65" s="225" t="e">
        <f>CZ65=#REF!</f>
        <v>#REF!</v>
      </c>
      <c r="DK65" s="275"/>
      <c r="DL65" s="275"/>
    </row>
    <row r="66" spans="1:116" ht="12.75" hidden="1" customHeight="1" x14ac:dyDescent="0.2">
      <c r="A66" s="214"/>
      <c r="B66" s="215"/>
      <c r="C66" s="2708" t="s">
        <v>460</v>
      </c>
      <c r="D66" s="2708"/>
      <c r="E66" s="2708"/>
      <c r="F66" s="2708"/>
      <c r="G66" s="2708"/>
      <c r="H66" s="2708"/>
      <c r="I66" s="2708"/>
      <c r="J66" s="2708"/>
      <c r="K66" s="2708"/>
      <c r="L66" s="2708"/>
      <c r="M66" s="2708"/>
      <c r="N66" s="2708"/>
      <c r="O66" s="2708"/>
      <c r="P66" s="2708"/>
      <c r="Q66" s="2708"/>
      <c r="R66" s="2708"/>
      <c r="S66" s="2708"/>
      <c r="T66" s="2708"/>
      <c r="U66" s="2708"/>
      <c r="V66" s="2708"/>
      <c r="W66" s="2708"/>
      <c r="X66" s="2708"/>
      <c r="Y66" s="2708"/>
      <c r="Z66" s="2708"/>
      <c r="AA66" s="2708"/>
      <c r="AB66" s="2708"/>
      <c r="AC66" s="2708"/>
      <c r="AD66" s="2708"/>
      <c r="AE66" s="2708"/>
      <c r="AF66" s="2708"/>
      <c r="AG66" s="2708"/>
      <c r="AH66" s="2708"/>
      <c r="AI66" s="2708"/>
      <c r="AJ66" s="2708"/>
      <c r="AK66" s="2708"/>
      <c r="AL66" s="2708"/>
      <c r="AM66" s="2708"/>
      <c r="AN66" s="2708"/>
      <c r="AO66" s="2708"/>
      <c r="AP66" s="2708"/>
      <c r="AQ66" s="2708"/>
      <c r="AR66" s="2708"/>
      <c r="AS66" s="2708"/>
      <c r="AT66" s="2708"/>
      <c r="AU66" s="2708"/>
      <c r="AV66" s="2708"/>
      <c r="AW66" s="2708"/>
      <c r="AX66" s="2709"/>
      <c r="AY66" s="205" t="s">
        <v>434</v>
      </c>
      <c r="AZ66" s="276" t="s">
        <v>152</v>
      </c>
      <c r="BA66" s="276" t="s">
        <v>110</v>
      </c>
      <c r="BB66" s="276" t="s">
        <v>92</v>
      </c>
      <c r="BC66" s="276" t="s">
        <v>435</v>
      </c>
      <c r="BD66" s="276"/>
      <c r="BE66" s="276" t="s">
        <v>362</v>
      </c>
      <c r="BF66" s="276" t="s">
        <v>438</v>
      </c>
      <c r="BG66" s="277">
        <v>27088</v>
      </c>
      <c r="BH66" s="278">
        <f>BG66-BI66</f>
        <v>0</v>
      </c>
      <c r="BI66" s="279">
        <f t="shared" si="3"/>
        <v>27088</v>
      </c>
      <c r="BJ66" s="279">
        <v>27088</v>
      </c>
      <c r="BK66" s="279"/>
      <c r="BL66" s="279"/>
      <c r="BM66" s="279"/>
      <c r="BN66" s="279"/>
      <c r="BO66" s="279"/>
      <c r="BP66" s="280">
        <f t="shared" si="4"/>
        <v>27088</v>
      </c>
      <c r="BQ66" s="280">
        <v>21312</v>
      </c>
      <c r="BR66" s="280"/>
      <c r="BS66" s="280"/>
      <c r="BT66" s="280"/>
      <c r="BU66" s="280"/>
      <c r="BV66" s="280"/>
      <c r="BW66" s="280">
        <v>5776</v>
      </c>
      <c r="BX66" s="281"/>
      <c r="BY66" s="282">
        <f t="shared" si="5"/>
        <v>27088</v>
      </c>
      <c r="BZ66" s="282">
        <v>21312</v>
      </c>
      <c r="CA66" s="282"/>
      <c r="CB66" s="282"/>
      <c r="CC66" s="282"/>
      <c r="CD66" s="282"/>
      <c r="CE66" s="282"/>
      <c r="CF66" s="282">
        <v>5776</v>
      </c>
      <c r="CG66" s="283"/>
      <c r="CH66" s="280">
        <f t="shared" si="6"/>
        <v>27087.55</v>
      </c>
      <c r="CI66" s="280">
        <v>21312</v>
      </c>
      <c r="CJ66" s="280"/>
      <c r="CK66" s="280"/>
      <c r="CL66" s="280"/>
      <c r="CM66" s="280"/>
      <c r="CN66" s="280"/>
      <c r="CO66" s="280">
        <v>5775.55</v>
      </c>
      <c r="CP66" s="281"/>
      <c r="CQ66" s="272">
        <f t="shared" si="7"/>
        <v>27087.55</v>
      </c>
      <c r="CR66" s="272">
        <v>21312</v>
      </c>
      <c r="CS66" s="272"/>
      <c r="CT66" s="272"/>
      <c r="CU66" s="272"/>
      <c r="CV66" s="272"/>
      <c r="CW66" s="272"/>
      <c r="CX66" s="272">
        <v>5775.55</v>
      </c>
      <c r="CY66" s="284"/>
      <c r="CZ66" s="263">
        <f t="shared" si="10"/>
        <v>0</v>
      </c>
      <c r="DA66" s="285"/>
      <c r="DB66" s="285"/>
      <c r="DC66" s="285"/>
      <c r="DD66" s="285"/>
      <c r="DE66" s="285"/>
      <c r="DF66" s="285"/>
      <c r="DG66" s="285"/>
      <c r="DH66" s="286"/>
      <c r="DI66" s="225" t="e">
        <f>CZ66=#REF!</f>
        <v>#REF!</v>
      </c>
      <c r="DJ66" s="175" t="b">
        <f t="shared" si="2"/>
        <v>0</v>
      </c>
      <c r="DK66" s="275"/>
      <c r="DL66" s="275"/>
    </row>
    <row r="67" spans="1:116" ht="12.75" hidden="1" customHeight="1" x14ac:dyDescent="0.2">
      <c r="A67" s="214"/>
      <c r="B67" s="215"/>
      <c r="C67" s="2708" t="s">
        <v>460</v>
      </c>
      <c r="D67" s="2708"/>
      <c r="E67" s="2708"/>
      <c r="F67" s="2708"/>
      <c r="G67" s="2708"/>
      <c r="H67" s="2708"/>
      <c r="I67" s="2708"/>
      <c r="J67" s="2708"/>
      <c r="K67" s="2708"/>
      <c r="L67" s="2708"/>
      <c r="M67" s="2708"/>
      <c r="N67" s="2708"/>
      <c r="O67" s="2708"/>
      <c r="P67" s="2708"/>
      <c r="Q67" s="2708"/>
      <c r="R67" s="2708"/>
      <c r="S67" s="2708"/>
      <c r="T67" s="2708"/>
      <c r="U67" s="2708"/>
      <c r="V67" s="2708"/>
      <c r="W67" s="2708"/>
      <c r="X67" s="2708"/>
      <c r="Y67" s="2708"/>
      <c r="Z67" s="2708"/>
      <c r="AA67" s="2708"/>
      <c r="AB67" s="2708"/>
      <c r="AC67" s="2708"/>
      <c r="AD67" s="2708"/>
      <c r="AE67" s="2708"/>
      <c r="AF67" s="2708"/>
      <c r="AG67" s="2708"/>
      <c r="AH67" s="2708"/>
      <c r="AI67" s="2708"/>
      <c r="AJ67" s="2708"/>
      <c r="AK67" s="2708"/>
      <c r="AL67" s="2708"/>
      <c r="AM67" s="2708"/>
      <c r="AN67" s="2708"/>
      <c r="AO67" s="2708"/>
      <c r="AP67" s="2708"/>
      <c r="AQ67" s="2708"/>
      <c r="AR67" s="2708"/>
      <c r="AS67" s="2708"/>
      <c r="AT67" s="2708"/>
      <c r="AU67" s="2708"/>
      <c r="AV67" s="2708"/>
      <c r="AW67" s="2708"/>
      <c r="AX67" s="2709"/>
      <c r="AY67" s="205"/>
      <c r="AZ67" s="276" t="s">
        <v>152</v>
      </c>
      <c r="BA67" s="276" t="s">
        <v>461</v>
      </c>
      <c r="BB67" s="267" t="s">
        <v>337</v>
      </c>
      <c r="BC67" s="276" t="s">
        <v>435</v>
      </c>
      <c r="BD67" s="276"/>
      <c r="BE67" s="276" t="s">
        <v>362</v>
      </c>
      <c r="BF67" s="276" t="s">
        <v>422</v>
      </c>
      <c r="BG67" s="277"/>
      <c r="BH67" s="278"/>
      <c r="BI67" s="279"/>
      <c r="BJ67" s="279"/>
      <c r="BK67" s="279"/>
      <c r="BL67" s="279"/>
      <c r="BM67" s="279"/>
      <c r="BN67" s="279"/>
      <c r="BO67" s="279"/>
      <c r="BP67" s="280"/>
      <c r="BQ67" s="280"/>
      <c r="BR67" s="280"/>
      <c r="BS67" s="280"/>
      <c r="BT67" s="280"/>
      <c r="BU67" s="280"/>
      <c r="BV67" s="280"/>
      <c r="BW67" s="280"/>
      <c r="BX67" s="281"/>
      <c r="BY67" s="282"/>
      <c r="BZ67" s="282"/>
      <c r="CA67" s="282"/>
      <c r="CB67" s="282"/>
      <c r="CC67" s="282"/>
      <c r="CD67" s="282"/>
      <c r="CE67" s="282"/>
      <c r="CF67" s="282"/>
      <c r="CG67" s="283"/>
      <c r="CH67" s="280">
        <f t="shared" si="6"/>
        <v>0</v>
      </c>
      <c r="CI67" s="280"/>
      <c r="CJ67" s="280"/>
      <c r="CK67" s="280"/>
      <c r="CL67" s="280"/>
      <c r="CM67" s="280"/>
      <c r="CN67" s="280"/>
      <c r="CO67" s="280"/>
      <c r="CP67" s="281"/>
      <c r="CQ67" s="272">
        <f t="shared" si="7"/>
        <v>99950</v>
      </c>
      <c r="CR67" s="272"/>
      <c r="CS67" s="272"/>
      <c r="CT67" s="272"/>
      <c r="CU67" s="272"/>
      <c r="CV67" s="272">
        <v>99950</v>
      </c>
      <c r="CW67" s="272"/>
      <c r="CX67" s="272"/>
      <c r="CY67" s="284"/>
      <c r="CZ67" s="263">
        <f t="shared" si="10"/>
        <v>0</v>
      </c>
      <c r="DA67" s="285"/>
      <c r="DB67" s="285"/>
      <c r="DC67" s="285"/>
      <c r="DD67" s="285"/>
      <c r="DE67" s="285"/>
      <c r="DF67" s="285"/>
      <c r="DG67" s="285"/>
      <c r="DH67" s="286"/>
      <c r="DI67" s="225"/>
      <c r="DK67" s="275"/>
      <c r="DL67" s="275"/>
    </row>
    <row r="68" spans="1:116" ht="12.75" hidden="1" customHeight="1" x14ac:dyDescent="0.2">
      <c r="A68" s="214"/>
      <c r="B68" s="215"/>
      <c r="C68" s="2708" t="s">
        <v>460</v>
      </c>
      <c r="D68" s="2708"/>
      <c r="E68" s="2708"/>
      <c r="F68" s="2708"/>
      <c r="G68" s="2708"/>
      <c r="H68" s="2708"/>
      <c r="I68" s="2708"/>
      <c r="J68" s="2708"/>
      <c r="K68" s="2708"/>
      <c r="L68" s="2708"/>
      <c r="M68" s="2708"/>
      <c r="N68" s="2708"/>
      <c r="O68" s="2708"/>
      <c r="P68" s="2708"/>
      <c r="Q68" s="2708"/>
      <c r="R68" s="2708"/>
      <c r="S68" s="2708"/>
      <c r="T68" s="2708"/>
      <c r="U68" s="2708"/>
      <c r="V68" s="2708"/>
      <c r="W68" s="2708"/>
      <c r="X68" s="2708"/>
      <c r="Y68" s="2708"/>
      <c r="Z68" s="2708"/>
      <c r="AA68" s="2708"/>
      <c r="AB68" s="2708"/>
      <c r="AC68" s="2708"/>
      <c r="AD68" s="2708"/>
      <c r="AE68" s="2708"/>
      <c r="AF68" s="2708"/>
      <c r="AG68" s="2708"/>
      <c r="AH68" s="2708"/>
      <c r="AI68" s="2708"/>
      <c r="AJ68" s="2708"/>
      <c r="AK68" s="2708"/>
      <c r="AL68" s="2708"/>
      <c r="AM68" s="2708"/>
      <c r="AN68" s="2708"/>
      <c r="AO68" s="2708"/>
      <c r="AP68" s="2708"/>
      <c r="AQ68" s="2708"/>
      <c r="AR68" s="2708"/>
      <c r="AS68" s="2708"/>
      <c r="AT68" s="2708"/>
      <c r="AU68" s="2708"/>
      <c r="AV68" s="2708"/>
      <c r="AW68" s="2708"/>
      <c r="AX68" s="2709"/>
      <c r="AY68" s="205"/>
      <c r="AZ68" s="276" t="s">
        <v>152</v>
      </c>
      <c r="BA68" s="276" t="s">
        <v>355</v>
      </c>
      <c r="BB68" s="267" t="s">
        <v>337</v>
      </c>
      <c r="BC68" s="276" t="s">
        <v>435</v>
      </c>
      <c r="BD68" s="276"/>
      <c r="BE68" s="276" t="s">
        <v>362</v>
      </c>
      <c r="BF68" s="276" t="s">
        <v>422</v>
      </c>
      <c r="BG68" s="277"/>
      <c r="BH68" s="278"/>
      <c r="BI68" s="279"/>
      <c r="BJ68" s="279"/>
      <c r="BK68" s="279"/>
      <c r="BL68" s="279"/>
      <c r="BM68" s="279"/>
      <c r="BN68" s="279"/>
      <c r="BO68" s="279"/>
      <c r="BP68" s="280"/>
      <c r="BQ68" s="280"/>
      <c r="BR68" s="280"/>
      <c r="BS68" s="280"/>
      <c r="BT68" s="280"/>
      <c r="BU68" s="280"/>
      <c r="BV68" s="280"/>
      <c r="BW68" s="280"/>
      <c r="BX68" s="281"/>
      <c r="BY68" s="282"/>
      <c r="BZ68" s="282"/>
      <c r="CA68" s="282"/>
      <c r="CB68" s="282"/>
      <c r="CC68" s="282"/>
      <c r="CD68" s="282"/>
      <c r="CE68" s="282"/>
      <c r="CF68" s="282"/>
      <c r="CG68" s="283"/>
      <c r="CH68" s="280">
        <f>CI68+CJ68+CK68+CL68+CM68+CN68+CP68+CO68</f>
        <v>0</v>
      </c>
      <c r="CI68" s="280"/>
      <c r="CJ68" s="280"/>
      <c r="CK68" s="280"/>
      <c r="CL68" s="280"/>
      <c r="CM68" s="280"/>
      <c r="CN68" s="280"/>
      <c r="CO68" s="280"/>
      <c r="CP68" s="281"/>
      <c r="CQ68" s="272">
        <f>SUM(CR68:CY68)</f>
        <v>99950</v>
      </c>
      <c r="CR68" s="272"/>
      <c r="CS68" s="272"/>
      <c r="CT68" s="272"/>
      <c r="CU68" s="272"/>
      <c r="CV68" s="272">
        <v>99950</v>
      </c>
      <c r="CW68" s="272"/>
      <c r="CX68" s="272"/>
      <c r="CY68" s="284"/>
      <c r="CZ68" s="263">
        <f>DA68+DB68+DC68+DD68+DE68+DF68+DH68+DG68</f>
        <v>0</v>
      </c>
      <c r="DA68" s="285"/>
      <c r="DB68" s="285"/>
      <c r="DC68" s="285"/>
      <c r="DD68" s="285"/>
      <c r="DE68" s="285"/>
      <c r="DF68" s="285"/>
      <c r="DG68" s="285"/>
      <c r="DH68" s="286"/>
      <c r="DI68" s="225" t="e">
        <f>CZ68=#REF!</f>
        <v>#REF!</v>
      </c>
      <c r="DK68" s="275"/>
      <c r="DL68" s="275"/>
    </row>
    <row r="69" spans="1:116" ht="12.75" hidden="1" x14ac:dyDescent="0.2">
      <c r="A69" s="214"/>
      <c r="B69" s="215"/>
      <c r="C69" s="2675" t="s">
        <v>489</v>
      </c>
      <c r="D69" s="2675"/>
      <c r="E69" s="2675"/>
      <c r="F69" s="2675"/>
      <c r="G69" s="2675"/>
      <c r="H69" s="2675"/>
      <c r="I69" s="2675"/>
      <c r="J69" s="2675"/>
      <c r="K69" s="2675"/>
      <c r="L69" s="2675"/>
      <c r="M69" s="2675"/>
      <c r="N69" s="2675"/>
      <c r="O69" s="2675"/>
      <c r="P69" s="2675"/>
      <c r="Q69" s="2675"/>
      <c r="R69" s="2675"/>
      <c r="S69" s="2675"/>
      <c r="T69" s="2675"/>
      <c r="U69" s="2675"/>
      <c r="V69" s="2675"/>
      <c r="W69" s="2675"/>
      <c r="X69" s="2675"/>
      <c r="Y69" s="2675"/>
      <c r="Z69" s="2675"/>
      <c r="AA69" s="2675"/>
      <c r="AB69" s="2675"/>
      <c r="AC69" s="2675"/>
      <c r="AD69" s="2675"/>
      <c r="AE69" s="2675"/>
      <c r="AF69" s="2675"/>
      <c r="AG69" s="2675"/>
      <c r="AH69" s="2675"/>
      <c r="AI69" s="2675"/>
      <c r="AJ69" s="2675"/>
      <c r="AK69" s="2675"/>
      <c r="AL69" s="2675"/>
      <c r="AM69" s="2675"/>
      <c r="AN69" s="2675"/>
      <c r="AO69" s="2675"/>
      <c r="AP69" s="2675"/>
      <c r="AQ69" s="2675"/>
      <c r="AR69" s="2675"/>
      <c r="AS69" s="2675"/>
      <c r="AT69" s="2675"/>
      <c r="AU69" s="2675"/>
      <c r="AV69" s="2675"/>
      <c r="AW69" s="2675"/>
      <c r="AX69" s="2676"/>
      <c r="AY69" s="205" t="s">
        <v>462</v>
      </c>
      <c r="AZ69" s="276" t="s">
        <v>152</v>
      </c>
      <c r="BA69" s="276" t="s">
        <v>463</v>
      </c>
      <c r="BB69" s="276" t="s">
        <v>511</v>
      </c>
      <c r="BC69" s="276" t="s">
        <v>464</v>
      </c>
      <c r="BD69" s="276"/>
      <c r="BE69" s="276" t="s">
        <v>362</v>
      </c>
      <c r="BF69" s="276" t="s">
        <v>422</v>
      </c>
      <c r="BG69" s="277">
        <v>2400</v>
      </c>
      <c r="BH69" s="278">
        <f>BG69-BI69</f>
        <v>0</v>
      </c>
      <c r="BI69" s="279">
        <f t="shared" si="3"/>
        <v>2400</v>
      </c>
      <c r="BJ69" s="279">
        <v>2400</v>
      </c>
      <c r="BK69" s="279"/>
      <c r="BL69" s="279"/>
      <c r="BM69" s="279"/>
      <c r="BN69" s="279"/>
      <c r="BO69" s="279"/>
      <c r="BP69" s="280">
        <f t="shared" si="4"/>
        <v>2400</v>
      </c>
      <c r="BQ69" s="280">
        <v>2400</v>
      </c>
      <c r="BR69" s="280"/>
      <c r="BS69" s="280"/>
      <c r="BT69" s="280"/>
      <c r="BU69" s="280"/>
      <c r="BV69" s="280"/>
      <c r="BW69" s="280"/>
      <c r="BX69" s="281"/>
      <c r="BY69" s="282">
        <f t="shared" si="5"/>
        <v>2400</v>
      </c>
      <c r="BZ69" s="282">
        <v>2400</v>
      </c>
      <c r="CA69" s="282"/>
      <c r="CB69" s="282"/>
      <c r="CC69" s="282"/>
      <c r="CD69" s="282"/>
      <c r="CE69" s="282"/>
      <c r="CF69" s="282"/>
      <c r="CG69" s="283"/>
      <c r="CH69" s="280">
        <f t="shared" si="6"/>
        <v>2400</v>
      </c>
      <c r="CI69" s="280">
        <v>2400</v>
      </c>
      <c r="CJ69" s="280"/>
      <c r="CK69" s="280"/>
      <c r="CL69" s="280"/>
      <c r="CM69" s="280"/>
      <c r="CN69" s="280"/>
      <c r="CO69" s="280"/>
      <c r="CP69" s="281"/>
      <c r="CQ69" s="272">
        <f t="shared" si="7"/>
        <v>2400</v>
      </c>
      <c r="CR69" s="272">
        <v>2400</v>
      </c>
      <c r="CS69" s="272"/>
      <c r="CT69" s="272"/>
      <c r="CU69" s="272"/>
      <c r="CV69" s="272"/>
      <c r="CW69" s="272"/>
      <c r="CX69" s="272"/>
      <c r="CY69" s="284"/>
      <c r="CZ69" s="263">
        <f t="shared" si="10"/>
        <v>0</v>
      </c>
      <c r="DA69" s="285"/>
      <c r="DB69" s="285"/>
      <c r="DC69" s="285"/>
      <c r="DD69" s="285"/>
      <c r="DE69" s="285"/>
      <c r="DF69" s="285"/>
      <c r="DG69" s="285"/>
      <c r="DH69" s="286"/>
      <c r="DI69" s="225"/>
      <c r="DJ69" s="175" t="b">
        <f t="shared" ref="DJ69:DJ106" si="12">BI69=CZ69</f>
        <v>0</v>
      </c>
      <c r="DK69" s="275"/>
      <c r="DL69" s="275"/>
    </row>
    <row r="70" spans="1:116" ht="12.75" hidden="1" customHeight="1" x14ac:dyDescent="0.2">
      <c r="A70" s="214"/>
      <c r="B70" s="215"/>
      <c r="C70" s="2675" t="s">
        <v>458</v>
      </c>
      <c r="D70" s="2675"/>
      <c r="E70" s="2675"/>
      <c r="F70" s="2675"/>
      <c r="G70" s="2675"/>
      <c r="H70" s="2675"/>
      <c r="I70" s="2675"/>
      <c r="J70" s="2675"/>
      <c r="K70" s="2675"/>
      <c r="L70" s="2675"/>
      <c r="M70" s="2675"/>
      <c r="N70" s="2675"/>
      <c r="O70" s="2675"/>
      <c r="P70" s="2675"/>
      <c r="Q70" s="2675"/>
      <c r="R70" s="2675"/>
      <c r="S70" s="2675"/>
      <c r="T70" s="2675"/>
      <c r="U70" s="2675"/>
      <c r="V70" s="2675"/>
      <c r="W70" s="2675"/>
      <c r="X70" s="2675"/>
      <c r="Y70" s="2675"/>
      <c r="Z70" s="2675"/>
      <c r="AA70" s="2675"/>
      <c r="AB70" s="2675"/>
      <c r="AC70" s="2675"/>
      <c r="AD70" s="2675"/>
      <c r="AE70" s="2675"/>
      <c r="AF70" s="2675"/>
      <c r="AG70" s="2675"/>
      <c r="AH70" s="2675"/>
      <c r="AI70" s="2675"/>
      <c r="AJ70" s="2675"/>
      <c r="AK70" s="2675"/>
      <c r="AL70" s="2675"/>
      <c r="AM70" s="2675"/>
      <c r="AN70" s="2675"/>
      <c r="AO70" s="2675"/>
      <c r="AP70" s="2675"/>
      <c r="AQ70" s="2675"/>
      <c r="AR70" s="2675"/>
      <c r="AS70" s="2675"/>
      <c r="AT70" s="2675"/>
      <c r="AU70" s="2675"/>
      <c r="AV70" s="2675"/>
      <c r="AW70" s="2675"/>
      <c r="AX70" s="2676"/>
      <c r="AY70" s="205" t="s">
        <v>444</v>
      </c>
      <c r="AZ70" s="276" t="s">
        <v>152</v>
      </c>
      <c r="BA70" s="276" t="s">
        <v>130</v>
      </c>
      <c r="BB70" s="267" t="s">
        <v>337</v>
      </c>
      <c r="BC70" s="276" t="s">
        <v>445</v>
      </c>
      <c r="BD70" s="276"/>
      <c r="BE70" s="276" t="s">
        <v>362</v>
      </c>
      <c r="BF70" s="276" t="s">
        <v>422</v>
      </c>
      <c r="BG70" s="277">
        <v>59064</v>
      </c>
      <c r="BH70" s="278">
        <f>BG70-BI70</f>
        <v>0</v>
      </c>
      <c r="BI70" s="279">
        <f>BJ70+BK70+BL70+BM70+BN70+BO70</f>
        <v>59064</v>
      </c>
      <c r="BJ70" s="279">
        <v>59064</v>
      </c>
      <c r="BK70" s="279"/>
      <c r="BL70" s="279"/>
      <c r="BM70" s="288"/>
      <c r="BN70" s="279"/>
      <c r="BO70" s="279"/>
      <c r="BP70" s="280">
        <f>BQ70+BR70+BS70+BT70+BU70+BV70+BX70+BW70</f>
        <v>59064</v>
      </c>
      <c r="BQ70" s="280">
        <v>59064</v>
      </c>
      <c r="BR70" s="280"/>
      <c r="BS70" s="280"/>
      <c r="BT70" s="289"/>
      <c r="BU70" s="280"/>
      <c r="BV70" s="280"/>
      <c r="BW70" s="280"/>
      <c r="BX70" s="281"/>
      <c r="BY70" s="282">
        <f>BZ70+CA70+CB70+CC70+CD70+CE70+CG70+CF70</f>
        <v>59064</v>
      </c>
      <c r="BZ70" s="282">
        <v>59064</v>
      </c>
      <c r="CA70" s="282"/>
      <c r="CB70" s="282"/>
      <c r="CC70" s="290"/>
      <c r="CD70" s="282"/>
      <c r="CE70" s="282"/>
      <c r="CF70" s="282"/>
      <c r="CG70" s="283"/>
      <c r="CH70" s="280">
        <f>CI70+CJ70+CK70+CL70+CM70+CN70+CP70+CO70</f>
        <v>59064</v>
      </c>
      <c r="CI70" s="280">
        <v>59064</v>
      </c>
      <c r="CJ70" s="280"/>
      <c r="CK70" s="280"/>
      <c r="CL70" s="289"/>
      <c r="CM70" s="280"/>
      <c r="CN70" s="280"/>
      <c r="CO70" s="280"/>
      <c r="CP70" s="281"/>
      <c r="CQ70" s="272">
        <f>SUM(CR70:CY70)</f>
        <v>59064</v>
      </c>
      <c r="CR70" s="272">
        <v>59064</v>
      </c>
      <c r="CS70" s="272"/>
      <c r="CT70" s="272"/>
      <c r="CU70" s="291"/>
      <c r="CV70" s="272"/>
      <c r="CW70" s="272"/>
      <c r="CX70" s="272"/>
      <c r="CY70" s="284"/>
      <c r="CZ70" s="263">
        <f>DA70+DB70+DC70+DD70+DE70+DF70+DH70+DG70</f>
        <v>0</v>
      </c>
      <c r="DA70" s="285"/>
      <c r="DB70" s="285"/>
      <c r="DC70" s="285"/>
      <c r="DD70" s="292"/>
      <c r="DE70" s="285"/>
      <c r="DF70" s="285"/>
      <c r="DG70" s="285"/>
      <c r="DH70" s="286"/>
      <c r="DI70" s="225" t="e">
        <f>CZ70=#REF!</f>
        <v>#REF!</v>
      </c>
      <c r="DJ70" s="175" t="b">
        <f>BI70=CZ70</f>
        <v>0</v>
      </c>
      <c r="DK70" s="275"/>
      <c r="DL70" s="275"/>
    </row>
    <row r="71" spans="1:116" ht="12.75" hidden="1" customHeight="1" x14ac:dyDescent="0.2">
      <c r="A71" s="214"/>
      <c r="B71" s="215"/>
      <c r="C71" s="2675" t="s">
        <v>458</v>
      </c>
      <c r="D71" s="2675"/>
      <c r="E71" s="2675"/>
      <c r="F71" s="2675"/>
      <c r="G71" s="2675"/>
      <c r="H71" s="2675"/>
      <c r="I71" s="2675"/>
      <c r="J71" s="2675"/>
      <c r="K71" s="2675"/>
      <c r="L71" s="2675"/>
      <c r="M71" s="2675"/>
      <c r="N71" s="2675"/>
      <c r="O71" s="2675"/>
      <c r="P71" s="2675"/>
      <c r="Q71" s="2675"/>
      <c r="R71" s="2675"/>
      <c r="S71" s="2675"/>
      <c r="T71" s="2675"/>
      <c r="U71" s="2675"/>
      <c r="V71" s="2675"/>
      <c r="W71" s="2675"/>
      <c r="X71" s="2675"/>
      <c r="Y71" s="2675"/>
      <c r="Z71" s="2675"/>
      <c r="AA71" s="2675"/>
      <c r="AB71" s="2675"/>
      <c r="AC71" s="2675"/>
      <c r="AD71" s="2675"/>
      <c r="AE71" s="2675"/>
      <c r="AF71" s="2675"/>
      <c r="AG71" s="2675"/>
      <c r="AH71" s="2675"/>
      <c r="AI71" s="2675"/>
      <c r="AJ71" s="2675"/>
      <c r="AK71" s="2675"/>
      <c r="AL71" s="2675"/>
      <c r="AM71" s="2675"/>
      <c r="AN71" s="2675"/>
      <c r="AO71" s="2675"/>
      <c r="AP71" s="2675"/>
      <c r="AQ71" s="2675"/>
      <c r="AR71" s="2675"/>
      <c r="AS71" s="2675"/>
      <c r="AT71" s="2675"/>
      <c r="AU71" s="2675"/>
      <c r="AV71" s="2675"/>
      <c r="AW71" s="2675"/>
      <c r="AX71" s="2676"/>
      <c r="AY71" s="205" t="s">
        <v>444</v>
      </c>
      <c r="AZ71" s="276" t="s">
        <v>152</v>
      </c>
      <c r="BA71" s="276" t="s">
        <v>130</v>
      </c>
      <c r="BB71" s="266" t="s">
        <v>91</v>
      </c>
      <c r="BC71" s="276" t="s">
        <v>445</v>
      </c>
      <c r="BD71" s="276"/>
      <c r="BE71" s="276" t="s">
        <v>362</v>
      </c>
      <c r="BF71" s="276" t="s">
        <v>422</v>
      </c>
      <c r="BG71" s="277">
        <v>59064</v>
      </c>
      <c r="BH71" s="278">
        <f>BG71-BI71</f>
        <v>0</v>
      </c>
      <c r="BI71" s="279">
        <f>BJ71+BK71+BL71+BM71+BN71+BO71</f>
        <v>59064</v>
      </c>
      <c r="BJ71" s="279">
        <v>59064</v>
      </c>
      <c r="BK71" s="279"/>
      <c r="BL71" s="279"/>
      <c r="BM71" s="288"/>
      <c r="BN71" s="279"/>
      <c r="BO71" s="279"/>
      <c r="BP71" s="280">
        <f>BQ71+BR71+BS71+BT71+BU71+BV71+BX71+BW71</f>
        <v>59064</v>
      </c>
      <c r="BQ71" s="280">
        <v>59064</v>
      </c>
      <c r="BR71" s="280"/>
      <c r="BS71" s="280"/>
      <c r="BT71" s="289"/>
      <c r="BU71" s="280"/>
      <c r="BV71" s="280"/>
      <c r="BW71" s="280"/>
      <c r="BX71" s="281"/>
      <c r="BY71" s="282">
        <f>BZ71+CA71+CB71+CC71+CD71+CE71+CG71+CF71</f>
        <v>59064</v>
      </c>
      <c r="BZ71" s="282">
        <v>59064</v>
      </c>
      <c r="CA71" s="282"/>
      <c r="CB71" s="282"/>
      <c r="CC71" s="290"/>
      <c r="CD71" s="282"/>
      <c r="CE71" s="282"/>
      <c r="CF71" s="282"/>
      <c r="CG71" s="283"/>
      <c r="CH71" s="280">
        <f>CI71+CJ71+CK71+CL71+CM71+CN71+CP71+CO71</f>
        <v>59064</v>
      </c>
      <c r="CI71" s="280">
        <v>59064</v>
      </c>
      <c r="CJ71" s="280"/>
      <c r="CK71" s="280"/>
      <c r="CL71" s="289"/>
      <c r="CM71" s="280"/>
      <c r="CN71" s="280"/>
      <c r="CO71" s="280"/>
      <c r="CP71" s="281"/>
      <c r="CQ71" s="272">
        <f>SUM(CR71:CY71)</f>
        <v>59064</v>
      </c>
      <c r="CR71" s="272">
        <v>59064</v>
      </c>
      <c r="CS71" s="272"/>
      <c r="CT71" s="272"/>
      <c r="CU71" s="291"/>
      <c r="CV71" s="272"/>
      <c r="CW71" s="272"/>
      <c r="CX71" s="272"/>
      <c r="CY71" s="284"/>
      <c r="CZ71" s="263">
        <f>DA71+DB71+DC71+DD71+DE71+DF71+DH71+DG71</f>
        <v>0</v>
      </c>
      <c r="DA71" s="285"/>
      <c r="DB71" s="285"/>
      <c r="DC71" s="285"/>
      <c r="DD71" s="292"/>
      <c r="DE71" s="285"/>
      <c r="DF71" s="285"/>
      <c r="DG71" s="285"/>
      <c r="DH71" s="286"/>
      <c r="DI71" s="225" t="e">
        <f>CZ71=#REF!</f>
        <v>#REF!</v>
      </c>
      <c r="DJ71" s="175" t="b">
        <f>BI71=CZ71</f>
        <v>0</v>
      </c>
      <c r="DK71" s="275"/>
      <c r="DL71" s="275"/>
    </row>
    <row r="72" spans="1:116" ht="12.75" hidden="1" x14ac:dyDescent="0.2">
      <c r="A72" s="214"/>
      <c r="B72" s="215"/>
      <c r="C72" s="2675" t="s">
        <v>458</v>
      </c>
      <c r="D72" s="2675"/>
      <c r="E72" s="2675"/>
      <c r="F72" s="2675"/>
      <c r="G72" s="2675"/>
      <c r="H72" s="2675"/>
      <c r="I72" s="2675"/>
      <c r="J72" s="2675"/>
      <c r="K72" s="2675"/>
      <c r="L72" s="2675"/>
      <c r="M72" s="2675"/>
      <c r="N72" s="2675"/>
      <c r="O72" s="2675"/>
      <c r="P72" s="2675"/>
      <c r="Q72" s="2675"/>
      <c r="R72" s="2675"/>
      <c r="S72" s="2675"/>
      <c r="T72" s="2675"/>
      <c r="U72" s="2675"/>
      <c r="V72" s="2675"/>
      <c r="W72" s="2675"/>
      <c r="X72" s="2675"/>
      <c r="Y72" s="2675"/>
      <c r="Z72" s="2675"/>
      <c r="AA72" s="2675"/>
      <c r="AB72" s="2675"/>
      <c r="AC72" s="2675"/>
      <c r="AD72" s="2675"/>
      <c r="AE72" s="2675"/>
      <c r="AF72" s="2675"/>
      <c r="AG72" s="2675"/>
      <c r="AH72" s="2675"/>
      <c r="AI72" s="2675"/>
      <c r="AJ72" s="2675"/>
      <c r="AK72" s="2675"/>
      <c r="AL72" s="2675"/>
      <c r="AM72" s="2675"/>
      <c r="AN72" s="2675"/>
      <c r="AO72" s="2675"/>
      <c r="AP72" s="2675"/>
      <c r="AQ72" s="2675"/>
      <c r="AR72" s="2675"/>
      <c r="AS72" s="2675"/>
      <c r="AT72" s="2675"/>
      <c r="AU72" s="2675"/>
      <c r="AV72" s="2675"/>
      <c r="AW72" s="2675"/>
      <c r="AX72" s="2676"/>
      <c r="AY72" s="205"/>
      <c r="AZ72" s="276" t="s">
        <v>152</v>
      </c>
      <c r="BA72" s="276" t="s">
        <v>353</v>
      </c>
      <c r="BB72" s="276" t="s">
        <v>354</v>
      </c>
      <c r="BC72" s="276" t="s">
        <v>445</v>
      </c>
      <c r="BD72" s="276"/>
      <c r="BE72" s="276" t="s">
        <v>362</v>
      </c>
      <c r="BF72" s="276" t="s">
        <v>422</v>
      </c>
      <c r="BG72" s="277"/>
      <c r="BH72" s="278"/>
      <c r="BI72" s="279"/>
      <c r="BJ72" s="279"/>
      <c r="BK72" s="279"/>
      <c r="BL72" s="279"/>
      <c r="BM72" s="279"/>
      <c r="BN72" s="279"/>
      <c r="BO72" s="279"/>
      <c r="BP72" s="280"/>
      <c r="BQ72" s="280"/>
      <c r="BR72" s="280"/>
      <c r="BS72" s="280"/>
      <c r="BT72" s="280"/>
      <c r="BU72" s="280"/>
      <c r="BV72" s="280"/>
      <c r="BW72" s="280"/>
      <c r="BX72" s="281"/>
      <c r="BY72" s="282"/>
      <c r="BZ72" s="282"/>
      <c r="CA72" s="282"/>
      <c r="CB72" s="282"/>
      <c r="CC72" s="282"/>
      <c r="CD72" s="282"/>
      <c r="CE72" s="282"/>
      <c r="CF72" s="282"/>
      <c r="CG72" s="283"/>
      <c r="CH72" s="280"/>
      <c r="CI72" s="280"/>
      <c r="CJ72" s="280"/>
      <c r="CK72" s="280"/>
      <c r="CL72" s="280"/>
      <c r="CM72" s="280"/>
      <c r="CN72" s="280"/>
      <c r="CO72" s="280"/>
      <c r="CP72" s="281"/>
      <c r="CQ72" s="272"/>
      <c r="CR72" s="272"/>
      <c r="CS72" s="272"/>
      <c r="CT72" s="272"/>
      <c r="CU72" s="272"/>
      <c r="CV72" s="272"/>
      <c r="CW72" s="272"/>
      <c r="CX72" s="272"/>
      <c r="CY72" s="284"/>
      <c r="CZ72" s="263">
        <f t="shared" si="10"/>
        <v>0</v>
      </c>
      <c r="DA72" s="285"/>
      <c r="DB72" s="285"/>
      <c r="DC72" s="285"/>
      <c r="DD72" s="285"/>
      <c r="DE72" s="285"/>
      <c r="DF72" s="285"/>
      <c r="DG72" s="285"/>
      <c r="DH72" s="286"/>
      <c r="DI72" s="225" t="e">
        <f>CZ72=#REF!</f>
        <v>#REF!</v>
      </c>
      <c r="DK72" s="275"/>
      <c r="DL72" s="275"/>
    </row>
    <row r="73" spans="1:116" ht="12.75" hidden="1" customHeight="1" x14ac:dyDescent="0.2">
      <c r="A73" s="214"/>
      <c r="B73" s="215"/>
      <c r="C73" s="2675" t="s">
        <v>458</v>
      </c>
      <c r="D73" s="2675"/>
      <c r="E73" s="2675"/>
      <c r="F73" s="2675"/>
      <c r="G73" s="2675"/>
      <c r="H73" s="2675"/>
      <c r="I73" s="2675"/>
      <c r="J73" s="2675"/>
      <c r="K73" s="2675"/>
      <c r="L73" s="2675"/>
      <c r="M73" s="2675"/>
      <c r="N73" s="2675"/>
      <c r="O73" s="2675"/>
      <c r="P73" s="2675"/>
      <c r="Q73" s="2675"/>
      <c r="R73" s="2675"/>
      <c r="S73" s="2675"/>
      <c r="T73" s="2675"/>
      <c r="U73" s="2675"/>
      <c r="V73" s="2675"/>
      <c r="W73" s="2675"/>
      <c r="X73" s="2675"/>
      <c r="Y73" s="2675"/>
      <c r="Z73" s="2675"/>
      <c r="AA73" s="2675"/>
      <c r="AB73" s="2675"/>
      <c r="AC73" s="2675"/>
      <c r="AD73" s="2675"/>
      <c r="AE73" s="2675"/>
      <c r="AF73" s="2675"/>
      <c r="AG73" s="2675"/>
      <c r="AH73" s="2675"/>
      <c r="AI73" s="2675"/>
      <c r="AJ73" s="2675"/>
      <c r="AK73" s="2675"/>
      <c r="AL73" s="2675"/>
      <c r="AM73" s="2675"/>
      <c r="AN73" s="2675"/>
      <c r="AO73" s="2675"/>
      <c r="AP73" s="2675"/>
      <c r="AQ73" s="2675"/>
      <c r="AR73" s="2675"/>
      <c r="AS73" s="2675"/>
      <c r="AT73" s="2675"/>
      <c r="AU73" s="2675"/>
      <c r="AV73" s="2675"/>
      <c r="AW73" s="2675"/>
      <c r="AX73" s="2676"/>
      <c r="AY73" s="205"/>
      <c r="AZ73" s="276" t="s">
        <v>152</v>
      </c>
      <c r="BA73" s="249" t="s">
        <v>133</v>
      </c>
      <c r="BB73" s="249" t="s">
        <v>91</v>
      </c>
      <c r="BC73" s="276" t="s">
        <v>445</v>
      </c>
      <c r="BD73" s="276"/>
      <c r="BE73" s="276" t="s">
        <v>362</v>
      </c>
      <c r="BF73" s="276" t="s">
        <v>422</v>
      </c>
      <c r="BG73" s="277"/>
      <c r="BH73" s="278"/>
      <c r="BI73" s="279"/>
      <c r="BJ73" s="279"/>
      <c r="BK73" s="279"/>
      <c r="BL73" s="279"/>
      <c r="BM73" s="279"/>
      <c r="BN73" s="279"/>
      <c r="BO73" s="279"/>
      <c r="BP73" s="280"/>
      <c r="BQ73" s="280"/>
      <c r="BR73" s="280"/>
      <c r="BS73" s="280"/>
      <c r="BT73" s="280"/>
      <c r="BU73" s="280"/>
      <c r="BV73" s="280"/>
      <c r="BW73" s="280"/>
      <c r="BX73" s="281"/>
      <c r="BY73" s="282"/>
      <c r="BZ73" s="282"/>
      <c r="CA73" s="282"/>
      <c r="CB73" s="282"/>
      <c r="CC73" s="282"/>
      <c r="CD73" s="282"/>
      <c r="CE73" s="282"/>
      <c r="CF73" s="282"/>
      <c r="CG73" s="283"/>
      <c r="CH73" s="280"/>
      <c r="CI73" s="280"/>
      <c r="CJ73" s="280"/>
      <c r="CK73" s="280"/>
      <c r="CL73" s="280"/>
      <c r="CM73" s="280"/>
      <c r="CN73" s="280"/>
      <c r="CO73" s="280"/>
      <c r="CP73" s="281"/>
      <c r="CQ73" s="272"/>
      <c r="CR73" s="272"/>
      <c r="CS73" s="272"/>
      <c r="CT73" s="272"/>
      <c r="CU73" s="272"/>
      <c r="CV73" s="272"/>
      <c r="CW73" s="272"/>
      <c r="CX73" s="272"/>
      <c r="CY73" s="284"/>
      <c r="CZ73" s="263">
        <f t="shared" si="10"/>
        <v>0</v>
      </c>
      <c r="DA73" s="285"/>
      <c r="DB73" s="285"/>
      <c r="DC73" s="285"/>
      <c r="DD73" s="285"/>
      <c r="DE73" s="285"/>
      <c r="DF73" s="285"/>
      <c r="DG73" s="285"/>
      <c r="DH73" s="286"/>
      <c r="DI73" s="225"/>
      <c r="DK73" s="275"/>
      <c r="DL73" s="275"/>
    </row>
    <row r="74" spans="1:116" ht="12.75" customHeight="1" x14ac:dyDescent="0.2">
      <c r="A74" s="214"/>
      <c r="B74" s="215"/>
      <c r="C74" s="2675" t="s">
        <v>458</v>
      </c>
      <c r="D74" s="2675"/>
      <c r="E74" s="2675"/>
      <c r="F74" s="2675"/>
      <c r="G74" s="2675"/>
      <c r="H74" s="2675"/>
      <c r="I74" s="2675"/>
      <c r="J74" s="2675"/>
      <c r="K74" s="2675"/>
      <c r="L74" s="2675"/>
      <c r="M74" s="2675"/>
      <c r="N74" s="2675"/>
      <c r="O74" s="2675"/>
      <c r="P74" s="2675"/>
      <c r="Q74" s="2675"/>
      <c r="R74" s="2675"/>
      <c r="S74" s="2675"/>
      <c r="T74" s="2675"/>
      <c r="U74" s="2675"/>
      <c r="V74" s="2675"/>
      <c r="W74" s="2675"/>
      <c r="X74" s="2675"/>
      <c r="Y74" s="2675"/>
      <c r="Z74" s="2675"/>
      <c r="AA74" s="2675"/>
      <c r="AB74" s="2675"/>
      <c r="AC74" s="2675"/>
      <c r="AD74" s="2675"/>
      <c r="AE74" s="2675"/>
      <c r="AF74" s="2675"/>
      <c r="AG74" s="2675"/>
      <c r="AH74" s="2675"/>
      <c r="AI74" s="2675"/>
      <c r="AJ74" s="2675"/>
      <c r="AK74" s="2675"/>
      <c r="AL74" s="2675"/>
      <c r="AM74" s="2675"/>
      <c r="AN74" s="2675"/>
      <c r="AO74" s="2675"/>
      <c r="AP74" s="2675"/>
      <c r="AQ74" s="2675"/>
      <c r="AR74" s="2675"/>
      <c r="AS74" s="2675"/>
      <c r="AT74" s="2675"/>
      <c r="AU74" s="2675"/>
      <c r="AV74" s="2675"/>
      <c r="AW74" s="2675"/>
      <c r="AX74" s="2676"/>
      <c r="AY74" s="205"/>
      <c r="AZ74" s="276" t="s">
        <v>152</v>
      </c>
      <c r="BA74" s="249" t="s">
        <v>519</v>
      </c>
      <c r="BB74" s="353" t="s">
        <v>337</v>
      </c>
      <c r="BC74" s="276" t="s">
        <v>445</v>
      </c>
      <c r="BD74" s="276"/>
      <c r="BE74" s="276" t="s">
        <v>362</v>
      </c>
      <c r="BF74" s="276" t="s">
        <v>422</v>
      </c>
      <c r="BG74" s="277"/>
      <c r="BH74" s="278"/>
      <c r="BI74" s="279"/>
      <c r="BJ74" s="279"/>
      <c r="BK74" s="279"/>
      <c r="BL74" s="279"/>
      <c r="BM74" s="279"/>
      <c r="BN74" s="279"/>
      <c r="BO74" s="279"/>
      <c r="BP74" s="280"/>
      <c r="BQ74" s="280"/>
      <c r="BR74" s="280"/>
      <c r="BS74" s="280"/>
      <c r="BT74" s="280"/>
      <c r="BU74" s="280"/>
      <c r="BV74" s="280"/>
      <c r="BW74" s="280"/>
      <c r="BX74" s="281"/>
      <c r="BY74" s="282"/>
      <c r="BZ74" s="282"/>
      <c r="CA74" s="282"/>
      <c r="CB74" s="282"/>
      <c r="CC74" s="282"/>
      <c r="CD74" s="282"/>
      <c r="CE74" s="282"/>
      <c r="CF74" s="282"/>
      <c r="CG74" s="283"/>
      <c r="CH74" s="280"/>
      <c r="CI74" s="280"/>
      <c r="CJ74" s="280"/>
      <c r="CK74" s="280"/>
      <c r="CL74" s="280"/>
      <c r="CM74" s="280"/>
      <c r="CN74" s="280"/>
      <c r="CO74" s="280"/>
      <c r="CP74" s="281"/>
      <c r="CQ74" s="272"/>
      <c r="CR74" s="272"/>
      <c r="CS74" s="272"/>
      <c r="CT74" s="272"/>
      <c r="CU74" s="272"/>
      <c r="CV74" s="272"/>
      <c r="CW74" s="272"/>
      <c r="CX74" s="272"/>
      <c r="CY74" s="284"/>
      <c r="CZ74" s="263" t="e">
        <f>DA74+DB74+DC74+DD74+DE74+DF74+DH74+DG74</f>
        <v>#REF!</v>
      </c>
      <c r="DA74" s="285"/>
      <c r="DB74" s="285"/>
      <c r="DC74" s="285"/>
      <c r="DD74" s="285"/>
      <c r="DE74" s="285" t="e">
        <f>#REF!</f>
        <v>#REF!</v>
      </c>
      <c r="DF74" s="285"/>
      <c r="DG74" s="285"/>
      <c r="DH74" s="286"/>
      <c r="DI74" s="225" t="e">
        <f>CZ74=#REF!</f>
        <v>#REF!</v>
      </c>
      <c r="DK74" s="275"/>
      <c r="DL74" s="275"/>
    </row>
    <row r="75" spans="1:116" ht="12.75" customHeight="1" thickBot="1" x14ac:dyDescent="0.25">
      <c r="A75" s="214"/>
      <c r="B75" s="215"/>
      <c r="C75" s="2710" t="s">
        <v>458</v>
      </c>
      <c r="D75" s="2710"/>
      <c r="E75" s="2710"/>
      <c r="F75" s="2710"/>
      <c r="G75" s="2710"/>
      <c r="H75" s="2710"/>
      <c r="I75" s="2710"/>
      <c r="J75" s="2710"/>
      <c r="K75" s="2710"/>
      <c r="L75" s="2710"/>
      <c r="M75" s="2710"/>
      <c r="N75" s="2710"/>
      <c r="O75" s="2710"/>
      <c r="P75" s="2710"/>
      <c r="Q75" s="2710"/>
      <c r="R75" s="2710"/>
      <c r="S75" s="2710"/>
      <c r="T75" s="2710"/>
      <c r="U75" s="2710"/>
      <c r="V75" s="2710"/>
      <c r="W75" s="2710"/>
      <c r="X75" s="2710"/>
      <c r="Y75" s="2710"/>
      <c r="Z75" s="2710"/>
      <c r="AA75" s="2710"/>
      <c r="AB75" s="2710"/>
      <c r="AC75" s="2710"/>
      <c r="AD75" s="2710"/>
      <c r="AE75" s="2710"/>
      <c r="AF75" s="2710"/>
      <c r="AG75" s="2710"/>
      <c r="AH75" s="2710"/>
      <c r="AI75" s="2710"/>
      <c r="AJ75" s="2710"/>
      <c r="AK75" s="2710"/>
      <c r="AL75" s="2710"/>
      <c r="AM75" s="2710"/>
      <c r="AN75" s="2710"/>
      <c r="AO75" s="2710"/>
      <c r="AP75" s="2710"/>
      <c r="AQ75" s="2710"/>
      <c r="AR75" s="2710"/>
      <c r="AS75" s="2710"/>
      <c r="AT75" s="2710"/>
      <c r="AU75" s="2710"/>
      <c r="AV75" s="2710"/>
      <c r="AW75" s="2710"/>
      <c r="AX75" s="2711"/>
      <c r="AY75" s="234"/>
      <c r="AZ75" s="235" t="s">
        <v>152</v>
      </c>
      <c r="BA75" s="235" t="s">
        <v>519</v>
      </c>
      <c r="BB75" s="236" t="s">
        <v>91</v>
      </c>
      <c r="BC75" s="235" t="s">
        <v>445</v>
      </c>
      <c r="BD75" s="235"/>
      <c r="BE75" s="235" t="s">
        <v>362</v>
      </c>
      <c r="BF75" s="235" t="s">
        <v>422</v>
      </c>
      <c r="BG75" s="237"/>
      <c r="BH75" s="238"/>
      <c r="BI75" s="239"/>
      <c r="BJ75" s="239"/>
      <c r="BK75" s="239"/>
      <c r="BL75" s="239"/>
      <c r="BM75" s="239"/>
      <c r="BN75" s="239"/>
      <c r="BO75" s="239"/>
      <c r="BP75" s="240"/>
      <c r="BQ75" s="240"/>
      <c r="BR75" s="240"/>
      <c r="BS75" s="240"/>
      <c r="BT75" s="240"/>
      <c r="BU75" s="240"/>
      <c r="BV75" s="240"/>
      <c r="BW75" s="240"/>
      <c r="BX75" s="241"/>
      <c r="BY75" s="242"/>
      <c r="BZ75" s="242"/>
      <c r="CA75" s="242"/>
      <c r="CB75" s="242"/>
      <c r="CC75" s="242"/>
      <c r="CD75" s="242"/>
      <c r="CE75" s="242"/>
      <c r="CF75" s="242"/>
      <c r="CG75" s="243"/>
      <c r="CH75" s="240"/>
      <c r="CI75" s="240"/>
      <c r="CJ75" s="240"/>
      <c r="CK75" s="240"/>
      <c r="CL75" s="240"/>
      <c r="CM75" s="240"/>
      <c r="CN75" s="240"/>
      <c r="CO75" s="240"/>
      <c r="CP75" s="241"/>
      <c r="CQ75" s="244"/>
      <c r="CR75" s="244"/>
      <c r="CS75" s="244"/>
      <c r="CT75" s="244"/>
      <c r="CU75" s="244"/>
      <c r="CV75" s="244"/>
      <c r="CW75" s="244"/>
      <c r="CX75" s="244"/>
      <c r="CY75" s="245"/>
      <c r="CZ75" s="246" t="e">
        <f>DA75+DB75+DC75+DD75+DE75+DF75+DH75+DG75</f>
        <v>#REF!</v>
      </c>
      <c r="DA75" s="246"/>
      <c r="DB75" s="246"/>
      <c r="DC75" s="246"/>
      <c r="DD75" s="246"/>
      <c r="DE75" s="246" t="e">
        <f>#REF!</f>
        <v>#REF!</v>
      </c>
      <c r="DF75" s="246"/>
      <c r="DG75" s="246"/>
      <c r="DH75" s="247"/>
      <c r="DI75" s="225" t="e">
        <f>CZ75=#REF!</f>
        <v>#REF!</v>
      </c>
      <c r="DK75" s="275"/>
      <c r="DL75" s="275"/>
    </row>
    <row r="76" spans="1:116" ht="12.75" hidden="1" customHeight="1" thickBot="1" x14ac:dyDescent="0.25">
      <c r="A76" s="214"/>
      <c r="B76" s="215"/>
      <c r="C76" s="2712" t="s">
        <v>458</v>
      </c>
      <c r="D76" s="2712"/>
      <c r="E76" s="2712"/>
      <c r="F76" s="2712"/>
      <c r="G76" s="2712"/>
      <c r="H76" s="2712"/>
      <c r="I76" s="2712"/>
      <c r="J76" s="2712"/>
      <c r="K76" s="2712"/>
      <c r="L76" s="2712"/>
      <c r="M76" s="2712"/>
      <c r="N76" s="2712"/>
      <c r="O76" s="2712"/>
      <c r="P76" s="2712"/>
      <c r="Q76" s="2712"/>
      <c r="R76" s="2712"/>
      <c r="S76" s="2712"/>
      <c r="T76" s="2712"/>
      <c r="U76" s="2712"/>
      <c r="V76" s="2712"/>
      <c r="W76" s="2712"/>
      <c r="X76" s="2712"/>
      <c r="Y76" s="2712"/>
      <c r="Z76" s="2712"/>
      <c r="AA76" s="2712"/>
      <c r="AB76" s="2712"/>
      <c r="AC76" s="2712"/>
      <c r="AD76" s="2712"/>
      <c r="AE76" s="2712"/>
      <c r="AF76" s="2712"/>
      <c r="AG76" s="2712"/>
      <c r="AH76" s="2712"/>
      <c r="AI76" s="2712"/>
      <c r="AJ76" s="2712"/>
      <c r="AK76" s="2712"/>
      <c r="AL76" s="2712"/>
      <c r="AM76" s="2712"/>
      <c r="AN76" s="2712"/>
      <c r="AO76" s="2712"/>
      <c r="AP76" s="2712"/>
      <c r="AQ76" s="2712"/>
      <c r="AR76" s="2712"/>
      <c r="AS76" s="2712"/>
      <c r="AT76" s="2712"/>
      <c r="AU76" s="2712"/>
      <c r="AV76" s="2712"/>
      <c r="AW76" s="2712"/>
      <c r="AX76" s="2713"/>
      <c r="AY76" s="371"/>
      <c r="AZ76" s="372" t="s">
        <v>152</v>
      </c>
      <c r="BA76" s="372" t="s">
        <v>518</v>
      </c>
      <c r="BB76" s="373" t="s">
        <v>91</v>
      </c>
      <c r="BC76" s="372" t="s">
        <v>445</v>
      </c>
      <c r="BD76" s="372"/>
      <c r="BE76" s="372" t="s">
        <v>362</v>
      </c>
      <c r="BF76" s="372" t="s">
        <v>422</v>
      </c>
      <c r="BG76" s="374"/>
      <c r="BH76" s="375"/>
      <c r="BI76" s="376"/>
      <c r="BJ76" s="376"/>
      <c r="BK76" s="376"/>
      <c r="BL76" s="376"/>
      <c r="BM76" s="376"/>
      <c r="BN76" s="376"/>
      <c r="BO76" s="376"/>
      <c r="BP76" s="377"/>
      <c r="BQ76" s="377"/>
      <c r="BR76" s="377"/>
      <c r="BS76" s="377"/>
      <c r="BT76" s="377"/>
      <c r="BU76" s="377"/>
      <c r="BV76" s="377"/>
      <c r="BW76" s="377"/>
      <c r="BX76" s="378"/>
      <c r="BY76" s="379"/>
      <c r="BZ76" s="379"/>
      <c r="CA76" s="379"/>
      <c r="CB76" s="379"/>
      <c r="CC76" s="379"/>
      <c r="CD76" s="379"/>
      <c r="CE76" s="379"/>
      <c r="CF76" s="379"/>
      <c r="CG76" s="380"/>
      <c r="CH76" s="377"/>
      <c r="CI76" s="377"/>
      <c r="CJ76" s="377"/>
      <c r="CK76" s="377"/>
      <c r="CL76" s="377"/>
      <c r="CM76" s="377"/>
      <c r="CN76" s="377"/>
      <c r="CO76" s="377"/>
      <c r="CP76" s="378"/>
      <c r="CQ76" s="381"/>
      <c r="CR76" s="381"/>
      <c r="CS76" s="381"/>
      <c r="CT76" s="381"/>
      <c r="CU76" s="381"/>
      <c r="CV76" s="381"/>
      <c r="CW76" s="381"/>
      <c r="CX76" s="381"/>
      <c r="CY76" s="382"/>
      <c r="CZ76" s="383" t="e">
        <f>DA76+DB76+DC76+DD76+DE76+DF76+DH76+DG76</f>
        <v>#REF!</v>
      </c>
      <c r="DA76" s="383"/>
      <c r="DB76" s="383"/>
      <c r="DC76" s="383"/>
      <c r="DD76" s="383"/>
      <c r="DE76" s="383" t="e">
        <f>#REF!</f>
        <v>#REF!</v>
      </c>
      <c r="DF76" s="383"/>
      <c r="DG76" s="383"/>
      <c r="DH76" s="384"/>
      <c r="DI76" s="225" t="e">
        <f>CZ76=#REF!</f>
        <v>#REF!</v>
      </c>
      <c r="DK76" s="275"/>
      <c r="DL76" s="275"/>
    </row>
    <row r="77" spans="1:116" ht="12.75" hidden="1" customHeight="1" x14ac:dyDescent="0.2">
      <c r="A77" s="214"/>
      <c r="B77" s="215"/>
      <c r="C77" s="2708" t="s">
        <v>458</v>
      </c>
      <c r="D77" s="2708"/>
      <c r="E77" s="2708"/>
      <c r="F77" s="2708"/>
      <c r="G77" s="2708"/>
      <c r="H77" s="2708"/>
      <c r="I77" s="2708"/>
      <c r="J77" s="2708"/>
      <c r="K77" s="2708"/>
      <c r="L77" s="2708"/>
      <c r="M77" s="2708"/>
      <c r="N77" s="2708"/>
      <c r="O77" s="2708"/>
      <c r="P77" s="2708"/>
      <c r="Q77" s="2708"/>
      <c r="R77" s="2708"/>
      <c r="S77" s="2708"/>
      <c r="T77" s="2708"/>
      <c r="U77" s="2708"/>
      <c r="V77" s="2708"/>
      <c r="W77" s="2708"/>
      <c r="X77" s="2708"/>
      <c r="Y77" s="2708"/>
      <c r="Z77" s="2708"/>
      <c r="AA77" s="2708"/>
      <c r="AB77" s="2708"/>
      <c r="AC77" s="2708"/>
      <c r="AD77" s="2708"/>
      <c r="AE77" s="2708"/>
      <c r="AF77" s="2708"/>
      <c r="AG77" s="2708"/>
      <c r="AH77" s="2708"/>
      <c r="AI77" s="2708"/>
      <c r="AJ77" s="2708"/>
      <c r="AK77" s="2708"/>
      <c r="AL77" s="2708"/>
      <c r="AM77" s="2708"/>
      <c r="AN77" s="2708"/>
      <c r="AO77" s="2708"/>
      <c r="AP77" s="2708"/>
      <c r="AQ77" s="2708"/>
      <c r="AR77" s="2708"/>
      <c r="AS77" s="2708"/>
      <c r="AT77" s="2708"/>
      <c r="AU77" s="2708"/>
      <c r="AV77" s="2708"/>
      <c r="AW77" s="2708"/>
      <c r="AX77" s="2709"/>
      <c r="AY77" s="366" t="s">
        <v>444</v>
      </c>
      <c r="AZ77" s="249" t="s">
        <v>152</v>
      </c>
      <c r="BA77" s="249" t="s">
        <v>135</v>
      </c>
      <c r="BB77" s="268" t="s">
        <v>91</v>
      </c>
      <c r="BC77" s="249" t="s">
        <v>445</v>
      </c>
      <c r="BD77" s="249"/>
      <c r="BE77" s="249" t="s">
        <v>362</v>
      </c>
      <c r="BF77" s="249" t="s">
        <v>422</v>
      </c>
      <c r="BG77" s="250">
        <v>59064</v>
      </c>
      <c r="BH77" s="251">
        <f t="shared" ref="BH77:BH84" si="13">BG77-BI77</f>
        <v>0</v>
      </c>
      <c r="BI77" s="252">
        <f t="shared" si="3"/>
        <v>59064</v>
      </c>
      <c r="BJ77" s="252">
        <v>59064</v>
      </c>
      <c r="BK77" s="252"/>
      <c r="BL77" s="252"/>
      <c r="BM77" s="253"/>
      <c r="BN77" s="252"/>
      <c r="BO77" s="252"/>
      <c r="BP77" s="254">
        <f t="shared" si="4"/>
        <v>59064</v>
      </c>
      <c r="BQ77" s="254">
        <v>59064</v>
      </c>
      <c r="BR77" s="254"/>
      <c r="BS77" s="254"/>
      <c r="BT77" s="255"/>
      <c r="BU77" s="254"/>
      <c r="BV77" s="254"/>
      <c r="BW77" s="254"/>
      <c r="BX77" s="256"/>
      <c r="BY77" s="257">
        <f t="shared" si="5"/>
        <v>59064</v>
      </c>
      <c r="BZ77" s="257">
        <v>59064</v>
      </c>
      <c r="CA77" s="257"/>
      <c r="CB77" s="257"/>
      <c r="CC77" s="258"/>
      <c r="CD77" s="257"/>
      <c r="CE77" s="257"/>
      <c r="CF77" s="257"/>
      <c r="CG77" s="259"/>
      <c r="CH77" s="254">
        <f t="shared" si="6"/>
        <v>59064</v>
      </c>
      <c r="CI77" s="254">
        <v>59064</v>
      </c>
      <c r="CJ77" s="254"/>
      <c r="CK77" s="254"/>
      <c r="CL77" s="255"/>
      <c r="CM77" s="254"/>
      <c r="CN77" s="254"/>
      <c r="CO77" s="254"/>
      <c r="CP77" s="256"/>
      <c r="CQ77" s="260">
        <f t="shared" si="7"/>
        <v>59064</v>
      </c>
      <c r="CR77" s="260">
        <v>59064</v>
      </c>
      <c r="CS77" s="260"/>
      <c r="CT77" s="260"/>
      <c r="CU77" s="261"/>
      <c r="CV77" s="260"/>
      <c r="CW77" s="260"/>
      <c r="CX77" s="260"/>
      <c r="CY77" s="262"/>
      <c r="CZ77" s="263">
        <f t="shared" si="10"/>
        <v>0</v>
      </c>
      <c r="DA77" s="263"/>
      <c r="DB77" s="263"/>
      <c r="DC77" s="263"/>
      <c r="DD77" s="264"/>
      <c r="DE77" s="263"/>
      <c r="DF77" s="263"/>
      <c r="DG77" s="263"/>
      <c r="DH77" s="265"/>
      <c r="DI77" s="225" t="e">
        <f>CZ77=#REF!</f>
        <v>#REF!</v>
      </c>
      <c r="DJ77" s="175" t="b">
        <f t="shared" si="12"/>
        <v>0</v>
      </c>
      <c r="DK77" s="275"/>
      <c r="DL77" s="275"/>
    </row>
    <row r="78" spans="1:116" ht="12.75" hidden="1" x14ac:dyDescent="0.2">
      <c r="A78" s="214"/>
      <c r="B78" s="215"/>
      <c r="C78" s="2675" t="s">
        <v>465</v>
      </c>
      <c r="D78" s="2675"/>
      <c r="E78" s="2675"/>
      <c r="F78" s="2675"/>
      <c r="G78" s="2675"/>
      <c r="H78" s="2675"/>
      <c r="I78" s="2675"/>
      <c r="J78" s="2675"/>
      <c r="K78" s="2675"/>
      <c r="L78" s="2675"/>
      <c r="M78" s="2675"/>
      <c r="N78" s="2675"/>
      <c r="O78" s="2675"/>
      <c r="P78" s="2675"/>
      <c r="Q78" s="2675"/>
      <c r="R78" s="2675"/>
      <c r="S78" s="2675"/>
      <c r="T78" s="2675"/>
      <c r="U78" s="2675"/>
      <c r="V78" s="2675"/>
      <c r="W78" s="2675"/>
      <c r="X78" s="2675"/>
      <c r="Y78" s="2675"/>
      <c r="Z78" s="2675"/>
      <c r="AA78" s="2675"/>
      <c r="AB78" s="2675"/>
      <c r="AC78" s="2675"/>
      <c r="AD78" s="2675"/>
      <c r="AE78" s="2675"/>
      <c r="AF78" s="2675"/>
      <c r="AG78" s="2675"/>
      <c r="AH78" s="2675"/>
      <c r="AI78" s="2675"/>
      <c r="AJ78" s="2675"/>
      <c r="AK78" s="2675"/>
      <c r="AL78" s="2675"/>
      <c r="AM78" s="2675"/>
      <c r="AN78" s="2675"/>
      <c r="AO78" s="2675"/>
      <c r="AP78" s="2675"/>
      <c r="AQ78" s="2675"/>
      <c r="AR78" s="2675"/>
      <c r="AS78" s="2675"/>
      <c r="AT78" s="2675"/>
      <c r="AU78" s="2675"/>
      <c r="AV78" s="2675"/>
      <c r="AW78" s="2675"/>
      <c r="AX78" s="2676"/>
      <c r="AY78" s="205" t="s">
        <v>447</v>
      </c>
      <c r="AZ78" s="276" t="s">
        <v>152</v>
      </c>
      <c r="BA78" s="276" t="s">
        <v>134</v>
      </c>
      <c r="BB78" s="267" t="s">
        <v>337</v>
      </c>
      <c r="BC78" s="276" t="s">
        <v>466</v>
      </c>
      <c r="BD78" s="276"/>
      <c r="BE78" s="276" t="s">
        <v>362</v>
      </c>
      <c r="BF78" s="276" t="s">
        <v>422</v>
      </c>
      <c r="BG78" s="277">
        <v>1087268</v>
      </c>
      <c r="BH78" s="278">
        <f t="shared" si="13"/>
        <v>0</v>
      </c>
      <c r="BI78" s="293">
        <f t="shared" si="3"/>
        <v>1087268</v>
      </c>
      <c r="BJ78" s="279">
        <v>96773</v>
      </c>
      <c r="BK78" s="279"/>
      <c r="BL78" s="279">
        <v>256330</v>
      </c>
      <c r="BM78" s="279">
        <v>2193.5500000000002</v>
      </c>
      <c r="BN78" s="279">
        <v>731971.45</v>
      </c>
      <c r="BO78" s="279"/>
      <c r="BP78" s="280">
        <f t="shared" si="4"/>
        <v>1087268</v>
      </c>
      <c r="BQ78" s="280">
        <v>96773</v>
      </c>
      <c r="BR78" s="280"/>
      <c r="BS78" s="280">
        <v>369913.55</v>
      </c>
      <c r="BT78" s="280">
        <v>0.01</v>
      </c>
      <c r="BU78" s="280">
        <v>620581.43999999994</v>
      </c>
      <c r="BV78" s="280"/>
      <c r="BW78" s="280"/>
      <c r="BX78" s="281"/>
      <c r="BY78" s="282">
        <f t="shared" si="5"/>
        <v>1087268</v>
      </c>
      <c r="BZ78" s="282">
        <v>96773</v>
      </c>
      <c r="CA78" s="282"/>
      <c r="CB78" s="282">
        <v>369913.55</v>
      </c>
      <c r="CC78" s="282">
        <v>0.01</v>
      </c>
      <c r="CD78" s="282">
        <v>620581.43999999994</v>
      </c>
      <c r="CE78" s="282"/>
      <c r="CF78" s="282"/>
      <c r="CG78" s="283"/>
      <c r="CH78" s="280">
        <f t="shared" si="6"/>
        <v>1087268</v>
      </c>
      <c r="CI78" s="280">
        <v>96773</v>
      </c>
      <c r="CJ78" s="280"/>
      <c r="CK78" s="280">
        <v>369913.55</v>
      </c>
      <c r="CL78" s="280">
        <v>147981.60999999999</v>
      </c>
      <c r="CM78" s="280">
        <v>472599.84</v>
      </c>
      <c r="CN78" s="280">
        <v>0</v>
      </c>
      <c r="CO78" s="280"/>
      <c r="CP78" s="281"/>
      <c r="CQ78" s="272">
        <f t="shared" si="7"/>
        <v>1087268</v>
      </c>
      <c r="CR78" s="272">
        <v>127138</v>
      </c>
      <c r="CS78" s="272">
        <v>100000</v>
      </c>
      <c r="CT78" s="272">
        <v>320203.27</v>
      </c>
      <c r="CU78" s="272"/>
      <c r="CV78" s="272">
        <v>257198.6</v>
      </c>
      <c r="CW78" s="272">
        <v>282728.13</v>
      </c>
      <c r="CX78" s="272"/>
      <c r="CY78" s="284"/>
      <c r="CZ78" s="263">
        <f t="shared" si="10"/>
        <v>0</v>
      </c>
      <c r="DA78" s="285"/>
      <c r="DB78" s="285"/>
      <c r="DC78" s="285"/>
      <c r="DD78" s="285"/>
      <c r="DE78" s="285"/>
      <c r="DF78" s="285"/>
      <c r="DG78" s="285"/>
      <c r="DH78" s="286"/>
      <c r="DI78" s="225" t="e">
        <f>CZ78=#REF!</f>
        <v>#REF!</v>
      </c>
      <c r="DJ78" s="175" t="b">
        <f t="shared" si="12"/>
        <v>0</v>
      </c>
      <c r="DK78" s="275"/>
      <c r="DL78" s="275"/>
    </row>
    <row r="79" spans="1:116" ht="12.75" hidden="1" x14ac:dyDescent="0.2">
      <c r="A79" s="214"/>
      <c r="B79" s="215"/>
      <c r="C79" s="2675" t="s">
        <v>467</v>
      </c>
      <c r="D79" s="2675"/>
      <c r="E79" s="2675"/>
      <c r="F79" s="2675"/>
      <c r="G79" s="2675"/>
      <c r="H79" s="2675"/>
      <c r="I79" s="2675"/>
      <c r="J79" s="2675"/>
      <c r="K79" s="2675"/>
      <c r="L79" s="2675"/>
      <c r="M79" s="2675"/>
      <c r="N79" s="2675"/>
      <c r="O79" s="2675"/>
      <c r="P79" s="2675"/>
      <c r="Q79" s="2675"/>
      <c r="R79" s="2675"/>
      <c r="S79" s="2675"/>
      <c r="T79" s="2675"/>
      <c r="U79" s="2675"/>
      <c r="V79" s="2675"/>
      <c r="W79" s="2675"/>
      <c r="X79" s="2675"/>
      <c r="Y79" s="2675"/>
      <c r="Z79" s="2675"/>
      <c r="AA79" s="2675"/>
      <c r="AB79" s="2675"/>
      <c r="AC79" s="2675"/>
      <c r="AD79" s="2675"/>
      <c r="AE79" s="2675"/>
      <c r="AF79" s="2675"/>
      <c r="AG79" s="2675"/>
      <c r="AH79" s="2675"/>
      <c r="AI79" s="2675"/>
      <c r="AJ79" s="2675"/>
      <c r="AK79" s="2675"/>
      <c r="AL79" s="2675"/>
      <c r="AM79" s="2675"/>
      <c r="AN79" s="2675"/>
      <c r="AO79" s="2675"/>
      <c r="AP79" s="2675"/>
      <c r="AQ79" s="2675"/>
      <c r="AR79" s="2675"/>
      <c r="AS79" s="2675"/>
      <c r="AT79" s="2675"/>
      <c r="AU79" s="2675"/>
      <c r="AV79" s="2675"/>
      <c r="AW79" s="2675"/>
      <c r="AX79" s="2676"/>
      <c r="AY79" s="205" t="s">
        <v>447</v>
      </c>
      <c r="AZ79" s="276" t="s">
        <v>152</v>
      </c>
      <c r="BA79" s="276" t="s">
        <v>134</v>
      </c>
      <c r="BB79" s="267" t="s">
        <v>337</v>
      </c>
      <c r="BC79" s="276" t="s">
        <v>468</v>
      </c>
      <c r="BD79" s="276"/>
      <c r="BE79" s="276" t="s">
        <v>362</v>
      </c>
      <c r="BF79" s="276" t="s">
        <v>422</v>
      </c>
      <c r="BG79" s="277">
        <v>1087268</v>
      </c>
      <c r="BH79" s="278">
        <f t="shared" si="13"/>
        <v>0</v>
      </c>
      <c r="BI79" s="293">
        <f t="shared" si="3"/>
        <v>1087268</v>
      </c>
      <c r="BJ79" s="279">
        <v>96773</v>
      </c>
      <c r="BK79" s="279"/>
      <c r="BL79" s="279">
        <v>256330</v>
      </c>
      <c r="BM79" s="279">
        <v>2193.5500000000002</v>
      </c>
      <c r="BN79" s="279">
        <v>731971.45</v>
      </c>
      <c r="BO79" s="279"/>
      <c r="BP79" s="280">
        <f t="shared" si="4"/>
        <v>1087268</v>
      </c>
      <c r="BQ79" s="280">
        <v>96773</v>
      </c>
      <c r="BR79" s="280"/>
      <c r="BS79" s="280">
        <v>369913.55</v>
      </c>
      <c r="BT79" s="280">
        <v>0.01</v>
      </c>
      <c r="BU79" s="280">
        <v>620581.43999999994</v>
      </c>
      <c r="BV79" s="280"/>
      <c r="BW79" s="280"/>
      <c r="BX79" s="281"/>
      <c r="BY79" s="282">
        <f t="shared" si="5"/>
        <v>1087268</v>
      </c>
      <c r="BZ79" s="282">
        <v>96773</v>
      </c>
      <c r="CA79" s="282"/>
      <c r="CB79" s="282">
        <v>369913.55</v>
      </c>
      <c r="CC79" s="282">
        <v>0.01</v>
      </c>
      <c r="CD79" s="282">
        <v>620581.43999999994</v>
      </c>
      <c r="CE79" s="282"/>
      <c r="CF79" s="282"/>
      <c r="CG79" s="283"/>
      <c r="CH79" s="280">
        <f t="shared" si="6"/>
        <v>1087268</v>
      </c>
      <c r="CI79" s="280">
        <v>96773</v>
      </c>
      <c r="CJ79" s="280"/>
      <c r="CK79" s="280">
        <v>369913.55</v>
      </c>
      <c r="CL79" s="280">
        <v>147981.60999999999</v>
      </c>
      <c r="CM79" s="280">
        <v>472599.84</v>
      </c>
      <c r="CN79" s="280">
        <v>0</v>
      </c>
      <c r="CO79" s="280"/>
      <c r="CP79" s="281"/>
      <c r="CQ79" s="272">
        <f t="shared" si="7"/>
        <v>1087268</v>
      </c>
      <c r="CR79" s="272">
        <v>127138</v>
      </c>
      <c r="CS79" s="272">
        <v>100000</v>
      </c>
      <c r="CT79" s="272">
        <v>320203.27</v>
      </c>
      <c r="CU79" s="272"/>
      <c r="CV79" s="272">
        <v>257198.6</v>
      </c>
      <c r="CW79" s="272">
        <v>282728.13</v>
      </c>
      <c r="CX79" s="272"/>
      <c r="CY79" s="284"/>
      <c r="CZ79" s="263">
        <f t="shared" si="10"/>
        <v>0</v>
      </c>
      <c r="DA79" s="285"/>
      <c r="DB79" s="285"/>
      <c r="DC79" s="285"/>
      <c r="DD79" s="285"/>
      <c r="DE79" s="285"/>
      <c r="DF79" s="285"/>
      <c r="DG79" s="285"/>
      <c r="DH79" s="286"/>
      <c r="DI79" s="225" t="e">
        <f>CZ79=#REF!</f>
        <v>#REF!</v>
      </c>
      <c r="DJ79" s="175" t="b">
        <f t="shared" si="12"/>
        <v>0</v>
      </c>
      <c r="DK79" s="275"/>
      <c r="DL79" s="275"/>
    </row>
    <row r="80" spans="1:116" ht="12.75" hidden="1" x14ac:dyDescent="0.2">
      <c r="A80" s="214"/>
      <c r="B80" s="215"/>
      <c r="C80" s="2675" t="s">
        <v>451</v>
      </c>
      <c r="D80" s="2675"/>
      <c r="E80" s="2675"/>
      <c r="F80" s="2675"/>
      <c r="G80" s="2675"/>
      <c r="H80" s="2675"/>
      <c r="I80" s="2675"/>
      <c r="J80" s="2675"/>
      <c r="K80" s="2675"/>
      <c r="L80" s="2675"/>
      <c r="M80" s="2675"/>
      <c r="N80" s="2675"/>
      <c r="O80" s="2675"/>
      <c r="P80" s="2675"/>
      <c r="Q80" s="2675"/>
      <c r="R80" s="2675"/>
      <c r="S80" s="2675"/>
      <c r="T80" s="2675"/>
      <c r="U80" s="2675"/>
      <c r="V80" s="2675"/>
      <c r="W80" s="2675"/>
      <c r="X80" s="2675"/>
      <c r="Y80" s="2675"/>
      <c r="Z80" s="2675"/>
      <c r="AA80" s="2675"/>
      <c r="AB80" s="2675"/>
      <c r="AC80" s="2675"/>
      <c r="AD80" s="2675"/>
      <c r="AE80" s="2675"/>
      <c r="AF80" s="2675"/>
      <c r="AG80" s="2675"/>
      <c r="AH80" s="2675"/>
      <c r="AI80" s="2675"/>
      <c r="AJ80" s="2675"/>
      <c r="AK80" s="2675"/>
      <c r="AL80" s="2675"/>
      <c r="AM80" s="2675"/>
      <c r="AN80" s="2675"/>
      <c r="AO80" s="2675"/>
      <c r="AP80" s="2675"/>
      <c r="AQ80" s="2675"/>
      <c r="AR80" s="2675"/>
      <c r="AS80" s="2675"/>
      <c r="AT80" s="2675"/>
      <c r="AU80" s="2675"/>
      <c r="AV80" s="2675"/>
      <c r="AW80" s="2675"/>
      <c r="AX80" s="2676"/>
      <c r="AY80" s="205" t="s">
        <v>447</v>
      </c>
      <c r="AZ80" s="276" t="s">
        <v>152</v>
      </c>
      <c r="BA80" s="276" t="s">
        <v>509</v>
      </c>
      <c r="BB80" s="353" t="s">
        <v>337</v>
      </c>
      <c r="BC80" s="276" t="s">
        <v>452</v>
      </c>
      <c r="BD80" s="276"/>
      <c r="BE80" s="276" t="s">
        <v>362</v>
      </c>
      <c r="BF80" s="276" t="s">
        <v>422</v>
      </c>
      <c r="BG80" s="277">
        <v>1087268</v>
      </c>
      <c r="BH80" s="278">
        <f t="shared" si="13"/>
        <v>0</v>
      </c>
      <c r="BI80" s="293">
        <f>BJ80+BK80+BL80+BM80+BN80+BO80</f>
        <v>1087268</v>
      </c>
      <c r="BJ80" s="279">
        <v>96773</v>
      </c>
      <c r="BK80" s="279"/>
      <c r="BL80" s="279">
        <v>256330</v>
      </c>
      <c r="BM80" s="279">
        <v>2193.5500000000002</v>
      </c>
      <c r="BN80" s="279">
        <v>731971.45</v>
      </c>
      <c r="BO80" s="279"/>
      <c r="BP80" s="280">
        <f>BQ80+BR80+BS80+BT80+BU80+BV80+BX80+BW80</f>
        <v>1087268</v>
      </c>
      <c r="BQ80" s="280">
        <v>96773</v>
      </c>
      <c r="BR80" s="280"/>
      <c r="BS80" s="280">
        <v>369913.55</v>
      </c>
      <c r="BT80" s="280">
        <v>0.01</v>
      </c>
      <c r="BU80" s="280">
        <v>620581.43999999994</v>
      </c>
      <c r="BV80" s="280"/>
      <c r="BW80" s="280"/>
      <c r="BX80" s="281"/>
      <c r="BY80" s="282">
        <f>BZ80+CA80+CB80+CC80+CD80+CE80+CG80+CF80</f>
        <v>1087268</v>
      </c>
      <c r="BZ80" s="282">
        <v>96773</v>
      </c>
      <c r="CA80" s="282"/>
      <c r="CB80" s="282">
        <v>369913.55</v>
      </c>
      <c r="CC80" s="282">
        <v>0.01</v>
      </c>
      <c r="CD80" s="282">
        <v>620581.43999999994</v>
      </c>
      <c r="CE80" s="282"/>
      <c r="CF80" s="282"/>
      <c r="CG80" s="283"/>
      <c r="CH80" s="280">
        <f>CI80+CJ80+CK80+CL80+CM80+CN80+CP80+CO80</f>
        <v>1087268</v>
      </c>
      <c r="CI80" s="280">
        <v>96773</v>
      </c>
      <c r="CJ80" s="280"/>
      <c r="CK80" s="280">
        <v>369913.55</v>
      </c>
      <c r="CL80" s="280">
        <v>147981.60999999999</v>
      </c>
      <c r="CM80" s="280">
        <v>472599.84</v>
      </c>
      <c r="CN80" s="280">
        <v>0</v>
      </c>
      <c r="CO80" s="280"/>
      <c r="CP80" s="281"/>
      <c r="CQ80" s="272">
        <f>SUM(CR80:CY80)</f>
        <v>1087268</v>
      </c>
      <c r="CR80" s="272">
        <v>127138</v>
      </c>
      <c r="CS80" s="272">
        <v>100000</v>
      </c>
      <c r="CT80" s="272">
        <v>320203.27</v>
      </c>
      <c r="CU80" s="272"/>
      <c r="CV80" s="272">
        <v>257198.6</v>
      </c>
      <c r="CW80" s="272">
        <v>282728.13</v>
      </c>
      <c r="CX80" s="272"/>
      <c r="CY80" s="284"/>
      <c r="CZ80" s="263">
        <f>DA80+DB80+DC80+DD80+DE80+DF80+DH80+DG80</f>
        <v>0</v>
      </c>
      <c r="DA80" s="285"/>
      <c r="DB80" s="285"/>
      <c r="DC80" s="285"/>
      <c r="DD80" s="285"/>
      <c r="DE80" s="285"/>
      <c r="DF80" s="285"/>
      <c r="DG80" s="285"/>
      <c r="DH80" s="286"/>
      <c r="DI80" s="225" t="e">
        <f>CZ80=#REF!</f>
        <v>#REF!</v>
      </c>
      <c r="DJ80" s="175" t="b">
        <f>BI80=CZ80</f>
        <v>0</v>
      </c>
      <c r="DK80" s="275"/>
      <c r="DL80" s="275"/>
    </row>
    <row r="81" spans="1:119" ht="12.75" hidden="1" x14ac:dyDescent="0.2">
      <c r="A81" s="214"/>
      <c r="B81" s="215"/>
      <c r="C81" s="2675" t="s">
        <v>451</v>
      </c>
      <c r="D81" s="2675"/>
      <c r="E81" s="2675"/>
      <c r="F81" s="2675"/>
      <c r="G81" s="2675"/>
      <c r="H81" s="2675"/>
      <c r="I81" s="2675"/>
      <c r="J81" s="2675"/>
      <c r="K81" s="2675"/>
      <c r="L81" s="2675"/>
      <c r="M81" s="2675"/>
      <c r="N81" s="2675"/>
      <c r="O81" s="2675"/>
      <c r="P81" s="2675"/>
      <c r="Q81" s="2675"/>
      <c r="R81" s="2675"/>
      <c r="S81" s="2675"/>
      <c r="T81" s="2675"/>
      <c r="U81" s="2675"/>
      <c r="V81" s="2675"/>
      <c r="W81" s="2675"/>
      <c r="X81" s="2675"/>
      <c r="Y81" s="2675"/>
      <c r="Z81" s="2675"/>
      <c r="AA81" s="2675"/>
      <c r="AB81" s="2675"/>
      <c r="AC81" s="2675"/>
      <c r="AD81" s="2675"/>
      <c r="AE81" s="2675"/>
      <c r="AF81" s="2675"/>
      <c r="AG81" s="2675"/>
      <c r="AH81" s="2675"/>
      <c r="AI81" s="2675"/>
      <c r="AJ81" s="2675"/>
      <c r="AK81" s="2675"/>
      <c r="AL81" s="2675"/>
      <c r="AM81" s="2675"/>
      <c r="AN81" s="2675"/>
      <c r="AO81" s="2675"/>
      <c r="AP81" s="2675"/>
      <c r="AQ81" s="2675"/>
      <c r="AR81" s="2675"/>
      <c r="AS81" s="2675"/>
      <c r="AT81" s="2675"/>
      <c r="AU81" s="2675"/>
      <c r="AV81" s="2675"/>
      <c r="AW81" s="2675"/>
      <c r="AX81" s="2676"/>
      <c r="AY81" s="205" t="s">
        <v>447</v>
      </c>
      <c r="AZ81" s="276" t="s">
        <v>152</v>
      </c>
      <c r="BA81" s="276" t="s">
        <v>509</v>
      </c>
      <c r="BB81" s="268" t="s">
        <v>91</v>
      </c>
      <c r="BC81" s="276" t="s">
        <v>452</v>
      </c>
      <c r="BD81" s="276"/>
      <c r="BE81" s="276" t="s">
        <v>362</v>
      </c>
      <c r="BF81" s="276" t="s">
        <v>422</v>
      </c>
      <c r="BG81" s="277">
        <v>1087268</v>
      </c>
      <c r="BH81" s="278">
        <f t="shared" si="13"/>
        <v>0</v>
      </c>
      <c r="BI81" s="293">
        <f>BJ81+BK81+BL81+BM81+BN81+BO81</f>
        <v>1087268</v>
      </c>
      <c r="BJ81" s="279">
        <v>96773</v>
      </c>
      <c r="BK81" s="279"/>
      <c r="BL81" s="279">
        <v>256330</v>
      </c>
      <c r="BM81" s="279">
        <v>2193.5500000000002</v>
      </c>
      <c r="BN81" s="279">
        <v>731971.45</v>
      </c>
      <c r="BO81" s="279"/>
      <c r="BP81" s="280">
        <f>BQ81+BR81+BS81+BT81+BU81+BV81+BX81+BW81</f>
        <v>1087268</v>
      </c>
      <c r="BQ81" s="280">
        <v>96773</v>
      </c>
      <c r="BR81" s="280"/>
      <c r="BS81" s="280">
        <v>369913.55</v>
      </c>
      <c r="BT81" s="280">
        <v>0.01</v>
      </c>
      <c r="BU81" s="280">
        <v>620581.43999999994</v>
      </c>
      <c r="BV81" s="280"/>
      <c r="BW81" s="280"/>
      <c r="BX81" s="281"/>
      <c r="BY81" s="282">
        <f>BZ81+CA81+CB81+CC81+CD81+CE81+CG81+CF81</f>
        <v>1087268</v>
      </c>
      <c r="BZ81" s="282">
        <v>96773</v>
      </c>
      <c r="CA81" s="282"/>
      <c r="CB81" s="282">
        <v>369913.55</v>
      </c>
      <c r="CC81" s="282">
        <v>0.01</v>
      </c>
      <c r="CD81" s="282">
        <v>620581.43999999994</v>
      </c>
      <c r="CE81" s="282"/>
      <c r="CF81" s="282"/>
      <c r="CG81" s="283"/>
      <c r="CH81" s="280">
        <f>CI81+CJ81+CK81+CL81+CM81+CN81+CP81+CO81</f>
        <v>1087268</v>
      </c>
      <c r="CI81" s="280">
        <v>96773</v>
      </c>
      <c r="CJ81" s="280"/>
      <c r="CK81" s="280">
        <v>369913.55</v>
      </c>
      <c r="CL81" s="280">
        <v>147981.60999999999</v>
      </c>
      <c r="CM81" s="280">
        <v>472599.84</v>
      </c>
      <c r="CN81" s="280">
        <v>0</v>
      </c>
      <c r="CO81" s="280"/>
      <c r="CP81" s="281"/>
      <c r="CQ81" s="272">
        <f>SUM(CR81:CY81)</f>
        <v>1087268</v>
      </c>
      <c r="CR81" s="272">
        <v>127138</v>
      </c>
      <c r="CS81" s="272">
        <v>100000</v>
      </c>
      <c r="CT81" s="272">
        <v>320203.27</v>
      </c>
      <c r="CU81" s="272"/>
      <c r="CV81" s="272">
        <v>257198.6</v>
      </c>
      <c r="CW81" s="272">
        <v>282728.13</v>
      </c>
      <c r="CX81" s="272"/>
      <c r="CY81" s="284"/>
      <c r="CZ81" s="263">
        <f>DA81+DB81+DC81+DD81+DE81+DF81+DH81+DG81</f>
        <v>0</v>
      </c>
      <c r="DA81" s="285"/>
      <c r="DB81" s="285"/>
      <c r="DC81" s="285"/>
      <c r="DD81" s="285"/>
      <c r="DE81" s="285"/>
      <c r="DF81" s="285"/>
      <c r="DG81" s="285"/>
      <c r="DH81" s="286"/>
      <c r="DI81" s="225" t="e">
        <f>CZ81=#REF!</f>
        <v>#REF!</v>
      </c>
      <c r="DJ81" s="175" t="b">
        <f>BI81=CZ81</f>
        <v>0</v>
      </c>
      <c r="DK81" s="275"/>
      <c r="DL81" s="275"/>
    </row>
    <row r="82" spans="1:119" ht="12.75" hidden="1" x14ac:dyDescent="0.2">
      <c r="A82" s="214"/>
      <c r="B82" s="215"/>
      <c r="C82" s="2675" t="s">
        <v>451</v>
      </c>
      <c r="D82" s="2675"/>
      <c r="E82" s="2675"/>
      <c r="F82" s="2675"/>
      <c r="G82" s="2675"/>
      <c r="H82" s="2675"/>
      <c r="I82" s="2675"/>
      <c r="J82" s="2675"/>
      <c r="K82" s="2675"/>
      <c r="L82" s="2675"/>
      <c r="M82" s="2675"/>
      <c r="N82" s="2675"/>
      <c r="O82" s="2675"/>
      <c r="P82" s="2675"/>
      <c r="Q82" s="2675"/>
      <c r="R82" s="2675"/>
      <c r="S82" s="2675"/>
      <c r="T82" s="2675"/>
      <c r="U82" s="2675"/>
      <c r="V82" s="2675"/>
      <c r="W82" s="2675"/>
      <c r="X82" s="2675"/>
      <c r="Y82" s="2675"/>
      <c r="Z82" s="2675"/>
      <c r="AA82" s="2675"/>
      <c r="AB82" s="2675"/>
      <c r="AC82" s="2675"/>
      <c r="AD82" s="2675"/>
      <c r="AE82" s="2675"/>
      <c r="AF82" s="2675"/>
      <c r="AG82" s="2675"/>
      <c r="AH82" s="2675"/>
      <c r="AI82" s="2675"/>
      <c r="AJ82" s="2675"/>
      <c r="AK82" s="2675"/>
      <c r="AL82" s="2675"/>
      <c r="AM82" s="2675"/>
      <c r="AN82" s="2675"/>
      <c r="AO82" s="2675"/>
      <c r="AP82" s="2675"/>
      <c r="AQ82" s="2675"/>
      <c r="AR82" s="2675"/>
      <c r="AS82" s="2675"/>
      <c r="AT82" s="2675"/>
      <c r="AU82" s="2675"/>
      <c r="AV82" s="2675"/>
      <c r="AW82" s="2675"/>
      <c r="AX82" s="2676"/>
      <c r="AY82" s="205" t="s">
        <v>447</v>
      </c>
      <c r="AZ82" s="276" t="s">
        <v>152</v>
      </c>
      <c r="BA82" s="276" t="s">
        <v>134</v>
      </c>
      <c r="BB82" s="267" t="s">
        <v>337</v>
      </c>
      <c r="BC82" s="276" t="s">
        <v>452</v>
      </c>
      <c r="BD82" s="276"/>
      <c r="BE82" s="276" t="s">
        <v>362</v>
      </c>
      <c r="BF82" s="276" t="s">
        <v>422</v>
      </c>
      <c r="BG82" s="277">
        <v>1087268</v>
      </c>
      <c r="BH82" s="278">
        <f t="shared" si="13"/>
        <v>0</v>
      </c>
      <c r="BI82" s="293">
        <f t="shared" si="3"/>
        <v>1087268</v>
      </c>
      <c r="BJ82" s="279">
        <v>96773</v>
      </c>
      <c r="BK82" s="279"/>
      <c r="BL82" s="279">
        <v>256330</v>
      </c>
      <c r="BM82" s="279">
        <v>2193.5500000000002</v>
      </c>
      <c r="BN82" s="279">
        <v>731971.45</v>
      </c>
      <c r="BO82" s="279"/>
      <c r="BP82" s="280">
        <f t="shared" si="4"/>
        <v>1087268</v>
      </c>
      <c r="BQ82" s="280">
        <v>96773</v>
      </c>
      <c r="BR82" s="280"/>
      <c r="BS82" s="280">
        <v>369913.55</v>
      </c>
      <c r="BT82" s="280">
        <v>0.01</v>
      </c>
      <c r="BU82" s="280">
        <v>620581.43999999994</v>
      </c>
      <c r="BV82" s="280"/>
      <c r="BW82" s="280"/>
      <c r="BX82" s="281"/>
      <c r="BY82" s="282">
        <f t="shared" si="5"/>
        <v>1087268</v>
      </c>
      <c r="BZ82" s="282">
        <v>96773</v>
      </c>
      <c r="CA82" s="282"/>
      <c r="CB82" s="282">
        <v>369913.55</v>
      </c>
      <c r="CC82" s="282">
        <v>0.01</v>
      </c>
      <c r="CD82" s="282">
        <v>620581.43999999994</v>
      </c>
      <c r="CE82" s="282"/>
      <c r="CF82" s="282"/>
      <c r="CG82" s="283"/>
      <c r="CH82" s="280">
        <f t="shared" si="6"/>
        <v>1087268</v>
      </c>
      <c r="CI82" s="280">
        <v>96773</v>
      </c>
      <c r="CJ82" s="280"/>
      <c r="CK82" s="280">
        <v>369913.55</v>
      </c>
      <c r="CL82" s="280">
        <v>147981.60999999999</v>
      </c>
      <c r="CM82" s="280">
        <v>472599.84</v>
      </c>
      <c r="CN82" s="280">
        <v>0</v>
      </c>
      <c r="CO82" s="280"/>
      <c r="CP82" s="281"/>
      <c r="CQ82" s="272">
        <f t="shared" si="7"/>
        <v>1087268</v>
      </c>
      <c r="CR82" s="272">
        <v>127138</v>
      </c>
      <c r="CS82" s="272">
        <v>100000</v>
      </c>
      <c r="CT82" s="272">
        <v>320203.27</v>
      </c>
      <c r="CU82" s="272"/>
      <c r="CV82" s="272">
        <v>257198.6</v>
      </c>
      <c r="CW82" s="272">
        <v>282728.13</v>
      </c>
      <c r="CX82" s="272"/>
      <c r="CY82" s="284"/>
      <c r="CZ82" s="263">
        <f t="shared" si="10"/>
        <v>0</v>
      </c>
      <c r="DA82" s="285"/>
      <c r="DB82" s="285"/>
      <c r="DC82" s="285"/>
      <c r="DD82" s="285"/>
      <c r="DE82" s="285"/>
      <c r="DF82" s="285"/>
      <c r="DG82" s="285"/>
      <c r="DH82" s="286"/>
      <c r="DI82" s="225" t="e">
        <f>CZ82=#REF!</f>
        <v>#REF!</v>
      </c>
      <c r="DJ82" s="175" t="b">
        <f t="shared" si="12"/>
        <v>0</v>
      </c>
      <c r="DK82" s="275"/>
      <c r="DL82" s="275"/>
    </row>
    <row r="83" spans="1:119" ht="13.5" hidden="1" thickBot="1" x14ac:dyDescent="0.25">
      <c r="A83" s="214"/>
      <c r="B83" s="215"/>
      <c r="C83" s="2710" t="s">
        <v>459</v>
      </c>
      <c r="D83" s="2710"/>
      <c r="E83" s="2710"/>
      <c r="F83" s="2710"/>
      <c r="G83" s="2710"/>
      <c r="H83" s="2710"/>
      <c r="I83" s="2710"/>
      <c r="J83" s="2710"/>
      <c r="K83" s="2710"/>
      <c r="L83" s="2710"/>
      <c r="M83" s="2710"/>
      <c r="N83" s="2710"/>
      <c r="O83" s="2710"/>
      <c r="P83" s="2710"/>
      <c r="Q83" s="2710"/>
      <c r="R83" s="2710"/>
      <c r="S83" s="2710"/>
      <c r="T83" s="2710"/>
      <c r="U83" s="2710"/>
      <c r="V83" s="2710"/>
      <c r="W83" s="2710"/>
      <c r="X83" s="2710"/>
      <c r="Y83" s="2710"/>
      <c r="Z83" s="2710"/>
      <c r="AA83" s="2710"/>
      <c r="AB83" s="2710"/>
      <c r="AC83" s="2710"/>
      <c r="AD83" s="2710"/>
      <c r="AE83" s="2710"/>
      <c r="AF83" s="2710"/>
      <c r="AG83" s="2710"/>
      <c r="AH83" s="2710"/>
      <c r="AI83" s="2710"/>
      <c r="AJ83" s="2710"/>
      <c r="AK83" s="2710"/>
      <c r="AL83" s="2710"/>
      <c r="AM83" s="2710"/>
      <c r="AN83" s="2710"/>
      <c r="AO83" s="2710"/>
      <c r="AP83" s="2710"/>
      <c r="AQ83" s="2710"/>
      <c r="AR83" s="2710"/>
      <c r="AS83" s="2710"/>
      <c r="AT83" s="2710"/>
      <c r="AU83" s="2710"/>
      <c r="AV83" s="2710"/>
      <c r="AW83" s="2710"/>
      <c r="AX83" s="2711"/>
      <c r="AY83" s="234" t="s">
        <v>447</v>
      </c>
      <c r="AZ83" s="235" t="s">
        <v>152</v>
      </c>
      <c r="BA83" s="235" t="s">
        <v>135</v>
      </c>
      <c r="BB83" s="294" t="s">
        <v>337</v>
      </c>
      <c r="BC83" s="235" t="s">
        <v>448</v>
      </c>
      <c r="BD83" s="235"/>
      <c r="BE83" s="235" t="s">
        <v>362</v>
      </c>
      <c r="BF83" s="235" t="s">
        <v>422</v>
      </c>
      <c r="BG83" s="237">
        <v>48488</v>
      </c>
      <c r="BH83" s="238">
        <f t="shared" si="13"/>
        <v>0</v>
      </c>
      <c r="BI83" s="239">
        <f t="shared" si="3"/>
        <v>48488</v>
      </c>
      <c r="BJ83" s="239">
        <v>48488</v>
      </c>
      <c r="BK83" s="239"/>
      <c r="BL83" s="239"/>
      <c r="BM83" s="269"/>
      <c r="BN83" s="239"/>
      <c r="BO83" s="239"/>
      <c r="BP83" s="240">
        <f>BQ83+BR83+BS83+BT83+BU83+BV83+BX83+BW83</f>
        <v>48488</v>
      </c>
      <c r="BQ83" s="240">
        <v>48488</v>
      </c>
      <c r="BR83" s="240"/>
      <c r="BS83" s="240"/>
      <c r="BT83" s="270"/>
      <c r="BU83" s="240"/>
      <c r="BV83" s="240"/>
      <c r="BW83" s="240"/>
      <c r="BX83" s="241"/>
      <c r="BY83" s="242">
        <f>BZ83+CA83+CB83+CC83+CD83+CE83+CG83+CF83</f>
        <v>48488</v>
      </c>
      <c r="BZ83" s="242">
        <v>48488</v>
      </c>
      <c r="CA83" s="242"/>
      <c r="CB83" s="242"/>
      <c r="CC83" s="271"/>
      <c r="CD83" s="242"/>
      <c r="CE83" s="242"/>
      <c r="CF83" s="242"/>
      <c r="CG83" s="243"/>
      <c r="CH83" s="240">
        <f>CI83+CJ83+CK83+CL83+CM83+CN83+CP83+CO83</f>
        <v>48488</v>
      </c>
      <c r="CI83" s="240">
        <v>48488</v>
      </c>
      <c r="CJ83" s="240"/>
      <c r="CK83" s="240"/>
      <c r="CL83" s="270"/>
      <c r="CM83" s="240"/>
      <c r="CN83" s="240"/>
      <c r="CO83" s="240"/>
      <c r="CP83" s="241"/>
      <c r="CQ83" s="244">
        <f t="shared" si="7"/>
        <v>48488</v>
      </c>
      <c r="CR83" s="244">
        <v>48488</v>
      </c>
      <c r="CS83" s="244"/>
      <c r="CT83" s="244"/>
      <c r="CU83" s="273"/>
      <c r="CV83" s="244"/>
      <c r="CW83" s="244"/>
      <c r="CX83" s="244"/>
      <c r="CY83" s="245"/>
      <c r="CZ83" s="246">
        <f t="shared" si="10"/>
        <v>0</v>
      </c>
      <c r="DA83" s="246"/>
      <c r="DB83" s="246"/>
      <c r="DC83" s="246"/>
      <c r="DD83" s="274"/>
      <c r="DE83" s="246"/>
      <c r="DF83" s="246"/>
      <c r="DG83" s="246"/>
      <c r="DH83" s="247"/>
      <c r="DI83" s="225"/>
      <c r="DJ83" s="175" t="b">
        <f t="shared" si="12"/>
        <v>0</v>
      </c>
      <c r="DK83" s="275"/>
      <c r="DL83" s="275"/>
    </row>
    <row r="84" spans="1:119" ht="12.75" x14ac:dyDescent="0.2">
      <c r="A84" s="214"/>
      <c r="B84" s="215"/>
      <c r="C84" s="2708" t="s">
        <v>469</v>
      </c>
      <c r="D84" s="2708"/>
      <c r="E84" s="2708"/>
      <c r="F84" s="2708"/>
      <c r="G84" s="2708"/>
      <c r="H84" s="2708"/>
      <c r="I84" s="2708"/>
      <c r="J84" s="2708"/>
      <c r="K84" s="2708"/>
      <c r="L84" s="2708"/>
      <c r="M84" s="2708"/>
      <c r="N84" s="2708"/>
      <c r="O84" s="2708"/>
      <c r="P84" s="2708"/>
      <c r="Q84" s="2708"/>
      <c r="R84" s="2708"/>
      <c r="S84" s="2708"/>
      <c r="T84" s="2708"/>
      <c r="U84" s="2708"/>
      <c r="V84" s="2708"/>
      <c r="W84" s="2708"/>
      <c r="X84" s="2708"/>
      <c r="Y84" s="2708"/>
      <c r="Z84" s="2708"/>
      <c r="AA84" s="2708"/>
      <c r="AB84" s="2708"/>
      <c r="AC84" s="2708"/>
      <c r="AD84" s="2708"/>
      <c r="AE84" s="2708"/>
      <c r="AF84" s="2708"/>
      <c r="AG84" s="2708"/>
      <c r="AH84" s="2708"/>
      <c r="AI84" s="2708"/>
      <c r="AJ84" s="2708"/>
      <c r="AK84" s="2708"/>
      <c r="AL84" s="2708"/>
      <c r="AM84" s="2708"/>
      <c r="AN84" s="2708"/>
      <c r="AO84" s="2708"/>
      <c r="AP84" s="2708"/>
      <c r="AQ84" s="2708"/>
      <c r="AR84" s="2708"/>
      <c r="AS84" s="2708"/>
      <c r="AT84" s="2708"/>
      <c r="AU84" s="2708"/>
      <c r="AV84" s="2708"/>
      <c r="AW84" s="2708"/>
      <c r="AX84" s="2709"/>
      <c r="AY84" s="197" t="s">
        <v>426</v>
      </c>
      <c r="AZ84" s="249" t="s">
        <v>152</v>
      </c>
      <c r="BA84" s="249" t="s">
        <v>33</v>
      </c>
      <c r="BB84" s="249" t="s">
        <v>119</v>
      </c>
      <c r="BC84" s="249" t="s">
        <v>427</v>
      </c>
      <c r="BD84" s="249"/>
      <c r="BE84" s="249" t="s">
        <v>281</v>
      </c>
      <c r="BF84" s="249" t="s">
        <v>422</v>
      </c>
      <c r="BG84" s="250">
        <v>6660.68</v>
      </c>
      <c r="BH84" s="251">
        <f t="shared" si="13"/>
        <v>0</v>
      </c>
      <c r="BI84" s="295">
        <f t="shared" si="3"/>
        <v>6660.68</v>
      </c>
      <c r="BJ84" s="252"/>
      <c r="BK84" s="252"/>
      <c r="BL84" s="252"/>
      <c r="BM84" s="295">
        <v>115.39</v>
      </c>
      <c r="BN84" s="252">
        <f>6545.28+0.01</f>
        <v>6545.29</v>
      </c>
      <c r="BO84" s="252"/>
      <c r="BP84" s="254">
        <f>BQ84+BR84+BS84+BT84+BU84+BV84+BX84+BW84</f>
        <v>6660.68</v>
      </c>
      <c r="BQ84" s="254"/>
      <c r="BR84" s="254"/>
      <c r="BS84" s="254"/>
      <c r="BT84" s="254">
        <v>127.53</v>
      </c>
      <c r="BU84" s="254">
        <v>6533.15</v>
      </c>
      <c r="BV84" s="254"/>
      <c r="BW84" s="254"/>
      <c r="BX84" s="256"/>
      <c r="BY84" s="257">
        <f>BZ84+CA84+CB84+CC84+CD84+CE84+CG84+CF84</f>
        <v>6660.68</v>
      </c>
      <c r="BZ84" s="257"/>
      <c r="CA84" s="257"/>
      <c r="CB84" s="257"/>
      <c r="CC84" s="257">
        <v>127.53</v>
      </c>
      <c r="CD84" s="257">
        <v>6533.15</v>
      </c>
      <c r="CE84" s="257"/>
      <c r="CF84" s="257"/>
      <c r="CG84" s="259"/>
      <c r="CH84" s="254">
        <f>CI84+CJ84+CK84+CL84+CM84+CN84+CP84+CO84</f>
        <v>6660.68</v>
      </c>
      <c r="CI84" s="254"/>
      <c r="CJ84" s="254"/>
      <c r="CK84" s="254"/>
      <c r="CL84" s="254">
        <v>127.53</v>
      </c>
      <c r="CM84" s="254">
        <v>6533.15</v>
      </c>
      <c r="CN84" s="254"/>
      <c r="CO84" s="254"/>
      <c r="CP84" s="256"/>
      <c r="CQ84" s="260">
        <f t="shared" si="7"/>
        <v>6660.68</v>
      </c>
      <c r="CR84" s="260"/>
      <c r="CS84" s="260"/>
      <c r="CT84" s="260"/>
      <c r="CU84" s="260">
        <v>127.53</v>
      </c>
      <c r="CV84" s="260">
        <v>6533.15</v>
      </c>
      <c r="CW84" s="260"/>
      <c r="CX84" s="260"/>
      <c r="CY84" s="262"/>
      <c r="CZ84" s="263" t="e">
        <f>DA84+DB84+DC84+DD84+DE84+DF84+DH84+DG84</f>
        <v>#REF!</v>
      </c>
      <c r="DA84" s="263"/>
      <c r="DB84" s="263"/>
      <c r="DC84" s="263"/>
      <c r="DD84" s="263"/>
      <c r="DE84" s="263" t="e">
        <f>'4 (2025)'!#REF!+'4 (2025)'!#REF!</f>
        <v>#REF!</v>
      </c>
      <c r="DF84" s="263"/>
      <c r="DG84" s="263"/>
      <c r="DH84" s="265"/>
      <c r="DI84" s="225" t="e">
        <f>CZ84=#REF!</f>
        <v>#REF!</v>
      </c>
      <c r="DJ84" s="175" t="e">
        <f t="shared" si="12"/>
        <v>#REF!</v>
      </c>
      <c r="DK84" s="248"/>
      <c r="DL84" s="275" t="e">
        <f>SUM(CZ84:CZ107)</f>
        <v>#REF!</v>
      </c>
      <c r="DM84" s="296" t="e">
        <f>#REF!</f>
        <v>#REF!</v>
      </c>
      <c r="DN84" s="175" t="e">
        <f>DL84=DM84</f>
        <v>#REF!</v>
      </c>
      <c r="DO84" s="296" t="e">
        <f>DM84-DL84</f>
        <v>#REF!</v>
      </c>
    </row>
    <row r="85" spans="1:119" ht="12.75" x14ac:dyDescent="0.2">
      <c r="A85" s="214"/>
      <c r="B85" s="215"/>
      <c r="C85" s="2708" t="s">
        <v>469</v>
      </c>
      <c r="D85" s="2708"/>
      <c r="E85" s="2708"/>
      <c r="F85" s="2708"/>
      <c r="G85" s="2708"/>
      <c r="H85" s="2708"/>
      <c r="I85" s="2708"/>
      <c r="J85" s="2708"/>
      <c r="K85" s="2708"/>
      <c r="L85" s="2708"/>
      <c r="M85" s="2708"/>
      <c r="N85" s="2708"/>
      <c r="O85" s="2708"/>
      <c r="P85" s="2708"/>
      <c r="Q85" s="2708"/>
      <c r="R85" s="2708"/>
      <c r="S85" s="2708"/>
      <c r="T85" s="2708"/>
      <c r="U85" s="2708"/>
      <c r="V85" s="2708"/>
      <c r="W85" s="2708"/>
      <c r="X85" s="2708"/>
      <c r="Y85" s="2708"/>
      <c r="Z85" s="2708"/>
      <c r="AA85" s="2708"/>
      <c r="AB85" s="2708"/>
      <c r="AC85" s="2708"/>
      <c r="AD85" s="2708"/>
      <c r="AE85" s="2708"/>
      <c r="AF85" s="2708"/>
      <c r="AG85" s="2708"/>
      <c r="AH85" s="2708"/>
      <c r="AI85" s="2708"/>
      <c r="AJ85" s="2708"/>
      <c r="AK85" s="2708"/>
      <c r="AL85" s="2708"/>
      <c r="AM85" s="2708"/>
      <c r="AN85" s="2708"/>
      <c r="AO85" s="2708"/>
      <c r="AP85" s="2708"/>
      <c r="AQ85" s="2708"/>
      <c r="AR85" s="2708"/>
      <c r="AS85" s="2708"/>
      <c r="AT85" s="2708"/>
      <c r="AU85" s="2708"/>
      <c r="AV85" s="2708"/>
      <c r="AW85" s="2708"/>
      <c r="AX85" s="2709"/>
      <c r="AY85" s="197"/>
      <c r="AZ85" s="249" t="s">
        <v>607</v>
      </c>
      <c r="BA85" s="276" t="s">
        <v>33</v>
      </c>
      <c r="BB85" s="266" t="s">
        <v>34</v>
      </c>
      <c r="BC85" s="249" t="s">
        <v>427</v>
      </c>
      <c r="BD85" s="249"/>
      <c r="BE85" s="249" t="s">
        <v>281</v>
      </c>
      <c r="BF85" s="249" t="s">
        <v>422</v>
      </c>
      <c r="BG85" s="250"/>
      <c r="BH85" s="251"/>
      <c r="BI85" s="295"/>
      <c r="BJ85" s="252"/>
      <c r="BK85" s="252"/>
      <c r="BL85" s="252"/>
      <c r="BM85" s="295"/>
      <c r="BN85" s="252"/>
      <c r="BO85" s="252"/>
      <c r="BP85" s="254"/>
      <c r="BQ85" s="254"/>
      <c r="BR85" s="254"/>
      <c r="BS85" s="254"/>
      <c r="BT85" s="254"/>
      <c r="BU85" s="254"/>
      <c r="BV85" s="254"/>
      <c r="BW85" s="254"/>
      <c r="BX85" s="256"/>
      <c r="BY85" s="257"/>
      <c r="BZ85" s="257"/>
      <c r="CA85" s="257"/>
      <c r="CB85" s="257"/>
      <c r="CC85" s="257"/>
      <c r="CD85" s="257"/>
      <c r="CE85" s="257"/>
      <c r="CF85" s="257"/>
      <c r="CG85" s="259"/>
      <c r="CH85" s="254"/>
      <c r="CI85" s="254"/>
      <c r="CJ85" s="254"/>
      <c r="CK85" s="254"/>
      <c r="CL85" s="254"/>
      <c r="CM85" s="254"/>
      <c r="CN85" s="254"/>
      <c r="CO85" s="254"/>
      <c r="CP85" s="256"/>
      <c r="CQ85" s="272"/>
      <c r="CR85" s="260"/>
      <c r="CS85" s="260"/>
      <c r="CT85" s="260"/>
      <c r="CU85" s="260"/>
      <c r="CV85" s="260"/>
      <c r="CW85" s="260"/>
      <c r="CX85" s="260"/>
      <c r="CY85" s="262"/>
      <c r="CZ85" s="285" t="e">
        <f>DA85+DB85+DC85+DD85+DE85+DF85+DH85+DG85</f>
        <v>#REF!</v>
      </c>
      <c r="DA85" s="263"/>
      <c r="DB85" s="263"/>
      <c r="DC85" s="263"/>
      <c r="DD85" s="263"/>
      <c r="DE85" s="263" t="e">
        <f>'4 (2025)'!#REF!+'4 (2025)'!#REF!+'4 (2025)'!#REF!+'4 (2025)'!#REF!</f>
        <v>#REF!</v>
      </c>
      <c r="DF85" s="263"/>
      <c r="DG85" s="263"/>
      <c r="DH85" s="265" t="e">
        <f>'4 (2025)'!#REF!</f>
        <v>#REF!</v>
      </c>
      <c r="DI85" s="225" t="e">
        <f>#REF!=CZ85</f>
        <v>#REF!</v>
      </c>
      <c r="DK85" s="364"/>
      <c r="DL85" s="364"/>
      <c r="DM85" s="364"/>
    </row>
    <row r="86" spans="1:119" ht="12.75" x14ac:dyDescent="0.2">
      <c r="A86" s="214"/>
      <c r="B86" s="215"/>
      <c r="C86" s="2708" t="s">
        <v>469</v>
      </c>
      <c r="D86" s="2708"/>
      <c r="E86" s="2708"/>
      <c r="F86" s="2708"/>
      <c r="G86" s="2708"/>
      <c r="H86" s="2708"/>
      <c r="I86" s="2708"/>
      <c r="J86" s="2708"/>
      <c r="K86" s="2708"/>
      <c r="L86" s="2708"/>
      <c r="M86" s="2708"/>
      <c r="N86" s="2708"/>
      <c r="O86" s="2708"/>
      <c r="P86" s="2708"/>
      <c r="Q86" s="2708"/>
      <c r="R86" s="2708"/>
      <c r="S86" s="2708"/>
      <c r="T86" s="2708"/>
      <c r="U86" s="2708"/>
      <c r="V86" s="2708"/>
      <c r="W86" s="2708"/>
      <c r="X86" s="2708"/>
      <c r="Y86" s="2708"/>
      <c r="Z86" s="2708"/>
      <c r="AA86" s="2708"/>
      <c r="AB86" s="2708"/>
      <c r="AC86" s="2708"/>
      <c r="AD86" s="2708"/>
      <c r="AE86" s="2708"/>
      <c r="AF86" s="2708"/>
      <c r="AG86" s="2708"/>
      <c r="AH86" s="2708"/>
      <c r="AI86" s="2708"/>
      <c r="AJ86" s="2708"/>
      <c r="AK86" s="2708"/>
      <c r="AL86" s="2708"/>
      <c r="AM86" s="2708"/>
      <c r="AN86" s="2708"/>
      <c r="AO86" s="2708"/>
      <c r="AP86" s="2708"/>
      <c r="AQ86" s="2708"/>
      <c r="AR86" s="2708"/>
      <c r="AS86" s="2708"/>
      <c r="AT86" s="2708"/>
      <c r="AU86" s="2708"/>
      <c r="AV86" s="2708"/>
      <c r="AW86" s="2708"/>
      <c r="AX86" s="2709"/>
      <c r="AY86" s="366"/>
      <c r="AZ86" s="249" t="s">
        <v>152</v>
      </c>
      <c r="BA86" s="276" t="s">
        <v>33</v>
      </c>
      <c r="BB86" s="266" t="s">
        <v>34</v>
      </c>
      <c r="BC86" s="249" t="s">
        <v>427</v>
      </c>
      <c r="BD86" s="249"/>
      <c r="BE86" s="249" t="s">
        <v>281</v>
      </c>
      <c r="BF86" s="249" t="s">
        <v>422</v>
      </c>
      <c r="BG86" s="250"/>
      <c r="BH86" s="251"/>
      <c r="BI86" s="295"/>
      <c r="BJ86" s="252"/>
      <c r="BK86" s="252"/>
      <c r="BL86" s="252"/>
      <c r="BM86" s="295"/>
      <c r="BN86" s="252"/>
      <c r="BO86" s="252"/>
      <c r="BP86" s="254"/>
      <c r="BQ86" s="254"/>
      <c r="BR86" s="254"/>
      <c r="BS86" s="254"/>
      <c r="BT86" s="254"/>
      <c r="BU86" s="254"/>
      <c r="BV86" s="254"/>
      <c r="BW86" s="254"/>
      <c r="BX86" s="256"/>
      <c r="BY86" s="257"/>
      <c r="BZ86" s="257"/>
      <c r="CA86" s="257"/>
      <c r="CB86" s="257"/>
      <c r="CC86" s="257"/>
      <c r="CD86" s="257"/>
      <c r="CE86" s="257"/>
      <c r="CF86" s="257"/>
      <c r="CG86" s="259"/>
      <c r="CH86" s="254"/>
      <c r="CI86" s="254"/>
      <c r="CJ86" s="254"/>
      <c r="CK86" s="254"/>
      <c r="CL86" s="254"/>
      <c r="CM86" s="254"/>
      <c r="CN86" s="254"/>
      <c r="CO86" s="254"/>
      <c r="CP86" s="256"/>
      <c r="CQ86" s="272"/>
      <c r="CR86" s="260"/>
      <c r="CS86" s="260"/>
      <c r="CT86" s="260"/>
      <c r="CU86" s="260"/>
      <c r="CV86" s="260"/>
      <c r="CW86" s="260"/>
      <c r="CX86" s="260"/>
      <c r="CY86" s="262"/>
      <c r="CZ86" s="285" t="e">
        <f>DA86+DB86+DC86+DD86+DE86+DF86+DH86+DG86</f>
        <v>#REF!</v>
      </c>
      <c r="DA86" s="263"/>
      <c r="DB86" s="263"/>
      <c r="DC86" s="263"/>
      <c r="DD86" s="263"/>
      <c r="DE86" s="263" t="e">
        <f>#REF!+#REF!+#REF!+#REF!+#REF!+#REF!+#REF!+#REF!+#REF!+#REF!</f>
        <v>#REF!</v>
      </c>
      <c r="DF86" s="263"/>
      <c r="DG86" s="263"/>
      <c r="DH86" s="265" t="e">
        <f>'4 (2025)'!#REF!+'4 (2025)'!#REF!</f>
        <v>#REF!</v>
      </c>
      <c r="DI86" s="225" t="e">
        <f>#REF!=CZ86</f>
        <v>#REF!</v>
      </c>
      <c r="DK86" s="364"/>
      <c r="DL86" s="364"/>
      <c r="DM86" s="364"/>
    </row>
    <row r="87" spans="1:119" ht="12.75" customHeight="1" x14ac:dyDescent="0.2">
      <c r="A87" s="214"/>
      <c r="B87" s="215"/>
      <c r="C87" s="2675" t="s">
        <v>457</v>
      </c>
      <c r="D87" s="2675"/>
      <c r="E87" s="2675"/>
      <c r="F87" s="2675"/>
      <c r="G87" s="2675"/>
      <c r="H87" s="2675"/>
      <c r="I87" s="2675"/>
      <c r="J87" s="2675"/>
      <c r="K87" s="2675"/>
      <c r="L87" s="2675"/>
      <c r="M87" s="2675"/>
      <c r="N87" s="2675"/>
      <c r="O87" s="2675"/>
      <c r="P87" s="2675"/>
      <c r="Q87" s="2675"/>
      <c r="R87" s="2675"/>
      <c r="S87" s="2675"/>
      <c r="T87" s="2675"/>
      <c r="U87" s="2675"/>
      <c r="V87" s="2675"/>
      <c r="W87" s="2675"/>
      <c r="X87" s="2675"/>
      <c r="Y87" s="2675"/>
      <c r="Z87" s="2675"/>
      <c r="AA87" s="2675"/>
      <c r="AB87" s="2675"/>
      <c r="AC87" s="2675"/>
      <c r="AD87" s="2675"/>
      <c r="AE87" s="2675"/>
      <c r="AF87" s="2675"/>
      <c r="AG87" s="2675"/>
      <c r="AH87" s="2675"/>
      <c r="AI87" s="2675"/>
      <c r="AJ87" s="2675"/>
      <c r="AK87" s="2675"/>
      <c r="AL87" s="2675"/>
      <c r="AM87" s="2675"/>
      <c r="AN87" s="2675"/>
      <c r="AO87" s="2675"/>
      <c r="AP87" s="2675"/>
      <c r="AQ87" s="2675"/>
      <c r="AR87" s="2675"/>
      <c r="AS87" s="2675"/>
      <c r="AT87" s="2675"/>
      <c r="AU87" s="2675"/>
      <c r="AV87" s="2675"/>
      <c r="AW87" s="2675"/>
      <c r="AX87" s="2676"/>
      <c r="AY87" s="205" t="s">
        <v>430</v>
      </c>
      <c r="AZ87" s="276" t="s">
        <v>152</v>
      </c>
      <c r="BA87" s="276" t="s">
        <v>33</v>
      </c>
      <c r="BB87" s="266" t="s">
        <v>34</v>
      </c>
      <c r="BC87" s="276" t="s">
        <v>431</v>
      </c>
      <c r="BD87" s="276"/>
      <c r="BE87" s="276" t="s">
        <v>281</v>
      </c>
      <c r="BF87" s="276" t="s">
        <v>422</v>
      </c>
      <c r="BG87" s="277">
        <v>1450000</v>
      </c>
      <c r="BH87" s="278">
        <f>310000+350000+15000</f>
        <v>675000</v>
      </c>
      <c r="BI87" s="279">
        <f t="shared" si="3"/>
        <v>3575000</v>
      </c>
      <c r="BJ87" s="279">
        <v>40000</v>
      </c>
      <c r="BK87" s="279"/>
      <c r="BL87" s="279">
        <v>1650000</v>
      </c>
      <c r="BM87" s="279"/>
      <c r="BN87" s="279">
        <v>1885000</v>
      </c>
      <c r="BO87" s="279"/>
      <c r="BP87" s="280">
        <f>BQ87+BR87+BS87+BT87+BU87+BV87+BX87+BW87</f>
        <v>3575000</v>
      </c>
      <c r="BQ87" s="280">
        <v>40000</v>
      </c>
      <c r="BR87" s="280"/>
      <c r="BS87" s="280">
        <v>3435000</v>
      </c>
      <c r="BT87" s="280"/>
      <c r="BU87" s="280"/>
      <c r="BV87" s="280"/>
      <c r="BW87" s="280"/>
      <c r="BX87" s="281">
        <v>100000</v>
      </c>
      <c r="BY87" s="282">
        <f>BZ87+CA87+CB87+CC87+CD87+CE87+CG87+CF87</f>
        <v>3475000</v>
      </c>
      <c r="BZ87" s="282">
        <v>40000</v>
      </c>
      <c r="CA87" s="282"/>
      <c r="CB87" s="282">
        <v>3435000</v>
      </c>
      <c r="CC87" s="282"/>
      <c r="CD87" s="282"/>
      <c r="CE87" s="282"/>
      <c r="CF87" s="282"/>
      <c r="CG87" s="283"/>
      <c r="CH87" s="280">
        <f>CI87+CJ87+CK87+CL87+CM87+CN87+CP87+CO87</f>
        <v>3430500</v>
      </c>
      <c r="CI87" s="280">
        <v>40000</v>
      </c>
      <c r="CJ87" s="280"/>
      <c r="CK87" s="280">
        <v>1970000</v>
      </c>
      <c r="CL87" s="280"/>
      <c r="CM87" s="280">
        <v>1220500</v>
      </c>
      <c r="CN87" s="280"/>
      <c r="CO87" s="280"/>
      <c r="CP87" s="280">
        <v>200000</v>
      </c>
      <c r="CQ87" s="272">
        <f t="shared" si="7"/>
        <v>3230500</v>
      </c>
      <c r="CR87" s="272">
        <v>154517.48000000001</v>
      </c>
      <c r="CS87" s="272"/>
      <c r="CT87" s="272">
        <v>1629792.56</v>
      </c>
      <c r="CU87" s="272"/>
      <c r="CV87" s="272">
        <v>1446189.96</v>
      </c>
      <c r="CW87" s="272"/>
      <c r="CX87" s="272"/>
      <c r="CY87" s="272"/>
      <c r="CZ87" s="285" t="e">
        <f>DA87+DB87+DC87+DD87+DE87+DF87+DH87+DG87</f>
        <v>#REF!</v>
      </c>
      <c r="DA87" s="285" t="e">
        <f>#REF!</f>
        <v>#REF!</v>
      </c>
      <c r="DB87" s="285"/>
      <c r="DC87" s="285" t="e">
        <f>#REF!</f>
        <v>#REF!</v>
      </c>
      <c r="DD87" s="285"/>
      <c r="DE87" s="285"/>
      <c r="DF87" s="285"/>
      <c r="DG87" s="285"/>
      <c r="DH87" s="286"/>
      <c r="DI87" s="225" t="e">
        <f>CZ87=#REF!</f>
        <v>#REF!</v>
      </c>
      <c r="DJ87" s="175" t="e">
        <f t="shared" si="12"/>
        <v>#REF!</v>
      </c>
    </row>
    <row r="88" spans="1:119" ht="12.75" hidden="1" customHeight="1" x14ac:dyDescent="0.2">
      <c r="A88" s="214"/>
      <c r="B88" s="215"/>
      <c r="C88" s="2675" t="s">
        <v>457</v>
      </c>
      <c r="D88" s="2675"/>
      <c r="E88" s="2675"/>
      <c r="F88" s="2675"/>
      <c r="G88" s="2675"/>
      <c r="H88" s="2675"/>
      <c r="I88" s="2675"/>
      <c r="J88" s="2675"/>
      <c r="K88" s="2675"/>
      <c r="L88" s="2675"/>
      <c r="M88" s="2675"/>
      <c r="N88" s="2675"/>
      <c r="O88" s="2675"/>
      <c r="P88" s="2675"/>
      <c r="Q88" s="2675"/>
      <c r="R88" s="2675"/>
      <c r="S88" s="2675"/>
      <c r="T88" s="2675"/>
      <c r="U88" s="2675"/>
      <c r="V88" s="2675"/>
      <c r="W88" s="2675"/>
      <c r="X88" s="2675"/>
      <c r="Y88" s="2675"/>
      <c r="Z88" s="2675"/>
      <c r="AA88" s="2675"/>
      <c r="AB88" s="2675"/>
      <c r="AC88" s="2675"/>
      <c r="AD88" s="2675"/>
      <c r="AE88" s="2675"/>
      <c r="AF88" s="2675"/>
      <c r="AG88" s="2675"/>
      <c r="AH88" s="2675"/>
      <c r="AI88" s="2675"/>
      <c r="AJ88" s="2675"/>
      <c r="AK88" s="2675"/>
      <c r="AL88" s="2675"/>
      <c r="AM88" s="2675"/>
      <c r="AN88" s="2675"/>
      <c r="AO88" s="2675"/>
      <c r="AP88" s="2675"/>
      <c r="AQ88" s="2675"/>
      <c r="AR88" s="2675"/>
      <c r="AS88" s="2675"/>
      <c r="AT88" s="2675"/>
      <c r="AU88" s="2675"/>
      <c r="AV88" s="2675"/>
      <c r="AW88" s="2675"/>
      <c r="AX88" s="2676"/>
      <c r="AY88" s="205" t="s">
        <v>430</v>
      </c>
      <c r="AZ88" s="276" t="s">
        <v>152</v>
      </c>
      <c r="BA88" s="276" t="s">
        <v>33</v>
      </c>
      <c r="BB88" s="267" t="s">
        <v>140</v>
      </c>
      <c r="BC88" s="276" t="s">
        <v>431</v>
      </c>
      <c r="BD88" s="276"/>
      <c r="BE88" s="276" t="s">
        <v>281</v>
      </c>
      <c r="BF88" s="276" t="s">
        <v>422</v>
      </c>
      <c r="BG88" s="277">
        <v>1450000</v>
      </c>
      <c r="BH88" s="278">
        <f>310000+350000+15000</f>
        <v>675000</v>
      </c>
      <c r="BI88" s="279">
        <f>BJ88+BK88+BL88+BM88+BN88+BO88</f>
        <v>3575000</v>
      </c>
      <c r="BJ88" s="279">
        <v>40000</v>
      </c>
      <c r="BK88" s="279"/>
      <c r="BL88" s="279">
        <v>1650000</v>
      </c>
      <c r="BM88" s="279"/>
      <c r="BN88" s="279">
        <v>1885000</v>
      </c>
      <c r="BO88" s="279"/>
      <c r="BP88" s="280">
        <f>BQ88+BR88+BS88+BT88+BU88+BV88+BX88+BW88</f>
        <v>3575000</v>
      </c>
      <c r="BQ88" s="280">
        <v>40000</v>
      </c>
      <c r="BR88" s="280"/>
      <c r="BS88" s="280">
        <v>3435000</v>
      </c>
      <c r="BT88" s="280"/>
      <c r="BU88" s="280"/>
      <c r="BV88" s="280"/>
      <c r="BW88" s="280"/>
      <c r="BX88" s="281">
        <v>100000</v>
      </c>
      <c r="BY88" s="282">
        <f>BZ88+CA88+CB88+CC88+CD88+CE88+CG88+CF88</f>
        <v>3475000</v>
      </c>
      <c r="BZ88" s="282">
        <v>40000</v>
      </c>
      <c r="CA88" s="282"/>
      <c r="CB88" s="282">
        <v>3435000</v>
      </c>
      <c r="CC88" s="282"/>
      <c r="CD88" s="282"/>
      <c r="CE88" s="282"/>
      <c r="CF88" s="282"/>
      <c r="CG88" s="283"/>
      <c r="CH88" s="280">
        <f>CI88+CJ88+CK88+CL88+CM88+CN88+CP88+CO88</f>
        <v>3430500</v>
      </c>
      <c r="CI88" s="280">
        <v>40000</v>
      </c>
      <c r="CJ88" s="280"/>
      <c r="CK88" s="280">
        <v>1970000</v>
      </c>
      <c r="CL88" s="280"/>
      <c r="CM88" s="280">
        <v>1220500</v>
      </c>
      <c r="CN88" s="280"/>
      <c r="CO88" s="280"/>
      <c r="CP88" s="280">
        <v>200000</v>
      </c>
      <c r="CQ88" s="272">
        <f>SUM(CR88:CY88)</f>
        <v>3230500</v>
      </c>
      <c r="CR88" s="272">
        <v>154517.48000000001</v>
      </c>
      <c r="CS88" s="272"/>
      <c r="CT88" s="272">
        <v>1629792.56</v>
      </c>
      <c r="CU88" s="272"/>
      <c r="CV88" s="272">
        <v>1446189.96</v>
      </c>
      <c r="CW88" s="272"/>
      <c r="CX88" s="272"/>
      <c r="CY88" s="272"/>
      <c r="CZ88" s="285">
        <f>DA88+DB88+DC88+DD88+DE88+DF88+DH88+DG88</f>
        <v>0</v>
      </c>
      <c r="DA88" s="285"/>
      <c r="DB88" s="285"/>
      <c r="DC88" s="285"/>
      <c r="DD88" s="285"/>
      <c r="DE88" s="285"/>
      <c r="DF88" s="285"/>
      <c r="DG88" s="285"/>
      <c r="DH88" s="286"/>
      <c r="DI88" s="225" t="e">
        <f>CZ88=#REF!</f>
        <v>#REF!</v>
      </c>
      <c r="DJ88" s="175" t="b">
        <f>BI88=CZ88</f>
        <v>0</v>
      </c>
    </row>
    <row r="89" spans="1:119" ht="12.75" hidden="1" x14ac:dyDescent="0.2">
      <c r="A89" s="214"/>
      <c r="B89" s="215"/>
      <c r="C89" s="2675" t="s">
        <v>457</v>
      </c>
      <c r="D89" s="2675"/>
      <c r="E89" s="2675"/>
      <c r="F89" s="2675"/>
      <c r="G89" s="2675"/>
      <c r="H89" s="2675"/>
      <c r="I89" s="2675"/>
      <c r="J89" s="2675"/>
      <c r="K89" s="2675"/>
      <c r="L89" s="2675"/>
      <c r="M89" s="2675"/>
      <c r="N89" s="2675"/>
      <c r="O89" s="2675"/>
      <c r="P89" s="2675"/>
      <c r="Q89" s="2675"/>
      <c r="R89" s="2675"/>
      <c r="S89" s="2675"/>
      <c r="T89" s="2675"/>
      <c r="U89" s="2675"/>
      <c r="V89" s="2675"/>
      <c r="W89" s="2675"/>
      <c r="X89" s="2675"/>
      <c r="Y89" s="2675"/>
      <c r="Z89" s="2675"/>
      <c r="AA89" s="2675"/>
      <c r="AB89" s="2675"/>
      <c r="AC89" s="2675"/>
      <c r="AD89" s="2675"/>
      <c r="AE89" s="2675"/>
      <c r="AF89" s="2675"/>
      <c r="AG89" s="2675"/>
      <c r="AH89" s="2675"/>
      <c r="AI89" s="2675"/>
      <c r="AJ89" s="2675"/>
      <c r="AK89" s="2675"/>
      <c r="AL89" s="2675"/>
      <c r="AM89" s="2675"/>
      <c r="AN89" s="2675"/>
      <c r="AO89" s="2675"/>
      <c r="AP89" s="2675"/>
      <c r="AQ89" s="2675"/>
      <c r="AR89" s="2675"/>
      <c r="AS89" s="2675"/>
      <c r="AT89" s="2675"/>
      <c r="AU89" s="2675"/>
      <c r="AV89" s="2675"/>
      <c r="AW89" s="2675"/>
      <c r="AX89" s="2676"/>
      <c r="AY89" s="205" t="s">
        <v>430</v>
      </c>
      <c r="AZ89" s="276" t="s">
        <v>152</v>
      </c>
      <c r="BA89" s="276" t="s">
        <v>33</v>
      </c>
      <c r="BB89" s="276" t="s">
        <v>141</v>
      </c>
      <c r="BC89" s="276" t="s">
        <v>431</v>
      </c>
      <c r="BD89" s="276"/>
      <c r="BE89" s="276" t="s">
        <v>281</v>
      </c>
      <c r="BF89" s="276" t="s">
        <v>422</v>
      </c>
      <c r="BG89" s="277">
        <v>15708.84</v>
      </c>
      <c r="BH89" s="278"/>
      <c r="BI89" s="279">
        <f t="shared" si="3"/>
        <v>24664.880000000001</v>
      </c>
      <c r="BJ89" s="279"/>
      <c r="BK89" s="279"/>
      <c r="BL89" s="279">
        <v>24664.880000000001</v>
      </c>
      <c r="BM89" s="279"/>
      <c r="BN89" s="279"/>
      <c r="BO89" s="279"/>
      <c r="BP89" s="280">
        <f t="shared" ref="BP89:BP107" si="14">BQ89+BR89+BS89+BT89+BU89+BV89+BX89+BW89</f>
        <v>24664.880000000001</v>
      </c>
      <c r="BQ89" s="280"/>
      <c r="BR89" s="280"/>
      <c r="BS89" s="280">
        <v>24664.880000000001</v>
      </c>
      <c r="BT89" s="280"/>
      <c r="BU89" s="280"/>
      <c r="BV89" s="280"/>
      <c r="BW89" s="280"/>
      <c r="BX89" s="281"/>
      <c r="BY89" s="282">
        <f t="shared" ref="BY89:BY107" si="15">BZ89+CA89+CB89+CC89+CD89+CE89+CG89+CF89</f>
        <v>24664.880000000001</v>
      </c>
      <c r="BZ89" s="282"/>
      <c r="CA89" s="282"/>
      <c r="CB89" s="282">
        <v>24664.880000000001</v>
      </c>
      <c r="CC89" s="282"/>
      <c r="CD89" s="282"/>
      <c r="CE89" s="282"/>
      <c r="CF89" s="282"/>
      <c r="CG89" s="283"/>
      <c r="CH89" s="280">
        <f t="shared" ref="CH89:CH107" si="16">CI89+CJ89+CK89+CL89+CM89+CN89+CP89+CO89</f>
        <v>24664.880000000001</v>
      </c>
      <c r="CI89" s="280"/>
      <c r="CJ89" s="280"/>
      <c r="CK89" s="280">
        <v>24664.880000000001</v>
      </c>
      <c r="CL89" s="280"/>
      <c r="CM89" s="280"/>
      <c r="CN89" s="280"/>
      <c r="CO89" s="280"/>
      <c r="CP89" s="281"/>
      <c r="CQ89" s="272">
        <f t="shared" si="7"/>
        <v>24664.880000000001</v>
      </c>
      <c r="CR89" s="272"/>
      <c r="CS89" s="272"/>
      <c r="CT89" s="272"/>
      <c r="CU89" s="272"/>
      <c r="CV89" s="272">
        <v>24664.880000000001</v>
      </c>
      <c r="CW89" s="272"/>
      <c r="CX89" s="272"/>
      <c r="CY89" s="284"/>
      <c r="CZ89" s="285">
        <f t="shared" ref="CZ89:CZ107" si="17">DA89+DB89+DC89+DD89+DE89+DF89+DH89+DG89</f>
        <v>0</v>
      </c>
      <c r="DA89" s="285"/>
      <c r="DB89" s="285"/>
      <c r="DC89" s="285"/>
      <c r="DD89" s="285"/>
      <c r="DE89" s="285"/>
      <c r="DF89" s="285"/>
      <c r="DG89" s="285"/>
      <c r="DH89" s="286"/>
      <c r="DI89" s="225"/>
      <c r="DJ89" s="175" t="b">
        <f t="shared" si="12"/>
        <v>0</v>
      </c>
    </row>
    <row r="90" spans="1:119" ht="12.75" x14ac:dyDescent="0.2">
      <c r="A90" s="214"/>
      <c r="B90" s="215"/>
      <c r="C90" s="2675" t="s">
        <v>457</v>
      </c>
      <c r="D90" s="2675"/>
      <c r="E90" s="2675"/>
      <c r="F90" s="2675"/>
      <c r="G90" s="2675"/>
      <c r="H90" s="2675"/>
      <c r="I90" s="2675"/>
      <c r="J90" s="2675"/>
      <c r="K90" s="2675"/>
      <c r="L90" s="2675"/>
      <c r="M90" s="2675"/>
      <c r="N90" s="2675"/>
      <c r="O90" s="2675"/>
      <c r="P90" s="2675"/>
      <c r="Q90" s="2675"/>
      <c r="R90" s="2675"/>
      <c r="S90" s="2675"/>
      <c r="T90" s="2675"/>
      <c r="U90" s="2675"/>
      <c r="V90" s="2675"/>
      <c r="W90" s="2675"/>
      <c r="X90" s="2675"/>
      <c r="Y90" s="2675"/>
      <c r="Z90" s="2675"/>
      <c r="AA90" s="2675"/>
      <c r="AB90" s="2675"/>
      <c r="AC90" s="2675"/>
      <c r="AD90" s="2675"/>
      <c r="AE90" s="2675"/>
      <c r="AF90" s="2675"/>
      <c r="AG90" s="2675"/>
      <c r="AH90" s="2675"/>
      <c r="AI90" s="2675"/>
      <c r="AJ90" s="2675"/>
      <c r="AK90" s="2675"/>
      <c r="AL90" s="2675"/>
      <c r="AM90" s="2675"/>
      <c r="AN90" s="2675"/>
      <c r="AO90" s="2675"/>
      <c r="AP90" s="2675"/>
      <c r="AQ90" s="2675"/>
      <c r="AR90" s="2675"/>
      <c r="AS90" s="2675"/>
      <c r="AT90" s="2675"/>
      <c r="AU90" s="2675"/>
      <c r="AV90" s="2675"/>
      <c r="AW90" s="2675"/>
      <c r="AX90" s="2676"/>
      <c r="AY90" s="205" t="s">
        <v>430</v>
      </c>
      <c r="AZ90" s="276" t="s">
        <v>152</v>
      </c>
      <c r="BA90" s="276" t="s">
        <v>33</v>
      </c>
      <c r="BB90" s="276" t="s">
        <v>470</v>
      </c>
      <c r="BC90" s="276" t="s">
        <v>431</v>
      </c>
      <c r="BD90" s="276"/>
      <c r="BE90" s="276" t="s">
        <v>281</v>
      </c>
      <c r="BF90" s="276" t="s">
        <v>422</v>
      </c>
      <c r="BG90" s="277">
        <v>15708.84</v>
      </c>
      <c r="BH90" s="278"/>
      <c r="BI90" s="279">
        <f t="shared" si="3"/>
        <v>24664.880000000001</v>
      </c>
      <c r="BJ90" s="279"/>
      <c r="BK90" s="279"/>
      <c r="BL90" s="279">
        <v>24664.880000000001</v>
      </c>
      <c r="BM90" s="279"/>
      <c r="BN90" s="279"/>
      <c r="BO90" s="279"/>
      <c r="BP90" s="280">
        <f t="shared" si="14"/>
        <v>24664.880000000001</v>
      </c>
      <c r="BQ90" s="280"/>
      <c r="BR90" s="280"/>
      <c r="BS90" s="280">
        <v>24664.880000000001</v>
      </c>
      <c r="BT90" s="280"/>
      <c r="BU90" s="280"/>
      <c r="BV90" s="280"/>
      <c r="BW90" s="280"/>
      <c r="BX90" s="281"/>
      <c r="BY90" s="282">
        <f t="shared" si="15"/>
        <v>24664.880000000001</v>
      </c>
      <c r="BZ90" s="282"/>
      <c r="CA90" s="282"/>
      <c r="CB90" s="282">
        <v>24664.880000000001</v>
      </c>
      <c r="CC90" s="282"/>
      <c r="CD90" s="282"/>
      <c r="CE90" s="282"/>
      <c r="CF90" s="282"/>
      <c r="CG90" s="283"/>
      <c r="CH90" s="280">
        <f t="shared" si="16"/>
        <v>24664.880000000001</v>
      </c>
      <c r="CI90" s="280"/>
      <c r="CJ90" s="280"/>
      <c r="CK90" s="280">
        <v>24664.880000000001</v>
      </c>
      <c r="CL90" s="280"/>
      <c r="CM90" s="280"/>
      <c r="CN90" s="280"/>
      <c r="CO90" s="280"/>
      <c r="CP90" s="281"/>
      <c r="CQ90" s="272">
        <f t="shared" si="7"/>
        <v>24664.880000000001</v>
      </c>
      <c r="CR90" s="272"/>
      <c r="CS90" s="272"/>
      <c r="CT90" s="272"/>
      <c r="CU90" s="272"/>
      <c r="CV90" s="272">
        <v>24664.880000000001</v>
      </c>
      <c r="CW90" s="272"/>
      <c r="CX90" s="272"/>
      <c r="CY90" s="284"/>
      <c r="CZ90" s="285" t="e">
        <f t="shared" si="17"/>
        <v>#REF!</v>
      </c>
      <c r="DA90" s="285"/>
      <c r="DB90" s="285"/>
      <c r="DC90" s="285" t="e">
        <f>#REF!</f>
        <v>#REF!</v>
      </c>
      <c r="DD90" s="285"/>
      <c r="DE90" s="285"/>
      <c r="DF90" s="285"/>
      <c r="DG90" s="285"/>
      <c r="DH90" s="286"/>
      <c r="DI90" s="225" t="e">
        <f>CZ90=#REF!</f>
        <v>#REF!</v>
      </c>
      <c r="DJ90" s="175" t="e">
        <f t="shared" si="12"/>
        <v>#REF!</v>
      </c>
    </row>
    <row r="91" spans="1:119" ht="12.75" x14ac:dyDescent="0.2">
      <c r="A91" s="214"/>
      <c r="B91" s="215"/>
      <c r="C91" s="2675" t="s">
        <v>471</v>
      </c>
      <c r="D91" s="2675"/>
      <c r="E91" s="2675"/>
      <c r="F91" s="2675"/>
      <c r="G91" s="2675"/>
      <c r="H91" s="2675"/>
      <c r="I91" s="2675"/>
      <c r="J91" s="2675"/>
      <c r="K91" s="2675"/>
      <c r="L91" s="2675"/>
      <c r="M91" s="2675"/>
      <c r="N91" s="2675"/>
      <c r="O91" s="2675"/>
      <c r="P91" s="2675"/>
      <c r="Q91" s="2675"/>
      <c r="R91" s="2675"/>
      <c r="S91" s="2675"/>
      <c r="T91" s="2675"/>
      <c r="U91" s="2675"/>
      <c r="V91" s="2675"/>
      <c r="W91" s="2675"/>
      <c r="X91" s="2675"/>
      <c r="Y91" s="2675"/>
      <c r="Z91" s="2675"/>
      <c r="AA91" s="2675"/>
      <c r="AB91" s="2675"/>
      <c r="AC91" s="2675"/>
      <c r="AD91" s="2675"/>
      <c r="AE91" s="2675"/>
      <c r="AF91" s="2675"/>
      <c r="AG91" s="2675"/>
      <c r="AH91" s="2675"/>
      <c r="AI91" s="2675"/>
      <c r="AJ91" s="2675"/>
      <c r="AK91" s="2675"/>
      <c r="AL91" s="2675"/>
      <c r="AM91" s="2675"/>
      <c r="AN91" s="2675"/>
      <c r="AO91" s="2675"/>
      <c r="AP91" s="2675"/>
      <c r="AQ91" s="2675"/>
      <c r="AR91" s="2675"/>
      <c r="AS91" s="2675"/>
      <c r="AT91" s="2675"/>
      <c r="AU91" s="2675"/>
      <c r="AV91" s="2675"/>
      <c r="AW91" s="2675"/>
      <c r="AX91" s="2676"/>
      <c r="AY91" s="205" t="s">
        <v>434</v>
      </c>
      <c r="AZ91" s="276" t="s">
        <v>152</v>
      </c>
      <c r="BA91" s="276" t="s">
        <v>33</v>
      </c>
      <c r="BB91" s="266" t="s">
        <v>34</v>
      </c>
      <c r="BC91" s="276" t="s">
        <v>435</v>
      </c>
      <c r="BD91" s="276"/>
      <c r="BE91" s="276" t="s">
        <v>281</v>
      </c>
      <c r="BF91" s="276" t="s">
        <v>422</v>
      </c>
      <c r="BG91" s="277">
        <v>216025</v>
      </c>
      <c r="BH91" s="278"/>
      <c r="BI91" s="279">
        <f t="shared" si="3"/>
        <v>233780</v>
      </c>
      <c r="BJ91" s="279"/>
      <c r="BK91" s="279"/>
      <c r="BL91" s="279">
        <v>233780</v>
      </c>
      <c r="BM91" s="279"/>
      <c r="BN91" s="279"/>
      <c r="BO91" s="279"/>
      <c r="BP91" s="280">
        <f t="shared" si="14"/>
        <v>233780</v>
      </c>
      <c r="BQ91" s="280">
        <v>18650</v>
      </c>
      <c r="BR91" s="280"/>
      <c r="BS91" s="280">
        <v>215130</v>
      </c>
      <c r="BT91" s="280"/>
      <c r="BU91" s="280"/>
      <c r="BV91" s="280"/>
      <c r="BW91" s="280"/>
      <c r="BX91" s="281"/>
      <c r="BY91" s="282">
        <f t="shared" si="15"/>
        <v>233780</v>
      </c>
      <c r="BZ91" s="282">
        <v>18650</v>
      </c>
      <c r="CA91" s="282"/>
      <c r="CB91" s="282">
        <v>215130</v>
      </c>
      <c r="CC91" s="282"/>
      <c r="CD91" s="282"/>
      <c r="CE91" s="282"/>
      <c r="CF91" s="282"/>
      <c r="CG91" s="283"/>
      <c r="CH91" s="280">
        <f t="shared" si="16"/>
        <v>278280</v>
      </c>
      <c r="CI91" s="280">
        <v>18650</v>
      </c>
      <c r="CJ91" s="280"/>
      <c r="CK91" s="280">
        <v>215130</v>
      </c>
      <c r="CL91" s="280"/>
      <c r="CM91" s="280"/>
      <c r="CN91" s="280"/>
      <c r="CO91" s="280"/>
      <c r="CP91" s="280">
        <v>44500</v>
      </c>
      <c r="CQ91" s="272">
        <f t="shared" si="7"/>
        <v>478280</v>
      </c>
      <c r="CR91" s="272">
        <v>34550</v>
      </c>
      <c r="CS91" s="272"/>
      <c r="CT91" s="272">
        <v>317567</v>
      </c>
      <c r="CU91" s="272"/>
      <c r="CV91" s="272">
        <v>126163</v>
      </c>
      <c r="CW91" s="272"/>
      <c r="CX91" s="272"/>
      <c r="CY91" s="272"/>
      <c r="CZ91" s="285" t="e">
        <f t="shared" si="17"/>
        <v>#REF!</v>
      </c>
      <c r="DA91" s="285" t="e">
        <f>#REF!+#REF!+#REF!+#REF!+#REF!</f>
        <v>#REF!</v>
      </c>
      <c r="DB91" s="285"/>
      <c r="DC91" s="285" t="e">
        <f>#REF!+#REF!+#REF!+#REF!+#REF!+#REF!+#REF!</f>
        <v>#REF!</v>
      </c>
      <c r="DD91" s="285"/>
      <c r="DE91" s="285" t="e">
        <f>#REF!</f>
        <v>#REF!</v>
      </c>
      <c r="DF91" s="285"/>
      <c r="DG91" s="285" t="e">
        <f>#REF!+#REF!</f>
        <v>#REF!</v>
      </c>
      <c r="DH91" s="286" t="e">
        <f>#REF!+#REF!</f>
        <v>#REF!</v>
      </c>
      <c r="DI91" s="225" t="e">
        <f>CZ91=#REF!</f>
        <v>#REF!</v>
      </c>
      <c r="DJ91" s="175" t="e">
        <f t="shared" si="12"/>
        <v>#REF!</v>
      </c>
    </row>
    <row r="92" spans="1:119" ht="12.75" x14ac:dyDescent="0.2">
      <c r="A92" s="214"/>
      <c r="B92" s="215"/>
      <c r="C92" s="2675" t="s">
        <v>472</v>
      </c>
      <c r="D92" s="2675"/>
      <c r="E92" s="2675"/>
      <c r="F92" s="2675"/>
      <c r="G92" s="2675"/>
      <c r="H92" s="2675"/>
      <c r="I92" s="2675"/>
      <c r="J92" s="2675"/>
      <c r="K92" s="2675"/>
      <c r="L92" s="2675"/>
      <c r="M92" s="2675"/>
      <c r="N92" s="2675"/>
      <c r="O92" s="2675"/>
      <c r="P92" s="2675"/>
      <c r="Q92" s="2675"/>
      <c r="R92" s="2675"/>
      <c r="S92" s="2675"/>
      <c r="T92" s="2675"/>
      <c r="U92" s="2675"/>
      <c r="V92" s="2675"/>
      <c r="W92" s="2675"/>
      <c r="X92" s="2675"/>
      <c r="Y92" s="2675"/>
      <c r="Z92" s="2675"/>
      <c r="AA92" s="2675"/>
      <c r="AB92" s="2675"/>
      <c r="AC92" s="2675"/>
      <c r="AD92" s="2675"/>
      <c r="AE92" s="2675"/>
      <c r="AF92" s="2675"/>
      <c r="AG92" s="2675"/>
      <c r="AH92" s="2675"/>
      <c r="AI92" s="2675"/>
      <c r="AJ92" s="2675"/>
      <c r="AK92" s="2675"/>
      <c r="AL92" s="2675"/>
      <c r="AM92" s="2675"/>
      <c r="AN92" s="2675"/>
      <c r="AO92" s="2675"/>
      <c r="AP92" s="2675"/>
      <c r="AQ92" s="2675"/>
      <c r="AR92" s="2675"/>
      <c r="AS92" s="2675"/>
      <c r="AT92" s="2675"/>
      <c r="AU92" s="2675"/>
      <c r="AV92" s="2675"/>
      <c r="AW92" s="2675"/>
      <c r="AX92" s="2676"/>
      <c r="AY92" s="205" t="s">
        <v>434</v>
      </c>
      <c r="AZ92" s="276" t="s">
        <v>152</v>
      </c>
      <c r="BA92" s="276" t="s">
        <v>33</v>
      </c>
      <c r="BB92" s="267" t="s">
        <v>140</v>
      </c>
      <c r="BC92" s="276" t="s">
        <v>435</v>
      </c>
      <c r="BD92" s="276"/>
      <c r="BE92" s="276" t="s">
        <v>281</v>
      </c>
      <c r="BF92" s="276" t="s">
        <v>422</v>
      </c>
      <c r="BG92" s="277">
        <v>74051</v>
      </c>
      <c r="BH92" s="278"/>
      <c r="BI92" s="279">
        <f t="shared" si="3"/>
        <v>74080</v>
      </c>
      <c r="BJ92" s="279"/>
      <c r="BK92" s="279"/>
      <c r="BL92" s="279">
        <v>74080</v>
      </c>
      <c r="BM92" s="279"/>
      <c r="BN92" s="279"/>
      <c r="BO92" s="279"/>
      <c r="BP92" s="280">
        <f t="shared" si="14"/>
        <v>74080</v>
      </c>
      <c r="BQ92" s="280"/>
      <c r="BR92" s="280"/>
      <c r="BS92" s="280">
        <v>74080</v>
      </c>
      <c r="BT92" s="280"/>
      <c r="BU92" s="280"/>
      <c r="BV92" s="280"/>
      <c r="BW92" s="280"/>
      <c r="BX92" s="281"/>
      <c r="BY92" s="282">
        <f t="shared" si="15"/>
        <v>74080</v>
      </c>
      <c r="BZ92" s="282"/>
      <c r="CA92" s="282"/>
      <c r="CB92" s="282">
        <v>74080</v>
      </c>
      <c r="CC92" s="282"/>
      <c r="CD92" s="282"/>
      <c r="CE92" s="282"/>
      <c r="CF92" s="282"/>
      <c r="CG92" s="283"/>
      <c r="CH92" s="280">
        <f t="shared" si="16"/>
        <v>74080</v>
      </c>
      <c r="CI92" s="280"/>
      <c r="CJ92" s="280"/>
      <c r="CK92" s="280">
        <v>74080</v>
      </c>
      <c r="CL92" s="280"/>
      <c r="CM92" s="280"/>
      <c r="CN92" s="280"/>
      <c r="CO92" s="280"/>
      <c r="CP92" s="281"/>
      <c r="CQ92" s="272">
        <f t="shared" si="7"/>
        <v>74080</v>
      </c>
      <c r="CR92" s="272"/>
      <c r="CS92" s="272"/>
      <c r="CT92" s="272">
        <v>74080</v>
      </c>
      <c r="CU92" s="272"/>
      <c r="CV92" s="272"/>
      <c r="CW92" s="272"/>
      <c r="CX92" s="272"/>
      <c r="CY92" s="284"/>
      <c r="CZ92" s="285" t="e">
        <f t="shared" si="17"/>
        <v>#REF!</v>
      </c>
      <c r="DA92" s="285" t="e">
        <f>#REF!+#REF!</f>
        <v>#REF!</v>
      </c>
      <c r="DB92" s="285"/>
      <c r="DC92" s="285"/>
      <c r="DD92" s="285"/>
      <c r="DE92" s="285"/>
      <c r="DF92" s="285"/>
      <c r="DG92" s="285" t="e">
        <f>#REF!</f>
        <v>#REF!</v>
      </c>
      <c r="DH92" s="286"/>
      <c r="DI92" s="225" t="e">
        <f>CZ92=#REF!</f>
        <v>#REF!</v>
      </c>
      <c r="DJ92" s="175" t="e">
        <f t="shared" si="12"/>
        <v>#REF!</v>
      </c>
    </row>
    <row r="93" spans="1:119" ht="12.75" hidden="1" x14ac:dyDescent="0.2">
      <c r="A93" s="214"/>
      <c r="B93" s="215"/>
      <c r="C93" s="2675" t="s">
        <v>473</v>
      </c>
      <c r="D93" s="2675"/>
      <c r="E93" s="2675"/>
      <c r="F93" s="2675"/>
      <c r="G93" s="2675"/>
      <c r="H93" s="2675"/>
      <c r="I93" s="2675"/>
      <c r="J93" s="2675"/>
      <c r="K93" s="2675"/>
      <c r="L93" s="2675"/>
      <c r="M93" s="2675"/>
      <c r="N93" s="2675"/>
      <c r="O93" s="2675"/>
      <c r="P93" s="2675"/>
      <c r="Q93" s="2675"/>
      <c r="R93" s="2675"/>
      <c r="S93" s="2675"/>
      <c r="T93" s="2675"/>
      <c r="U93" s="2675"/>
      <c r="V93" s="2675"/>
      <c r="W93" s="2675"/>
      <c r="X93" s="2675"/>
      <c r="Y93" s="2675"/>
      <c r="Z93" s="2675"/>
      <c r="AA93" s="2675"/>
      <c r="AB93" s="2675"/>
      <c r="AC93" s="2675"/>
      <c r="AD93" s="2675"/>
      <c r="AE93" s="2675"/>
      <c r="AF93" s="2675"/>
      <c r="AG93" s="2675"/>
      <c r="AH93" s="2675"/>
      <c r="AI93" s="2675"/>
      <c r="AJ93" s="2675"/>
      <c r="AK93" s="2675"/>
      <c r="AL93" s="2675"/>
      <c r="AM93" s="2675"/>
      <c r="AN93" s="2675"/>
      <c r="AO93" s="2675"/>
      <c r="AP93" s="2675"/>
      <c r="AQ93" s="2675"/>
      <c r="AR93" s="2675"/>
      <c r="AS93" s="2675"/>
      <c r="AT93" s="2675"/>
      <c r="AU93" s="2675"/>
      <c r="AV93" s="2675"/>
      <c r="AW93" s="2675"/>
      <c r="AX93" s="2676"/>
      <c r="AY93" s="205" t="s">
        <v>434</v>
      </c>
      <c r="AZ93" s="276" t="s">
        <v>152</v>
      </c>
      <c r="BA93" s="276" t="s">
        <v>33</v>
      </c>
      <c r="BB93" s="276" t="s">
        <v>139</v>
      </c>
      <c r="BC93" s="276" t="s">
        <v>435</v>
      </c>
      <c r="BD93" s="276"/>
      <c r="BE93" s="276" t="s">
        <v>281</v>
      </c>
      <c r="BF93" s="276" t="s">
        <v>422</v>
      </c>
      <c r="BG93" s="277"/>
      <c r="BH93" s="278">
        <f t="shared" ref="BH93:BH99" si="18">BG93-BI93</f>
        <v>0</v>
      </c>
      <c r="BI93" s="279">
        <f t="shared" si="3"/>
        <v>0</v>
      </c>
      <c r="BJ93" s="279"/>
      <c r="BK93" s="279"/>
      <c r="BL93" s="279"/>
      <c r="BM93" s="279"/>
      <c r="BN93" s="279"/>
      <c r="BO93" s="279"/>
      <c r="BP93" s="280">
        <f t="shared" si="14"/>
        <v>11200</v>
      </c>
      <c r="BQ93" s="280">
        <v>11200</v>
      </c>
      <c r="BR93" s="280"/>
      <c r="BS93" s="280">
        <v>0</v>
      </c>
      <c r="BT93" s="280"/>
      <c r="BU93" s="280"/>
      <c r="BV93" s="280"/>
      <c r="BW93" s="280"/>
      <c r="BX93" s="281"/>
      <c r="BY93" s="282">
        <f t="shared" si="15"/>
        <v>11200</v>
      </c>
      <c r="BZ93" s="282">
        <v>11200</v>
      </c>
      <c r="CA93" s="282"/>
      <c r="CB93" s="282">
        <v>0</v>
      </c>
      <c r="CC93" s="282"/>
      <c r="CD93" s="282"/>
      <c r="CE93" s="282"/>
      <c r="CF93" s="282"/>
      <c r="CG93" s="283"/>
      <c r="CH93" s="280">
        <f t="shared" si="16"/>
        <v>11200</v>
      </c>
      <c r="CI93" s="280">
        <v>11200</v>
      </c>
      <c r="CJ93" s="280"/>
      <c r="CK93" s="280">
        <v>0</v>
      </c>
      <c r="CL93" s="280"/>
      <c r="CM93" s="280"/>
      <c r="CN93" s="280"/>
      <c r="CO93" s="280"/>
      <c r="CP93" s="281"/>
      <c r="CQ93" s="272">
        <f t="shared" si="7"/>
        <v>11200</v>
      </c>
      <c r="CR93" s="272"/>
      <c r="CS93" s="272"/>
      <c r="CT93" s="272">
        <v>0</v>
      </c>
      <c r="CU93" s="272"/>
      <c r="CV93" s="272">
        <v>11200</v>
      </c>
      <c r="CW93" s="272"/>
      <c r="CX93" s="272"/>
      <c r="CY93" s="284"/>
      <c r="CZ93" s="285">
        <f t="shared" si="17"/>
        <v>0</v>
      </c>
      <c r="DA93" s="285"/>
      <c r="DB93" s="285"/>
      <c r="DC93" s="285"/>
      <c r="DD93" s="285"/>
      <c r="DE93" s="285"/>
      <c r="DF93" s="285"/>
      <c r="DG93" s="285"/>
      <c r="DH93" s="286"/>
      <c r="DI93" s="225" t="b">
        <f>CZ93=[24]Расш.внебюд.!I641</f>
        <v>1</v>
      </c>
      <c r="DJ93" s="175" t="b">
        <f t="shared" si="12"/>
        <v>1</v>
      </c>
    </row>
    <row r="94" spans="1:119" ht="12.75" hidden="1" x14ac:dyDescent="0.2">
      <c r="A94" s="214"/>
      <c r="B94" s="215"/>
      <c r="C94" s="2675" t="s">
        <v>474</v>
      </c>
      <c r="D94" s="2675"/>
      <c r="E94" s="2675"/>
      <c r="F94" s="2675"/>
      <c r="G94" s="2675"/>
      <c r="H94" s="2675"/>
      <c r="I94" s="2675"/>
      <c r="J94" s="2675"/>
      <c r="K94" s="2675"/>
      <c r="L94" s="2675"/>
      <c r="M94" s="2675"/>
      <c r="N94" s="2675"/>
      <c r="O94" s="2675"/>
      <c r="P94" s="2675"/>
      <c r="Q94" s="2675"/>
      <c r="R94" s="2675"/>
      <c r="S94" s="2675"/>
      <c r="T94" s="2675"/>
      <c r="U94" s="2675"/>
      <c r="V94" s="2675"/>
      <c r="W94" s="2675"/>
      <c r="X94" s="2675"/>
      <c r="Y94" s="2675"/>
      <c r="Z94" s="2675"/>
      <c r="AA94" s="2675"/>
      <c r="AB94" s="2675"/>
      <c r="AC94" s="2675"/>
      <c r="AD94" s="2675"/>
      <c r="AE94" s="2675"/>
      <c r="AF94" s="2675"/>
      <c r="AG94" s="2675"/>
      <c r="AH94" s="2675"/>
      <c r="AI94" s="2675"/>
      <c r="AJ94" s="2675"/>
      <c r="AK94" s="2675"/>
      <c r="AL94" s="2675"/>
      <c r="AM94" s="2675"/>
      <c r="AN94" s="2675"/>
      <c r="AO94" s="2675"/>
      <c r="AP94" s="2675"/>
      <c r="AQ94" s="2675"/>
      <c r="AR94" s="2675"/>
      <c r="AS94" s="2675"/>
      <c r="AT94" s="2675"/>
      <c r="AU94" s="2675"/>
      <c r="AV94" s="2675"/>
      <c r="AW94" s="2675"/>
      <c r="AX94" s="2676"/>
      <c r="AY94" s="205" t="s">
        <v>462</v>
      </c>
      <c r="AZ94" s="276" t="s">
        <v>152</v>
      </c>
      <c r="BA94" s="276" t="s">
        <v>33</v>
      </c>
      <c r="BB94" s="276" t="s">
        <v>139</v>
      </c>
      <c r="BC94" s="276" t="s">
        <v>464</v>
      </c>
      <c r="BD94" s="276"/>
      <c r="BE94" s="276" t="s">
        <v>281</v>
      </c>
      <c r="BF94" s="276" t="s">
        <v>422</v>
      </c>
      <c r="BG94" s="277"/>
      <c r="BH94" s="278">
        <f t="shared" si="18"/>
        <v>0</v>
      </c>
      <c r="BI94" s="279">
        <f t="shared" si="3"/>
        <v>0</v>
      </c>
      <c r="BJ94" s="279"/>
      <c r="BK94" s="279"/>
      <c r="BL94" s="279"/>
      <c r="BM94" s="279"/>
      <c r="BN94" s="279"/>
      <c r="BO94" s="279"/>
      <c r="BP94" s="280">
        <f t="shared" si="14"/>
        <v>117.93</v>
      </c>
      <c r="BQ94" s="280">
        <v>117.93</v>
      </c>
      <c r="BR94" s="280"/>
      <c r="BS94" s="280"/>
      <c r="BT94" s="280"/>
      <c r="BU94" s="280"/>
      <c r="BV94" s="280"/>
      <c r="BW94" s="280"/>
      <c r="BX94" s="281"/>
      <c r="BY94" s="282">
        <f t="shared" si="15"/>
        <v>117.93</v>
      </c>
      <c r="BZ94" s="282">
        <v>117.93</v>
      </c>
      <c r="CA94" s="282"/>
      <c r="CB94" s="282"/>
      <c r="CC94" s="282"/>
      <c r="CD94" s="282"/>
      <c r="CE94" s="282"/>
      <c r="CF94" s="282"/>
      <c r="CG94" s="283"/>
      <c r="CH94" s="280">
        <f t="shared" si="16"/>
        <v>117.93</v>
      </c>
      <c r="CI94" s="280">
        <v>117.93</v>
      </c>
      <c r="CJ94" s="280"/>
      <c r="CK94" s="280"/>
      <c r="CL94" s="280"/>
      <c r="CM94" s="280"/>
      <c r="CN94" s="280"/>
      <c r="CO94" s="280"/>
      <c r="CP94" s="281"/>
      <c r="CQ94" s="272">
        <f t="shared" si="7"/>
        <v>117.93</v>
      </c>
      <c r="CR94" s="272">
        <v>117.93</v>
      </c>
      <c r="CS94" s="272"/>
      <c r="CT94" s="272"/>
      <c r="CU94" s="272"/>
      <c r="CV94" s="272"/>
      <c r="CW94" s="272"/>
      <c r="CX94" s="272"/>
      <c r="CY94" s="284"/>
      <c r="CZ94" s="285">
        <f t="shared" si="17"/>
        <v>0</v>
      </c>
      <c r="DA94" s="285"/>
      <c r="DB94" s="285"/>
      <c r="DC94" s="285"/>
      <c r="DD94" s="285"/>
      <c r="DE94" s="285"/>
      <c r="DF94" s="285"/>
      <c r="DG94" s="285"/>
      <c r="DH94" s="286"/>
      <c r="DI94" s="225" t="b">
        <f>CZ94=[24]Расш.внебюд.!I657</f>
        <v>1</v>
      </c>
      <c r="DJ94" s="175" t="b">
        <f t="shared" si="12"/>
        <v>1</v>
      </c>
    </row>
    <row r="95" spans="1:119" ht="12.75" hidden="1" x14ac:dyDescent="0.2">
      <c r="A95" s="214"/>
      <c r="B95" s="215"/>
      <c r="C95" s="2675" t="s">
        <v>472</v>
      </c>
      <c r="D95" s="2675"/>
      <c r="E95" s="2675"/>
      <c r="F95" s="2675"/>
      <c r="G95" s="2675"/>
      <c r="H95" s="2675"/>
      <c r="I95" s="2675"/>
      <c r="J95" s="2675"/>
      <c r="K95" s="2675"/>
      <c r="L95" s="2675"/>
      <c r="M95" s="2675"/>
      <c r="N95" s="2675"/>
      <c r="O95" s="2675"/>
      <c r="P95" s="2675"/>
      <c r="Q95" s="2675"/>
      <c r="R95" s="2675"/>
      <c r="S95" s="2675"/>
      <c r="T95" s="2675"/>
      <c r="U95" s="2675"/>
      <c r="V95" s="2675"/>
      <c r="W95" s="2675"/>
      <c r="X95" s="2675"/>
      <c r="Y95" s="2675"/>
      <c r="Z95" s="2675"/>
      <c r="AA95" s="2675"/>
      <c r="AB95" s="2675"/>
      <c r="AC95" s="2675"/>
      <c r="AD95" s="2675"/>
      <c r="AE95" s="2675"/>
      <c r="AF95" s="2675"/>
      <c r="AG95" s="2675"/>
      <c r="AH95" s="2675"/>
      <c r="AI95" s="2675"/>
      <c r="AJ95" s="2675"/>
      <c r="AK95" s="2675"/>
      <c r="AL95" s="2675"/>
      <c r="AM95" s="2675"/>
      <c r="AN95" s="2675"/>
      <c r="AO95" s="2675"/>
      <c r="AP95" s="2675"/>
      <c r="AQ95" s="2675"/>
      <c r="AR95" s="2675"/>
      <c r="AS95" s="2675"/>
      <c r="AT95" s="2675"/>
      <c r="AU95" s="2675"/>
      <c r="AV95" s="2675"/>
      <c r="AW95" s="2675"/>
      <c r="AX95" s="2676"/>
      <c r="AY95" s="205" t="s">
        <v>434</v>
      </c>
      <c r="AZ95" s="276" t="s">
        <v>152</v>
      </c>
      <c r="BA95" s="276" t="s">
        <v>33</v>
      </c>
      <c r="BB95" s="266" t="s">
        <v>143</v>
      </c>
      <c r="BC95" s="276" t="s">
        <v>435</v>
      </c>
      <c r="BD95" s="276"/>
      <c r="BE95" s="276" t="s">
        <v>281</v>
      </c>
      <c r="BF95" s="276" t="s">
        <v>422</v>
      </c>
      <c r="BG95" s="277"/>
      <c r="BH95" s="278">
        <f t="shared" si="18"/>
        <v>0</v>
      </c>
      <c r="BI95" s="279">
        <f t="shared" si="3"/>
        <v>0</v>
      </c>
      <c r="BJ95" s="279"/>
      <c r="BK95" s="279"/>
      <c r="BL95" s="279"/>
      <c r="BM95" s="279"/>
      <c r="BN95" s="279"/>
      <c r="BO95" s="279"/>
      <c r="BP95" s="280">
        <f t="shared" si="14"/>
        <v>660000</v>
      </c>
      <c r="BQ95" s="280"/>
      <c r="BR95" s="280"/>
      <c r="BS95" s="280">
        <v>660000</v>
      </c>
      <c r="BT95" s="280"/>
      <c r="BU95" s="280"/>
      <c r="BV95" s="280"/>
      <c r="BW95" s="280"/>
      <c r="BX95" s="281"/>
      <c r="BY95" s="282">
        <f t="shared" si="15"/>
        <v>660000</v>
      </c>
      <c r="BZ95" s="282"/>
      <c r="CA95" s="282"/>
      <c r="CB95" s="282">
        <v>660000</v>
      </c>
      <c r="CC95" s="282"/>
      <c r="CD95" s="282"/>
      <c r="CE95" s="282"/>
      <c r="CF95" s="282"/>
      <c r="CG95" s="283"/>
      <c r="CH95" s="280">
        <f t="shared" si="16"/>
        <v>660000</v>
      </c>
      <c r="CI95" s="280"/>
      <c r="CJ95" s="280"/>
      <c r="CK95" s="280">
        <v>660000</v>
      </c>
      <c r="CL95" s="280"/>
      <c r="CM95" s="280"/>
      <c r="CN95" s="280"/>
      <c r="CO95" s="280"/>
      <c r="CP95" s="281"/>
      <c r="CQ95" s="272">
        <f t="shared" si="7"/>
        <v>660001</v>
      </c>
      <c r="CR95" s="272">
        <v>101500</v>
      </c>
      <c r="CS95" s="272"/>
      <c r="CT95" s="272">
        <v>250170</v>
      </c>
      <c r="CU95" s="272"/>
      <c r="CV95" s="272">
        <v>308331</v>
      </c>
      <c r="CW95" s="272"/>
      <c r="CX95" s="272"/>
      <c r="CY95" s="284"/>
      <c r="CZ95" s="285">
        <f t="shared" si="17"/>
        <v>0</v>
      </c>
      <c r="DA95" s="285"/>
      <c r="DB95" s="285"/>
      <c r="DC95" s="285"/>
      <c r="DD95" s="285"/>
      <c r="DE95" s="285"/>
      <c r="DF95" s="285"/>
      <c r="DG95" s="285"/>
      <c r="DH95" s="286"/>
      <c r="DI95" s="225"/>
      <c r="DJ95" s="175" t="b">
        <f t="shared" si="12"/>
        <v>1</v>
      </c>
    </row>
    <row r="96" spans="1:119" ht="12.75" x14ac:dyDescent="0.2">
      <c r="A96" s="214"/>
      <c r="B96" s="215"/>
      <c r="C96" s="2675" t="s">
        <v>475</v>
      </c>
      <c r="D96" s="2675"/>
      <c r="E96" s="2675"/>
      <c r="F96" s="2675"/>
      <c r="G96" s="2675"/>
      <c r="H96" s="2675"/>
      <c r="I96" s="2675"/>
      <c r="J96" s="2675"/>
      <c r="K96" s="2675"/>
      <c r="L96" s="2675"/>
      <c r="M96" s="2675"/>
      <c r="N96" s="2675"/>
      <c r="O96" s="2675"/>
      <c r="P96" s="2675"/>
      <c r="Q96" s="2675"/>
      <c r="R96" s="2675"/>
      <c r="S96" s="2675"/>
      <c r="T96" s="2675"/>
      <c r="U96" s="2675"/>
      <c r="V96" s="2675"/>
      <c r="W96" s="2675"/>
      <c r="X96" s="2675"/>
      <c r="Y96" s="2675"/>
      <c r="Z96" s="2675"/>
      <c r="AA96" s="2675"/>
      <c r="AB96" s="2675"/>
      <c r="AC96" s="2675"/>
      <c r="AD96" s="2675"/>
      <c r="AE96" s="2675"/>
      <c r="AF96" s="2675"/>
      <c r="AG96" s="2675"/>
      <c r="AH96" s="2675"/>
      <c r="AI96" s="2675"/>
      <c r="AJ96" s="2675"/>
      <c r="AK96" s="2675"/>
      <c r="AL96" s="2675"/>
      <c r="AM96" s="2675"/>
      <c r="AN96" s="2675"/>
      <c r="AO96" s="2675"/>
      <c r="AP96" s="2675"/>
      <c r="AQ96" s="2675"/>
      <c r="AR96" s="2675"/>
      <c r="AS96" s="2675"/>
      <c r="AT96" s="2675"/>
      <c r="AU96" s="2675"/>
      <c r="AV96" s="2675"/>
      <c r="AW96" s="2675"/>
      <c r="AX96" s="2676"/>
      <c r="AY96" s="205" t="s">
        <v>434</v>
      </c>
      <c r="AZ96" s="276" t="s">
        <v>152</v>
      </c>
      <c r="BA96" s="276" t="s">
        <v>33</v>
      </c>
      <c r="BB96" s="266" t="s">
        <v>34</v>
      </c>
      <c r="BC96" s="276" t="s">
        <v>445</v>
      </c>
      <c r="BD96" s="276"/>
      <c r="BE96" s="276" t="s">
        <v>281</v>
      </c>
      <c r="BF96" s="276" t="s">
        <v>422</v>
      </c>
      <c r="BG96" s="277"/>
      <c r="BH96" s="278">
        <f t="shared" si="18"/>
        <v>0</v>
      </c>
      <c r="BI96" s="279">
        <f t="shared" si="3"/>
        <v>0</v>
      </c>
      <c r="BJ96" s="279"/>
      <c r="BK96" s="279"/>
      <c r="BL96" s="279"/>
      <c r="BM96" s="279"/>
      <c r="BN96" s="279"/>
      <c r="BO96" s="279"/>
      <c r="BP96" s="280">
        <f t="shared" si="14"/>
        <v>660000</v>
      </c>
      <c r="BQ96" s="280"/>
      <c r="BR96" s="280"/>
      <c r="BS96" s="280">
        <v>660000</v>
      </c>
      <c r="BT96" s="280"/>
      <c r="BU96" s="280"/>
      <c r="BV96" s="280"/>
      <c r="BW96" s="280"/>
      <c r="BX96" s="281"/>
      <c r="BY96" s="282">
        <f t="shared" si="15"/>
        <v>660000</v>
      </c>
      <c r="BZ96" s="282"/>
      <c r="CA96" s="282"/>
      <c r="CB96" s="282">
        <v>660000</v>
      </c>
      <c r="CC96" s="282"/>
      <c r="CD96" s="282"/>
      <c r="CE96" s="282"/>
      <c r="CF96" s="282"/>
      <c r="CG96" s="283"/>
      <c r="CH96" s="280">
        <f t="shared" si="16"/>
        <v>660000</v>
      </c>
      <c r="CI96" s="280"/>
      <c r="CJ96" s="280"/>
      <c r="CK96" s="280">
        <v>660000</v>
      </c>
      <c r="CL96" s="280"/>
      <c r="CM96" s="280"/>
      <c r="CN96" s="280"/>
      <c r="CO96" s="280"/>
      <c r="CP96" s="281"/>
      <c r="CQ96" s="272">
        <f t="shared" si="7"/>
        <v>660001</v>
      </c>
      <c r="CR96" s="272">
        <v>101500</v>
      </c>
      <c r="CS96" s="272"/>
      <c r="CT96" s="272">
        <v>250170</v>
      </c>
      <c r="CU96" s="272"/>
      <c r="CV96" s="272">
        <v>308331</v>
      </c>
      <c r="CW96" s="272"/>
      <c r="CX96" s="272"/>
      <c r="CY96" s="284"/>
      <c r="CZ96" s="285" t="e">
        <f t="shared" si="17"/>
        <v>#REF!</v>
      </c>
      <c r="DA96" s="285"/>
      <c r="DB96" s="285"/>
      <c r="DC96" s="285" t="e">
        <f>#REF!+#REF!+#REF!+#REF!</f>
        <v>#REF!</v>
      </c>
      <c r="DD96" s="285"/>
      <c r="DE96" s="285"/>
      <c r="DF96" s="285"/>
      <c r="DG96" s="285"/>
      <c r="DH96" s="286"/>
      <c r="DI96" s="225" t="e">
        <f>CZ96=#REF!</f>
        <v>#REF!</v>
      </c>
      <c r="DJ96" s="175" t="e">
        <f t="shared" si="12"/>
        <v>#REF!</v>
      </c>
    </row>
    <row r="97" spans="1:115" ht="12.75" x14ac:dyDescent="0.2">
      <c r="A97" s="214"/>
      <c r="B97" s="215"/>
      <c r="C97" s="2675" t="s">
        <v>476</v>
      </c>
      <c r="D97" s="2675"/>
      <c r="E97" s="2675"/>
      <c r="F97" s="2675"/>
      <c r="G97" s="2675"/>
      <c r="H97" s="2675"/>
      <c r="I97" s="2675"/>
      <c r="J97" s="2675"/>
      <c r="K97" s="2675"/>
      <c r="L97" s="2675"/>
      <c r="M97" s="2675"/>
      <c r="N97" s="2675"/>
      <c r="O97" s="2675"/>
      <c r="P97" s="2675"/>
      <c r="Q97" s="2675"/>
      <c r="R97" s="2675"/>
      <c r="S97" s="2675"/>
      <c r="T97" s="2675"/>
      <c r="U97" s="2675"/>
      <c r="V97" s="2675"/>
      <c r="W97" s="2675"/>
      <c r="X97" s="2675"/>
      <c r="Y97" s="2675"/>
      <c r="Z97" s="2675"/>
      <c r="AA97" s="2675"/>
      <c r="AB97" s="2675"/>
      <c r="AC97" s="2675"/>
      <c r="AD97" s="2675"/>
      <c r="AE97" s="2675"/>
      <c r="AF97" s="2675"/>
      <c r="AG97" s="2675"/>
      <c r="AH97" s="2675"/>
      <c r="AI97" s="2675"/>
      <c r="AJ97" s="2675"/>
      <c r="AK97" s="2675"/>
      <c r="AL97" s="2675"/>
      <c r="AM97" s="2675"/>
      <c r="AN97" s="2675"/>
      <c r="AO97" s="2675"/>
      <c r="AP97" s="2675"/>
      <c r="AQ97" s="2675"/>
      <c r="AR97" s="2675"/>
      <c r="AS97" s="2675"/>
      <c r="AT97" s="2675"/>
      <c r="AU97" s="2675"/>
      <c r="AV97" s="2675"/>
      <c r="AW97" s="2675"/>
      <c r="AX97" s="2676"/>
      <c r="AY97" s="205" t="s">
        <v>434</v>
      </c>
      <c r="AZ97" s="276" t="s">
        <v>152</v>
      </c>
      <c r="BA97" s="276" t="s">
        <v>33</v>
      </c>
      <c r="BB97" s="267" t="s">
        <v>140</v>
      </c>
      <c r="BC97" s="276" t="s">
        <v>445</v>
      </c>
      <c r="BD97" s="276"/>
      <c r="BE97" s="276" t="s">
        <v>281</v>
      </c>
      <c r="BF97" s="276" t="s">
        <v>422</v>
      </c>
      <c r="BG97" s="277"/>
      <c r="BH97" s="278">
        <f t="shared" si="18"/>
        <v>0</v>
      </c>
      <c r="BI97" s="279">
        <f t="shared" si="3"/>
        <v>0</v>
      </c>
      <c r="BJ97" s="279"/>
      <c r="BK97" s="279"/>
      <c r="BL97" s="279"/>
      <c r="BM97" s="279"/>
      <c r="BN97" s="279"/>
      <c r="BO97" s="279"/>
      <c r="BP97" s="280">
        <f t="shared" si="14"/>
        <v>173692</v>
      </c>
      <c r="BQ97" s="280"/>
      <c r="BR97" s="280"/>
      <c r="BS97" s="280">
        <v>173692</v>
      </c>
      <c r="BT97" s="280"/>
      <c r="BU97" s="280"/>
      <c r="BV97" s="280"/>
      <c r="BW97" s="280"/>
      <c r="BX97" s="281"/>
      <c r="BY97" s="282">
        <f t="shared" si="15"/>
        <v>173692</v>
      </c>
      <c r="BZ97" s="282"/>
      <c r="CA97" s="282"/>
      <c r="CB97" s="282">
        <v>173692</v>
      </c>
      <c r="CC97" s="282"/>
      <c r="CD97" s="282"/>
      <c r="CE97" s="282"/>
      <c r="CF97" s="282"/>
      <c r="CG97" s="283"/>
      <c r="CH97" s="280">
        <f t="shared" si="16"/>
        <v>173692</v>
      </c>
      <c r="CI97" s="280"/>
      <c r="CJ97" s="280"/>
      <c r="CK97" s="280">
        <v>173692</v>
      </c>
      <c r="CL97" s="280"/>
      <c r="CM97" s="280"/>
      <c r="CN97" s="280"/>
      <c r="CO97" s="280"/>
      <c r="CP97" s="281"/>
      <c r="CQ97" s="272">
        <f t="shared" si="7"/>
        <v>173692</v>
      </c>
      <c r="CR97" s="272"/>
      <c r="CS97" s="272"/>
      <c r="CT97" s="272">
        <v>173692</v>
      </c>
      <c r="CU97" s="272"/>
      <c r="CV97" s="272"/>
      <c r="CW97" s="272"/>
      <c r="CX97" s="272"/>
      <c r="CY97" s="284"/>
      <c r="CZ97" s="285" t="e">
        <f t="shared" si="17"/>
        <v>#REF!</v>
      </c>
      <c r="DA97" s="285"/>
      <c r="DB97" s="285"/>
      <c r="DC97" s="285" t="e">
        <f>#REF!</f>
        <v>#REF!</v>
      </c>
      <c r="DD97" s="285"/>
      <c r="DE97" s="285"/>
      <c r="DF97" s="285"/>
      <c r="DG97" s="285"/>
      <c r="DH97" s="286"/>
      <c r="DI97" s="225" t="e">
        <f>CZ97=#REF!</f>
        <v>#REF!</v>
      </c>
      <c r="DJ97" s="175" t="e">
        <f t="shared" si="12"/>
        <v>#REF!</v>
      </c>
    </row>
    <row r="98" spans="1:115" ht="12.75" hidden="1" x14ac:dyDescent="0.2">
      <c r="A98" s="214"/>
      <c r="B98" s="215"/>
      <c r="C98" s="2675" t="s">
        <v>477</v>
      </c>
      <c r="D98" s="2675"/>
      <c r="E98" s="2675"/>
      <c r="F98" s="2675"/>
      <c r="G98" s="2675"/>
      <c r="H98" s="2675"/>
      <c r="I98" s="2675"/>
      <c r="J98" s="2675"/>
      <c r="K98" s="2675"/>
      <c r="L98" s="2675"/>
      <c r="M98" s="2675"/>
      <c r="N98" s="2675"/>
      <c r="O98" s="2675"/>
      <c r="P98" s="2675"/>
      <c r="Q98" s="2675"/>
      <c r="R98" s="2675"/>
      <c r="S98" s="2675"/>
      <c r="T98" s="2675"/>
      <c r="U98" s="2675"/>
      <c r="V98" s="2675"/>
      <c r="W98" s="2675"/>
      <c r="X98" s="2675"/>
      <c r="Y98" s="2675"/>
      <c r="Z98" s="2675"/>
      <c r="AA98" s="2675"/>
      <c r="AB98" s="2675"/>
      <c r="AC98" s="2675"/>
      <c r="AD98" s="2675"/>
      <c r="AE98" s="2675"/>
      <c r="AF98" s="2675"/>
      <c r="AG98" s="2675"/>
      <c r="AH98" s="2675"/>
      <c r="AI98" s="2675"/>
      <c r="AJ98" s="2675"/>
      <c r="AK98" s="2675"/>
      <c r="AL98" s="2675"/>
      <c r="AM98" s="2675"/>
      <c r="AN98" s="2675"/>
      <c r="AO98" s="2675"/>
      <c r="AP98" s="2675"/>
      <c r="AQ98" s="2675"/>
      <c r="AR98" s="2675"/>
      <c r="AS98" s="2675"/>
      <c r="AT98" s="2675"/>
      <c r="AU98" s="2675"/>
      <c r="AV98" s="2675"/>
      <c r="AW98" s="2675"/>
      <c r="AX98" s="2676"/>
      <c r="AY98" s="205" t="s">
        <v>434</v>
      </c>
      <c r="AZ98" s="276" t="s">
        <v>152</v>
      </c>
      <c r="BA98" s="276" t="s">
        <v>33</v>
      </c>
      <c r="BB98" s="276" t="s">
        <v>139</v>
      </c>
      <c r="BC98" s="276" t="s">
        <v>445</v>
      </c>
      <c r="BD98" s="276"/>
      <c r="BE98" s="276" t="s">
        <v>281</v>
      </c>
      <c r="BF98" s="276" t="s">
        <v>422</v>
      </c>
      <c r="BG98" s="277"/>
      <c r="BH98" s="278">
        <f t="shared" si="18"/>
        <v>0</v>
      </c>
      <c r="BI98" s="279">
        <f t="shared" si="3"/>
        <v>0</v>
      </c>
      <c r="BJ98" s="279"/>
      <c r="BK98" s="279"/>
      <c r="BL98" s="279"/>
      <c r="BM98" s="279"/>
      <c r="BN98" s="279"/>
      <c r="BO98" s="279"/>
      <c r="BP98" s="280">
        <f t="shared" si="14"/>
        <v>20411</v>
      </c>
      <c r="BQ98" s="280">
        <v>20411</v>
      </c>
      <c r="BR98" s="280"/>
      <c r="BS98" s="280">
        <v>0</v>
      </c>
      <c r="BT98" s="280"/>
      <c r="BU98" s="280"/>
      <c r="BV98" s="280"/>
      <c r="BW98" s="280"/>
      <c r="BX98" s="281"/>
      <c r="BY98" s="282">
        <f t="shared" si="15"/>
        <v>20411</v>
      </c>
      <c r="BZ98" s="282">
        <v>20411</v>
      </c>
      <c r="CA98" s="282"/>
      <c r="CB98" s="282">
        <v>0</v>
      </c>
      <c r="CC98" s="282"/>
      <c r="CD98" s="282"/>
      <c r="CE98" s="282"/>
      <c r="CF98" s="282"/>
      <c r="CG98" s="283"/>
      <c r="CH98" s="280">
        <f t="shared" si="16"/>
        <v>20411</v>
      </c>
      <c r="CI98" s="280">
        <v>20411</v>
      </c>
      <c r="CJ98" s="280"/>
      <c r="CK98" s="280">
        <v>0</v>
      </c>
      <c r="CL98" s="280"/>
      <c r="CM98" s="280"/>
      <c r="CN98" s="280"/>
      <c r="CO98" s="280"/>
      <c r="CP98" s="281"/>
      <c r="CQ98" s="272">
        <f t="shared" si="7"/>
        <v>20411</v>
      </c>
      <c r="CR98" s="272"/>
      <c r="CS98" s="272"/>
      <c r="CT98" s="272">
        <v>0</v>
      </c>
      <c r="CU98" s="272"/>
      <c r="CV98" s="272">
        <v>20411</v>
      </c>
      <c r="CW98" s="272"/>
      <c r="CX98" s="272"/>
      <c r="CY98" s="284"/>
      <c r="CZ98" s="285">
        <f t="shared" si="17"/>
        <v>0</v>
      </c>
      <c r="DA98" s="285"/>
      <c r="DB98" s="285"/>
      <c r="DC98" s="285"/>
      <c r="DD98" s="285"/>
      <c r="DE98" s="285"/>
      <c r="DF98" s="285"/>
      <c r="DG98" s="285"/>
      <c r="DH98" s="286"/>
      <c r="DI98" s="225"/>
      <c r="DJ98" s="175" t="b">
        <f t="shared" si="12"/>
        <v>1</v>
      </c>
    </row>
    <row r="99" spans="1:115" ht="12.75" hidden="1" x14ac:dyDescent="0.2">
      <c r="A99" s="214"/>
      <c r="B99" s="215"/>
      <c r="C99" s="2675" t="s">
        <v>475</v>
      </c>
      <c r="D99" s="2675"/>
      <c r="E99" s="2675"/>
      <c r="F99" s="2675"/>
      <c r="G99" s="2675"/>
      <c r="H99" s="2675"/>
      <c r="I99" s="2675"/>
      <c r="J99" s="2675"/>
      <c r="K99" s="2675"/>
      <c r="L99" s="2675"/>
      <c r="M99" s="2675"/>
      <c r="N99" s="2675"/>
      <c r="O99" s="2675"/>
      <c r="P99" s="2675"/>
      <c r="Q99" s="2675"/>
      <c r="R99" s="2675"/>
      <c r="S99" s="2675"/>
      <c r="T99" s="2675"/>
      <c r="U99" s="2675"/>
      <c r="V99" s="2675"/>
      <c r="W99" s="2675"/>
      <c r="X99" s="2675"/>
      <c r="Y99" s="2675"/>
      <c r="Z99" s="2675"/>
      <c r="AA99" s="2675"/>
      <c r="AB99" s="2675"/>
      <c r="AC99" s="2675"/>
      <c r="AD99" s="2675"/>
      <c r="AE99" s="2675"/>
      <c r="AF99" s="2675"/>
      <c r="AG99" s="2675"/>
      <c r="AH99" s="2675"/>
      <c r="AI99" s="2675"/>
      <c r="AJ99" s="2675"/>
      <c r="AK99" s="2675"/>
      <c r="AL99" s="2675"/>
      <c r="AM99" s="2675"/>
      <c r="AN99" s="2675"/>
      <c r="AO99" s="2675"/>
      <c r="AP99" s="2675"/>
      <c r="AQ99" s="2675"/>
      <c r="AR99" s="2675"/>
      <c r="AS99" s="2675"/>
      <c r="AT99" s="2675"/>
      <c r="AU99" s="2675"/>
      <c r="AV99" s="2675"/>
      <c r="AW99" s="2675"/>
      <c r="AX99" s="2676"/>
      <c r="AY99" s="205" t="s">
        <v>434</v>
      </c>
      <c r="AZ99" s="276" t="s">
        <v>152</v>
      </c>
      <c r="BA99" s="276" t="s">
        <v>33</v>
      </c>
      <c r="BB99" s="266" t="s">
        <v>143</v>
      </c>
      <c r="BC99" s="276" t="s">
        <v>445</v>
      </c>
      <c r="BD99" s="276"/>
      <c r="BE99" s="276" t="s">
        <v>281</v>
      </c>
      <c r="BF99" s="276" t="s">
        <v>422</v>
      </c>
      <c r="BG99" s="277"/>
      <c r="BH99" s="278">
        <f t="shared" si="18"/>
        <v>0</v>
      </c>
      <c r="BI99" s="279">
        <f t="shared" si="3"/>
        <v>0</v>
      </c>
      <c r="BJ99" s="279"/>
      <c r="BK99" s="279"/>
      <c r="BL99" s="279"/>
      <c r="BM99" s="279"/>
      <c r="BN99" s="279"/>
      <c r="BO99" s="279"/>
      <c r="BP99" s="280">
        <f t="shared" si="14"/>
        <v>660000</v>
      </c>
      <c r="BQ99" s="280"/>
      <c r="BR99" s="280"/>
      <c r="BS99" s="280">
        <v>660000</v>
      </c>
      <c r="BT99" s="280"/>
      <c r="BU99" s="280"/>
      <c r="BV99" s="280"/>
      <c r="BW99" s="280"/>
      <c r="BX99" s="281"/>
      <c r="BY99" s="282">
        <f t="shared" si="15"/>
        <v>660000</v>
      </c>
      <c r="BZ99" s="282"/>
      <c r="CA99" s="282"/>
      <c r="CB99" s="282">
        <v>660000</v>
      </c>
      <c r="CC99" s="282"/>
      <c r="CD99" s="282"/>
      <c r="CE99" s="282"/>
      <c r="CF99" s="282"/>
      <c r="CG99" s="283"/>
      <c r="CH99" s="280">
        <f t="shared" si="16"/>
        <v>660000</v>
      </c>
      <c r="CI99" s="280"/>
      <c r="CJ99" s="280"/>
      <c r="CK99" s="280">
        <v>660000</v>
      </c>
      <c r="CL99" s="280"/>
      <c r="CM99" s="280"/>
      <c r="CN99" s="280"/>
      <c r="CO99" s="280"/>
      <c r="CP99" s="281"/>
      <c r="CQ99" s="272">
        <f t="shared" si="7"/>
        <v>660001</v>
      </c>
      <c r="CR99" s="272">
        <v>101500</v>
      </c>
      <c r="CS99" s="272"/>
      <c r="CT99" s="272">
        <v>250170</v>
      </c>
      <c r="CU99" s="272"/>
      <c r="CV99" s="272">
        <v>308331</v>
      </c>
      <c r="CW99" s="272"/>
      <c r="CX99" s="272"/>
      <c r="CY99" s="284"/>
      <c r="CZ99" s="285">
        <f t="shared" si="17"/>
        <v>0</v>
      </c>
      <c r="DA99" s="285"/>
      <c r="DB99" s="285"/>
      <c r="DC99" s="285"/>
      <c r="DD99" s="285"/>
      <c r="DE99" s="285"/>
      <c r="DF99" s="285"/>
      <c r="DG99" s="285"/>
      <c r="DH99" s="286"/>
      <c r="DI99" s="225"/>
      <c r="DJ99" s="175" t="b">
        <f t="shared" si="12"/>
        <v>1</v>
      </c>
    </row>
    <row r="100" spans="1:115" ht="12.75" x14ac:dyDescent="0.2">
      <c r="A100" s="214"/>
      <c r="B100" s="215"/>
      <c r="C100" s="2675" t="s">
        <v>506</v>
      </c>
      <c r="D100" s="2675"/>
      <c r="E100" s="2675"/>
      <c r="F100" s="2675"/>
      <c r="G100" s="2675"/>
      <c r="H100" s="2675"/>
      <c r="I100" s="2675"/>
      <c r="J100" s="2675"/>
      <c r="K100" s="2675"/>
      <c r="L100" s="2675"/>
      <c r="M100" s="2675"/>
      <c r="N100" s="2675"/>
      <c r="O100" s="2675"/>
      <c r="P100" s="2675"/>
      <c r="Q100" s="2675"/>
      <c r="R100" s="2675"/>
      <c r="S100" s="2675"/>
      <c r="T100" s="2675"/>
      <c r="U100" s="2675"/>
      <c r="V100" s="2675"/>
      <c r="W100" s="2675"/>
      <c r="X100" s="2675"/>
      <c r="Y100" s="2675"/>
      <c r="Z100" s="2675"/>
      <c r="AA100" s="2675"/>
      <c r="AB100" s="2675"/>
      <c r="AC100" s="2675"/>
      <c r="AD100" s="2675"/>
      <c r="AE100" s="2675"/>
      <c r="AF100" s="2675"/>
      <c r="AG100" s="2675"/>
      <c r="AH100" s="2675"/>
      <c r="AI100" s="2675"/>
      <c r="AJ100" s="2675"/>
      <c r="AK100" s="2675"/>
      <c r="AL100" s="2675"/>
      <c r="AM100" s="2675"/>
      <c r="AN100" s="2675"/>
      <c r="AO100" s="2675"/>
      <c r="AP100" s="2675"/>
      <c r="AQ100" s="2675"/>
      <c r="AR100" s="2675"/>
      <c r="AS100" s="2675"/>
      <c r="AT100" s="2675"/>
      <c r="AU100" s="2675"/>
      <c r="AV100" s="2675"/>
      <c r="AW100" s="2675"/>
      <c r="AX100" s="2676"/>
      <c r="AY100" s="205" t="s">
        <v>447</v>
      </c>
      <c r="AZ100" s="276" t="s">
        <v>152</v>
      </c>
      <c r="BA100" s="276" t="s">
        <v>33</v>
      </c>
      <c r="BB100" s="266" t="s">
        <v>34</v>
      </c>
      <c r="BC100" s="276" t="s">
        <v>505</v>
      </c>
      <c r="BD100" s="276"/>
      <c r="BE100" s="276" t="s">
        <v>281</v>
      </c>
      <c r="BF100" s="276" t="s">
        <v>422</v>
      </c>
      <c r="BG100" s="277">
        <v>135683.35</v>
      </c>
      <c r="BH100" s="278"/>
      <c r="BI100" s="279">
        <f>BJ100+BK100+BL100+BM100+BN100+BO100</f>
        <v>159924.69</v>
      </c>
      <c r="BJ100" s="279"/>
      <c r="BK100" s="279"/>
      <c r="BL100" s="279">
        <v>159924.69</v>
      </c>
      <c r="BM100" s="288"/>
      <c r="BN100" s="279"/>
      <c r="BO100" s="279"/>
      <c r="BP100" s="280">
        <f>BQ100+BR100+BS100+BT100+BU100+BV100+BX100+BW100</f>
        <v>174924.69</v>
      </c>
      <c r="BQ100" s="280"/>
      <c r="BR100" s="280"/>
      <c r="BS100" s="280">
        <v>174924.69</v>
      </c>
      <c r="BT100" s="289"/>
      <c r="BU100" s="280"/>
      <c r="BV100" s="280"/>
      <c r="BW100" s="280"/>
      <c r="BX100" s="281"/>
      <c r="BY100" s="282">
        <f>BZ100+CA100+CB100+CC100+CD100+CE100+CG100+CF100</f>
        <v>274924.69</v>
      </c>
      <c r="BZ100" s="297">
        <f>250924.69-100000</f>
        <v>150924.69</v>
      </c>
      <c r="CA100" s="282"/>
      <c r="CB100" s="282">
        <v>24000</v>
      </c>
      <c r="CC100" s="290"/>
      <c r="CD100" s="282"/>
      <c r="CE100" s="282"/>
      <c r="CF100" s="282"/>
      <c r="CG100" s="297">
        <v>100000</v>
      </c>
      <c r="CH100" s="280">
        <f>CI100+CJ100+CK100+CL100+CM100+CN100+CP100+CO100</f>
        <v>274924.69</v>
      </c>
      <c r="CI100" s="280">
        <v>250924.69</v>
      </c>
      <c r="CJ100" s="280"/>
      <c r="CK100" s="280">
        <v>24000</v>
      </c>
      <c r="CL100" s="289"/>
      <c r="CM100" s="280"/>
      <c r="CN100" s="280"/>
      <c r="CO100" s="280"/>
      <c r="CP100" s="281"/>
      <c r="CQ100" s="272">
        <f>SUM(CR100:CY100)</f>
        <v>274924.69</v>
      </c>
      <c r="CR100" s="272">
        <v>116170</v>
      </c>
      <c r="CS100" s="272"/>
      <c r="CT100" s="272">
        <v>123990.95</v>
      </c>
      <c r="CU100" s="291"/>
      <c r="CV100" s="272">
        <v>34763.74</v>
      </c>
      <c r="CW100" s="272"/>
      <c r="CX100" s="272"/>
      <c r="CY100" s="284"/>
      <c r="CZ100" s="285" t="e">
        <f>DA100+DB100+DC100+DD100+DE100+DF100+DH100+DG100</f>
        <v>#REF!</v>
      </c>
      <c r="DA100" s="285" t="e">
        <f>#REF!</f>
        <v>#REF!</v>
      </c>
      <c r="DB100" s="285"/>
      <c r="DC100" s="285"/>
      <c r="DD100" s="292"/>
      <c r="DE100" s="285"/>
      <c r="DF100" s="285"/>
      <c r="DG100" s="285"/>
      <c r="DH100" s="286"/>
      <c r="DI100" s="225" t="e">
        <f>CZ100=#REF!</f>
        <v>#REF!</v>
      </c>
      <c r="DJ100" s="175" t="e">
        <f>BI100=CZ100</f>
        <v>#REF!</v>
      </c>
    </row>
    <row r="101" spans="1:115" ht="12.75" hidden="1" x14ac:dyDescent="0.2">
      <c r="A101" s="214"/>
      <c r="B101" s="215"/>
      <c r="C101" s="2675" t="s">
        <v>467</v>
      </c>
      <c r="D101" s="2675"/>
      <c r="E101" s="2675"/>
      <c r="F101" s="2675"/>
      <c r="G101" s="2675"/>
      <c r="H101" s="2675"/>
      <c r="I101" s="2675"/>
      <c r="J101" s="2675"/>
      <c r="K101" s="2675"/>
      <c r="L101" s="2675"/>
      <c r="M101" s="2675"/>
      <c r="N101" s="2675"/>
      <c r="O101" s="2675"/>
      <c r="P101" s="2675"/>
      <c r="Q101" s="2675"/>
      <c r="R101" s="2675"/>
      <c r="S101" s="2675"/>
      <c r="T101" s="2675"/>
      <c r="U101" s="2675"/>
      <c r="V101" s="2675"/>
      <c r="W101" s="2675"/>
      <c r="X101" s="2675"/>
      <c r="Y101" s="2675"/>
      <c r="Z101" s="2675"/>
      <c r="AA101" s="2675"/>
      <c r="AB101" s="2675"/>
      <c r="AC101" s="2675"/>
      <c r="AD101" s="2675"/>
      <c r="AE101" s="2675"/>
      <c r="AF101" s="2675"/>
      <c r="AG101" s="2675"/>
      <c r="AH101" s="2675"/>
      <c r="AI101" s="2675"/>
      <c r="AJ101" s="2675"/>
      <c r="AK101" s="2675"/>
      <c r="AL101" s="2675"/>
      <c r="AM101" s="2675"/>
      <c r="AN101" s="2675"/>
      <c r="AO101" s="2675"/>
      <c r="AP101" s="2675"/>
      <c r="AQ101" s="2675"/>
      <c r="AR101" s="2675"/>
      <c r="AS101" s="2675"/>
      <c r="AT101" s="2675"/>
      <c r="AU101" s="2675"/>
      <c r="AV101" s="2675"/>
      <c r="AW101" s="2675"/>
      <c r="AX101" s="2676"/>
      <c r="AY101" s="205" t="s">
        <v>447</v>
      </c>
      <c r="AZ101" s="276" t="s">
        <v>152</v>
      </c>
      <c r="BA101" s="276" t="s">
        <v>33</v>
      </c>
      <c r="BB101" s="266" t="s">
        <v>34</v>
      </c>
      <c r="BC101" s="276" t="s">
        <v>468</v>
      </c>
      <c r="BD101" s="276"/>
      <c r="BE101" s="276" t="s">
        <v>281</v>
      </c>
      <c r="BF101" s="276" t="s">
        <v>422</v>
      </c>
      <c r="BG101" s="277">
        <v>135683.35</v>
      </c>
      <c r="BH101" s="278"/>
      <c r="BI101" s="279">
        <f t="shared" si="3"/>
        <v>159924.69</v>
      </c>
      <c r="BJ101" s="279"/>
      <c r="BK101" s="279"/>
      <c r="BL101" s="279">
        <v>159924.69</v>
      </c>
      <c r="BM101" s="288"/>
      <c r="BN101" s="279"/>
      <c r="BO101" s="279"/>
      <c r="BP101" s="280">
        <f t="shared" si="14"/>
        <v>174924.69</v>
      </c>
      <c r="BQ101" s="280"/>
      <c r="BR101" s="280"/>
      <c r="BS101" s="280">
        <v>174924.69</v>
      </c>
      <c r="BT101" s="289"/>
      <c r="BU101" s="280"/>
      <c r="BV101" s="280"/>
      <c r="BW101" s="280"/>
      <c r="BX101" s="281"/>
      <c r="BY101" s="282">
        <f t="shared" si="15"/>
        <v>274924.69</v>
      </c>
      <c r="BZ101" s="297">
        <f>250924.69-100000</f>
        <v>150924.69</v>
      </c>
      <c r="CA101" s="282"/>
      <c r="CB101" s="282">
        <v>24000</v>
      </c>
      <c r="CC101" s="290"/>
      <c r="CD101" s="282"/>
      <c r="CE101" s="282"/>
      <c r="CF101" s="282"/>
      <c r="CG101" s="297">
        <v>100000</v>
      </c>
      <c r="CH101" s="280">
        <f t="shared" si="16"/>
        <v>274924.69</v>
      </c>
      <c r="CI101" s="280">
        <v>250924.69</v>
      </c>
      <c r="CJ101" s="280"/>
      <c r="CK101" s="280">
        <v>24000</v>
      </c>
      <c r="CL101" s="289"/>
      <c r="CM101" s="280"/>
      <c r="CN101" s="280"/>
      <c r="CO101" s="280"/>
      <c r="CP101" s="281"/>
      <c r="CQ101" s="272">
        <f t="shared" si="7"/>
        <v>274924.69</v>
      </c>
      <c r="CR101" s="272">
        <v>116170</v>
      </c>
      <c r="CS101" s="272"/>
      <c r="CT101" s="272">
        <v>123990.95</v>
      </c>
      <c r="CU101" s="291"/>
      <c r="CV101" s="272">
        <v>34763.74</v>
      </c>
      <c r="CW101" s="272"/>
      <c r="CX101" s="272"/>
      <c r="CY101" s="284"/>
      <c r="CZ101" s="285">
        <f t="shared" si="17"/>
        <v>0</v>
      </c>
      <c r="DA101" s="285"/>
      <c r="DB101" s="285"/>
      <c r="DC101" s="285"/>
      <c r="DD101" s="292"/>
      <c r="DE101" s="285"/>
      <c r="DF101" s="285"/>
      <c r="DG101" s="285"/>
      <c r="DH101" s="286"/>
      <c r="DI101" s="225"/>
      <c r="DJ101" s="175" t="b">
        <f t="shared" si="12"/>
        <v>0</v>
      </c>
    </row>
    <row r="102" spans="1:115" ht="12.75" hidden="1" x14ac:dyDescent="0.2">
      <c r="A102" s="214"/>
      <c r="B102" s="215"/>
      <c r="C102" s="2675" t="s">
        <v>467</v>
      </c>
      <c r="D102" s="2675"/>
      <c r="E102" s="2675"/>
      <c r="F102" s="2675"/>
      <c r="G102" s="2675"/>
      <c r="H102" s="2675"/>
      <c r="I102" s="2675"/>
      <c r="J102" s="2675"/>
      <c r="K102" s="2675"/>
      <c r="L102" s="2675"/>
      <c r="M102" s="2675"/>
      <c r="N102" s="2675"/>
      <c r="O102" s="2675"/>
      <c r="P102" s="2675"/>
      <c r="Q102" s="2675"/>
      <c r="R102" s="2675"/>
      <c r="S102" s="2675"/>
      <c r="T102" s="2675"/>
      <c r="U102" s="2675"/>
      <c r="V102" s="2675"/>
      <c r="W102" s="2675"/>
      <c r="X102" s="2675"/>
      <c r="Y102" s="2675"/>
      <c r="Z102" s="2675"/>
      <c r="AA102" s="2675"/>
      <c r="AB102" s="2675"/>
      <c r="AC102" s="2675"/>
      <c r="AD102" s="2675"/>
      <c r="AE102" s="2675"/>
      <c r="AF102" s="2675"/>
      <c r="AG102" s="2675"/>
      <c r="AH102" s="2675"/>
      <c r="AI102" s="2675"/>
      <c r="AJ102" s="2675"/>
      <c r="AK102" s="2675"/>
      <c r="AL102" s="2675"/>
      <c r="AM102" s="2675"/>
      <c r="AN102" s="2675"/>
      <c r="AO102" s="2675"/>
      <c r="AP102" s="2675"/>
      <c r="AQ102" s="2675"/>
      <c r="AR102" s="2675"/>
      <c r="AS102" s="2675"/>
      <c r="AT102" s="2675"/>
      <c r="AU102" s="2675"/>
      <c r="AV102" s="2675"/>
      <c r="AW102" s="2675"/>
      <c r="AX102" s="2676"/>
      <c r="AY102" s="205" t="s">
        <v>447</v>
      </c>
      <c r="AZ102" s="276" t="s">
        <v>152</v>
      </c>
      <c r="BA102" s="276" t="s">
        <v>33</v>
      </c>
      <c r="BB102" s="267" t="s">
        <v>140</v>
      </c>
      <c r="BC102" s="276" t="s">
        <v>468</v>
      </c>
      <c r="BD102" s="276"/>
      <c r="BE102" s="276" t="s">
        <v>281</v>
      </c>
      <c r="BF102" s="276" t="s">
        <v>422</v>
      </c>
      <c r="BG102" s="277">
        <v>135683.35</v>
      </c>
      <c r="BH102" s="278"/>
      <c r="BI102" s="279">
        <f t="shared" si="3"/>
        <v>159924.69</v>
      </c>
      <c r="BJ102" s="279"/>
      <c r="BK102" s="279"/>
      <c r="BL102" s="279">
        <v>159924.69</v>
      </c>
      <c r="BM102" s="288"/>
      <c r="BN102" s="279"/>
      <c r="BO102" s="279"/>
      <c r="BP102" s="280">
        <f t="shared" si="14"/>
        <v>174924.69</v>
      </c>
      <c r="BQ102" s="280"/>
      <c r="BR102" s="280"/>
      <c r="BS102" s="280">
        <v>174924.69</v>
      </c>
      <c r="BT102" s="289"/>
      <c r="BU102" s="280"/>
      <c r="BV102" s="280"/>
      <c r="BW102" s="280"/>
      <c r="BX102" s="281"/>
      <c r="BY102" s="282">
        <f t="shared" si="15"/>
        <v>274924.69</v>
      </c>
      <c r="BZ102" s="297">
        <f>250924.69-100000</f>
        <v>150924.69</v>
      </c>
      <c r="CA102" s="282"/>
      <c r="CB102" s="282">
        <v>24000</v>
      </c>
      <c r="CC102" s="290"/>
      <c r="CD102" s="282"/>
      <c r="CE102" s="282"/>
      <c r="CF102" s="282"/>
      <c r="CG102" s="297">
        <v>100000</v>
      </c>
      <c r="CH102" s="280">
        <f t="shared" si="16"/>
        <v>274924.69</v>
      </c>
      <c r="CI102" s="280">
        <v>250924.69</v>
      </c>
      <c r="CJ102" s="280"/>
      <c r="CK102" s="280">
        <v>24000</v>
      </c>
      <c r="CL102" s="289"/>
      <c r="CM102" s="280"/>
      <c r="CN102" s="280"/>
      <c r="CO102" s="280"/>
      <c r="CP102" s="281"/>
      <c r="CQ102" s="272">
        <f t="shared" si="7"/>
        <v>274924.69</v>
      </c>
      <c r="CR102" s="272">
        <v>116170</v>
      </c>
      <c r="CS102" s="272"/>
      <c r="CT102" s="272">
        <v>123990.95</v>
      </c>
      <c r="CU102" s="291"/>
      <c r="CV102" s="272">
        <v>34763.74</v>
      </c>
      <c r="CW102" s="272"/>
      <c r="CX102" s="272"/>
      <c r="CY102" s="284"/>
      <c r="CZ102" s="285">
        <f t="shared" si="17"/>
        <v>0</v>
      </c>
      <c r="DA102" s="285"/>
      <c r="DB102" s="285"/>
      <c r="DC102" s="285"/>
      <c r="DD102" s="292"/>
      <c r="DE102" s="285"/>
      <c r="DF102" s="285"/>
      <c r="DG102" s="285"/>
      <c r="DH102" s="286"/>
      <c r="DI102" s="225"/>
      <c r="DJ102" s="175" t="b">
        <f t="shared" si="12"/>
        <v>0</v>
      </c>
    </row>
    <row r="103" spans="1:115" ht="12.75" x14ac:dyDescent="0.2">
      <c r="A103" s="214"/>
      <c r="B103" s="215"/>
      <c r="C103" s="2675" t="s">
        <v>465</v>
      </c>
      <c r="D103" s="2675"/>
      <c r="E103" s="2675"/>
      <c r="F103" s="2675"/>
      <c r="G103" s="2675"/>
      <c r="H103" s="2675"/>
      <c r="I103" s="2675"/>
      <c r="J103" s="2675"/>
      <c r="K103" s="2675"/>
      <c r="L103" s="2675"/>
      <c r="M103" s="2675"/>
      <c r="N103" s="2675"/>
      <c r="O103" s="2675"/>
      <c r="P103" s="2675"/>
      <c r="Q103" s="2675"/>
      <c r="R103" s="2675"/>
      <c r="S103" s="2675"/>
      <c r="T103" s="2675"/>
      <c r="U103" s="2675"/>
      <c r="V103" s="2675"/>
      <c r="W103" s="2675"/>
      <c r="X103" s="2675"/>
      <c r="Y103" s="2675"/>
      <c r="Z103" s="2675"/>
      <c r="AA103" s="2675"/>
      <c r="AB103" s="2675"/>
      <c r="AC103" s="2675"/>
      <c r="AD103" s="2675"/>
      <c r="AE103" s="2675"/>
      <c r="AF103" s="2675"/>
      <c r="AG103" s="2675"/>
      <c r="AH103" s="2675"/>
      <c r="AI103" s="2675"/>
      <c r="AJ103" s="2675"/>
      <c r="AK103" s="2675"/>
      <c r="AL103" s="2675"/>
      <c r="AM103" s="2675"/>
      <c r="AN103" s="2675"/>
      <c r="AO103" s="2675"/>
      <c r="AP103" s="2675"/>
      <c r="AQ103" s="2675"/>
      <c r="AR103" s="2675"/>
      <c r="AS103" s="2675"/>
      <c r="AT103" s="2675"/>
      <c r="AU103" s="2675"/>
      <c r="AV103" s="2675"/>
      <c r="AW103" s="2675"/>
      <c r="AX103" s="2676"/>
      <c r="AY103" s="205" t="s">
        <v>447</v>
      </c>
      <c r="AZ103" s="276" t="s">
        <v>152</v>
      </c>
      <c r="BA103" s="276" t="s">
        <v>33</v>
      </c>
      <c r="BB103" s="267" t="s">
        <v>140</v>
      </c>
      <c r="BC103" s="276" t="s">
        <v>466</v>
      </c>
      <c r="BD103" s="276"/>
      <c r="BE103" s="276" t="s">
        <v>281</v>
      </c>
      <c r="BF103" s="276" t="s">
        <v>422</v>
      </c>
      <c r="BG103" s="277">
        <v>135683.35</v>
      </c>
      <c r="BH103" s="278"/>
      <c r="BI103" s="279">
        <f t="shared" si="3"/>
        <v>159924.69</v>
      </c>
      <c r="BJ103" s="279"/>
      <c r="BK103" s="279"/>
      <c r="BL103" s="279">
        <v>159924.69</v>
      </c>
      <c r="BM103" s="288"/>
      <c r="BN103" s="279"/>
      <c r="BO103" s="279"/>
      <c r="BP103" s="280">
        <f t="shared" si="14"/>
        <v>174924.69</v>
      </c>
      <c r="BQ103" s="280"/>
      <c r="BR103" s="280"/>
      <c r="BS103" s="280">
        <v>174924.69</v>
      </c>
      <c r="BT103" s="289"/>
      <c r="BU103" s="280"/>
      <c r="BV103" s="280"/>
      <c r="BW103" s="280"/>
      <c r="BX103" s="281"/>
      <c r="BY103" s="282">
        <f t="shared" si="15"/>
        <v>274924.69</v>
      </c>
      <c r="BZ103" s="297">
        <f>250924.69-100000</f>
        <v>150924.69</v>
      </c>
      <c r="CA103" s="282"/>
      <c r="CB103" s="282">
        <v>24000</v>
      </c>
      <c r="CC103" s="290"/>
      <c r="CD103" s="282"/>
      <c r="CE103" s="282"/>
      <c r="CF103" s="282"/>
      <c r="CG103" s="297">
        <v>100000</v>
      </c>
      <c r="CH103" s="280">
        <f t="shared" si="16"/>
        <v>274924.69</v>
      </c>
      <c r="CI103" s="280">
        <v>250924.69</v>
      </c>
      <c r="CJ103" s="280"/>
      <c r="CK103" s="280">
        <v>24000</v>
      </c>
      <c r="CL103" s="289"/>
      <c r="CM103" s="280"/>
      <c r="CN103" s="280"/>
      <c r="CO103" s="280"/>
      <c r="CP103" s="281"/>
      <c r="CQ103" s="272">
        <f t="shared" si="7"/>
        <v>274924.69</v>
      </c>
      <c r="CR103" s="272">
        <v>116170</v>
      </c>
      <c r="CS103" s="272"/>
      <c r="CT103" s="272">
        <v>123990.95</v>
      </c>
      <c r="CU103" s="291"/>
      <c r="CV103" s="272">
        <v>34763.74</v>
      </c>
      <c r="CW103" s="272"/>
      <c r="CX103" s="272"/>
      <c r="CY103" s="284"/>
      <c r="CZ103" s="285" t="e">
        <f t="shared" si="17"/>
        <v>#REF!</v>
      </c>
      <c r="DA103" s="285" t="e">
        <f>#REF!</f>
        <v>#REF!</v>
      </c>
      <c r="DB103" s="285"/>
      <c r="DC103" s="285" t="e">
        <f>#REF!</f>
        <v>#REF!</v>
      </c>
      <c r="DD103" s="292"/>
      <c r="DE103" s="285" t="e">
        <f>#REF!</f>
        <v>#REF!</v>
      </c>
      <c r="DF103" s="285"/>
      <c r="DG103" s="285"/>
      <c r="DH103" s="286"/>
      <c r="DI103" s="225" t="e">
        <f>CZ103=#REF!</f>
        <v>#REF!</v>
      </c>
      <c r="DJ103" s="175" t="e">
        <f t="shared" si="12"/>
        <v>#REF!</v>
      </c>
    </row>
    <row r="104" spans="1:115" ht="12.75" x14ac:dyDescent="0.2">
      <c r="A104" s="214"/>
      <c r="B104" s="215"/>
      <c r="C104" s="2675" t="s">
        <v>451</v>
      </c>
      <c r="D104" s="2675"/>
      <c r="E104" s="2675"/>
      <c r="F104" s="2675"/>
      <c r="G104" s="2675"/>
      <c r="H104" s="2675"/>
      <c r="I104" s="2675"/>
      <c r="J104" s="2675"/>
      <c r="K104" s="2675"/>
      <c r="L104" s="2675"/>
      <c r="M104" s="2675"/>
      <c r="N104" s="2675"/>
      <c r="O104" s="2675"/>
      <c r="P104" s="2675"/>
      <c r="Q104" s="2675"/>
      <c r="R104" s="2675"/>
      <c r="S104" s="2675"/>
      <c r="T104" s="2675"/>
      <c r="U104" s="2675"/>
      <c r="V104" s="2675"/>
      <c r="W104" s="2675"/>
      <c r="X104" s="2675"/>
      <c r="Y104" s="2675"/>
      <c r="Z104" s="2675"/>
      <c r="AA104" s="2675"/>
      <c r="AB104" s="2675"/>
      <c r="AC104" s="2675"/>
      <c r="AD104" s="2675"/>
      <c r="AE104" s="2675"/>
      <c r="AF104" s="2675"/>
      <c r="AG104" s="2675"/>
      <c r="AH104" s="2675"/>
      <c r="AI104" s="2675"/>
      <c r="AJ104" s="2675"/>
      <c r="AK104" s="2675"/>
      <c r="AL104" s="2675"/>
      <c r="AM104" s="2675"/>
      <c r="AN104" s="2675"/>
      <c r="AO104" s="2675"/>
      <c r="AP104" s="2675"/>
      <c r="AQ104" s="2675"/>
      <c r="AR104" s="2675"/>
      <c r="AS104" s="2675"/>
      <c r="AT104" s="2675"/>
      <c r="AU104" s="2675"/>
      <c r="AV104" s="2675"/>
      <c r="AW104" s="2675"/>
      <c r="AX104" s="2676"/>
      <c r="AY104" s="205" t="s">
        <v>447</v>
      </c>
      <c r="AZ104" s="276" t="s">
        <v>152</v>
      </c>
      <c r="BA104" s="276" t="s">
        <v>33</v>
      </c>
      <c r="BB104" s="266" t="s">
        <v>34</v>
      </c>
      <c r="BC104" s="276" t="s">
        <v>452</v>
      </c>
      <c r="BD104" s="276"/>
      <c r="BE104" s="276" t="s">
        <v>281</v>
      </c>
      <c r="BF104" s="276" t="s">
        <v>422</v>
      </c>
      <c r="BG104" s="277">
        <v>9505488</v>
      </c>
      <c r="BH104" s="278">
        <v>173692</v>
      </c>
      <c r="BI104" s="279">
        <f t="shared" si="3"/>
        <v>10927065.210000001</v>
      </c>
      <c r="BJ104" s="279">
        <v>12000</v>
      </c>
      <c r="BK104" s="279"/>
      <c r="BL104" s="279">
        <v>4553038.26</v>
      </c>
      <c r="BM104" s="288"/>
      <c r="BN104" s="279">
        <v>4509891.58</v>
      </c>
      <c r="BO104" s="279">
        <v>1852135.37</v>
      </c>
      <c r="BP104" s="280">
        <f t="shared" si="14"/>
        <v>10927065.210000001</v>
      </c>
      <c r="BQ104" s="280">
        <v>12000</v>
      </c>
      <c r="BR104" s="280"/>
      <c r="BS104" s="280">
        <v>6060582.0700000003</v>
      </c>
      <c r="BT104" s="280"/>
      <c r="BU104" s="280">
        <v>3682197.29</v>
      </c>
      <c r="BV104" s="280">
        <v>1172285.8500000001</v>
      </c>
      <c r="BW104" s="280"/>
      <c r="BX104" s="281"/>
      <c r="BY104" s="282">
        <f t="shared" si="15"/>
        <v>10927065.210000001</v>
      </c>
      <c r="BZ104" s="282">
        <v>175040</v>
      </c>
      <c r="CA104" s="282"/>
      <c r="CB104" s="282">
        <v>6060582.0700000003</v>
      </c>
      <c r="CC104" s="282"/>
      <c r="CD104" s="282">
        <v>3682197.29</v>
      </c>
      <c r="CE104" s="282">
        <v>1009245.85</v>
      </c>
      <c r="CF104" s="282"/>
      <c r="CG104" s="283"/>
      <c r="CH104" s="280">
        <f t="shared" si="16"/>
        <v>10927065.210000001</v>
      </c>
      <c r="CI104" s="280">
        <v>374350</v>
      </c>
      <c r="CJ104" s="280"/>
      <c r="CK104" s="280">
        <v>6107122.0700000003</v>
      </c>
      <c r="CL104" s="280">
        <v>351083.98</v>
      </c>
      <c r="CM104" s="280">
        <v>3933274.24</v>
      </c>
      <c r="CN104" s="280">
        <v>161234.92000000001</v>
      </c>
      <c r="CO104" s="280"/>
      <c r="CP104" s="281"/>
      <c r="CQ104" s="272">
        <f t="shared" si="7"/>
        <v>10927065.210000001</v>
      </c>
      <c r="CR104" s="272">
        <v>186390</v>
      </c>
      <c r="CS104" s="272">
        <v>72000</v>
      </c>
      <c r="CT104" s="272">
        <v>5745842.6900000004</v>
      </c>
      <c r="CU104" s="272">
        <v>242000</v>
      </c>
      <c r="CV104" s="272">
        <v>3793339.83</v>
      </c>
      <c r="CW104" s="272">
        <v>887492.69</v>
      </c>
      <c r="CX104" s="272"/>
      <c r="CY104" s="284"/>
      <c r="CZ104" s="285" t="e">
        <f t="shared" si="17"/>
        <v>#REF!</v>
      </c>
      <c r="DA104" s="285" t="e">
        <f>#REF!</f>
        <v>#REF!</v>
      </c>
      <c r="DB104" s="285"/>
      <c r="DC104" s="285" t="e">
        <f>#REF!+#REF!+#REF!</f>
        <v>#REF!</v>
      </c>
      <c r="DD104" s="285"/>
      <c r="DE104" s="285"/>
      <c r="DF104" s="285"/>
      <c r="DG104" s="285"/>
      <c r="DH104" s="286"/>
      <c r="DI104" s="225" t="e">
        <f>#REF!=CZ104</f>
        <v>#REF!</v>
      </c>
      <c r="DJ104" s="175" t="e">
        <f t="shared" si="12"/>
        <v>#REF!</v>
      </c>
      <c r="DK104" s="296"/>
    </row>
    <row r="105" spans="1:115" ht="12.75" x14ac:dyDescent="0.2">
      <c r="A105" s="214"/>
      <c r="B105" s="215"/>
      <c r="C105" s="2675" t="s">
        <v>451</v>
      </c>
      <c r="D105" s="2675"/>
      <c r="E105" s="2675"/>
      <c r="F105" s="2675"/>
      <c r="G105" s="2675"/>
      <c r="H105" s="2675"/>
      <c r="I105" s="2675"/>
      <c r="J105" s="2675"/>
      <c r="K105" s="2675"/>
      <c r="L105" s="2675"/>
      <c r="M105" s="2675"/>
      <c r="N105" s="2675"/>
      <c r="O105" s="2675"/>
      <c r="P105" s="2675"/>
      <c r="Q105" s="2675"/>
      <c r="R105" s="2675"/>
      <c r="S105" s="2675"/>
      <c r="T105" s="2675"/>
      <c r="U105" s="2675"/>
      <c r="V105" s="2675"/>
      <c r="W105" s="2675"/>
      <c r="X105" s="2675"/>
      <c r="Y105" s="2675"/>
      <c r="Z105" s="2675"/>
      <c r="AA105" s="2675"/>
      <c r="AB105" s="2675"/>
      <c r="AC105" s="2675"/>
      <c r="AD105" s="2675"/>
      <c r="AE105" s="2675"/>
      <c r="AF105" s="2675"/>
      <c r="AG105" s="2675"/>
      <c r="AH105" s="2675"/>
      <c r="AI105" s="2675"/>
      <c r="AJ105" s="2675"/>
      <c r="AK105" s="2675"/>
      <c r="AL105" s="2675"/>
      <c r="AM105" s="2675"/>
      <c r="AN105" s="2675"/>
      <c r="AO105" s="2675"/>
      <c r="AP105" s="2675"/>
      <c r="AQ105" s="2675"/>
      <c r="AR105" s="2675"/>
      <c r="AS105" s="2675"/>
      <c r="AT105" s="2675"/>
      <c r="AU105" s="2675"/>
      <c r="AV105" s="2675"/>
      <c r="AW105" s="2675"/>
      <c r="AX105" s="2676"/>
      <c r="AY105" s="205" t="s">
        <v>447</v>
      </c>
      <c r="AZ105" s="276" t="s">
        <v>152</v>
      </c>
      <c r="BA105" s="276" t="s">
        <v>33</v>
      </c>
      <c r="BB105" s="267" t="s">
        <v>140</v>
      </c>
      <c r="BC105" s="276" t="s">
        <v>452</v>
      </c>
      <c r="BD105" s="276"/>
      <c r="BE105" s="276" t="s">
        <v>281</v>
      </c>
      <c r="BF105" s="276" t="s">
        <v>422</v>
      </c>
      <c r="BG105" s="277">
        <v>9505488</v>
      </c>
      <c r="BH105" s="278">
        <v>173692</v>
      </c>
      <c r="BI105" s="279">
        <f t="shared" si="3"/>
        <v>10927065.210000001</v>
      </c>
      <c r="BJ105" s="279">
        <v>12000</v>
      </c>
      <c r="BK105" s="279"/>
      <c r="BL105" s="279">
        <v>4553038.26</v>
      </c>
      <c r="BM105" s="288"/>
      <c r="BN105" s="279">
        <v>4509891.58</v>
      </c>
      <c r="BO105" s="279">
        <v>1852135.37</v>
      </c>
      <c r="BP105" s="280">
        <f t="shared" si="14"/>
        <v>10927065.210000001</v>
      </c>
      <c r="BQ105" s="280">
        <v>12000</v>
      </c>
      <c r="BR105" s="280"/>
      <c r="BS105" s="280">
        <v>6060582.0700000003</v>
      </c>
      <c r="BT105" s="280"/>
      <c r="BU105" s="280">
        <v>3682197.29</v>
      </c>
      <c r="BV105" s="280">
        <v>1172285.8500000001</v>
      </c>
      <c r="BW105" s="280"/>
      <c r="BX105" s="281"/>
      <c r="BY105" s="282">
        <f t="shared" si="15"/>
        <v>10927065.210000001</v>
      </c>
      <c r="BZ105" s="282">
        <v>175040</v>
      </c>
      <c r="CA105" s="282"/>
      <c r="CB105" s="282">
        <v>6060582.0700000003</v>
      </c>
      <c r="CC105" s="282"/>
      <c r="CD105" s="282">
        <v>3682197.29</v>
      </c>
      <c r="CE105" s="282">
        <v>1009245.85</v>
      </c>
      <c r="CF105" s="282"/>
      <c r="CG105" s="283"/>
      <c r="CH105" s="280">
        <f t="shared" si="16"/>
        <v>10927065.210000001</v>
      </c>
      <c r="CI105" s="280">
        <v>374350</v>
      </c>
      <c r="CJ105" s="280"/>
      <c r="CK105" s="280">
        <v>6107122.0700000003</v>
      </c>
      <c r="CL105" s="280">
        <v>351083.98</v>
      </c>
      <c r="CM105" s="280">
        <v>3933274.24</v>
      </c>
      <c r="CN105" s="280">
        <v>161234.92000000001</v>
      </c>
      <c r="CO105" s="280"/>
      <c r="CP105" s="281"/>
      <c r="CQ105" s="272">
        <f t="shared" si="7"/>
        <v>10927065.210000001</v>
      </c>
      <c r="CR105" s="272">
        <v>186390</v>
      </c>
      <c r="CS105" s="272">
        <v>72000</v>
      </c>
      <c r="CT105" s="272">
        <v>5745842.6900000004</v>
      </c>
      <c r="CU105" s="272">
        <v>242000</v>
      </c>
      <c r="CV105" s="272">
        <v>3793339.83</v>
      </c>
      <c r="CW105" s="272">
        <v>887492.69</v>
      </c>
      <c r="CX105" s="272"/>
      <c r="CY105" s="284"/>
      <c r="CZ105" s="285" t="e">
        <f t="shared" si="17"/>
        <v>#REF!</v>
      </c>
      <c r="DA105" s="285" t="e">
        <f>#REF!</f>
        <v>#REF!</v>
      </c>
      <c r="DB105" s="285"/>
      <c r="DC105" s="285"/>
      <c r="DD105" s="285"/>
      <c r="DE105" s="285"/>
      <c r="DF105" s="285"/>
      <c r="DG105" s="285"/>
      <c r="DH105" s="286"/>
      <c r="DI105" s="225" t="e">
        <f>#REF!=CZ105</f>
        <v>#REF!</v>
      </c>
      <c r="DJ105" s="175" t="e">
        <f t="shared" si="12"/>
        <v>#REF!</v>
      </c>
      <c r="DK105" s="296"/>
    </row>
    <row r="106" spans="1:115" ht="12.75" hidden="1" x14ac:dyDescent="0.2">
      <c r="A106" s="214"/>
      <c r="B106" s="215"/>
      <c r="C106" s="2675" t="s">
        <v>478</v>
      </c>
      <c r="D106" s="2675"/>
      <c r="E106" s="2675"/>
      <c r="F106" s="2675"/>
      <c r="G106" s="2675"/>
      <c r="H106" s="2675"/>
      <c r="I106" s="2675"/>
      <c r="J106" s="2675"/>
      <c r="K106" s="2675"/>
      <c r="L106" s="2675"/>
      <c r="M106" s="2675"/>
      <c r="N106" s="2675"/>
      <c r="O106" s="2675"/>
      <c r="P106" s="2675"/>
      <c r="Q106" s="2675"/>
      <c r="R106" s="2675"/>
      <c r="S106" s="2675"/>
      <c r="T106" s="2675"/>
      <c r="U106" s="2675"/>
      <c r="V106" s="2675"/>
      <c r="W106" s="2675"/>
      <c r="X106" s="2675"/>
      <c r="Y106" s="2675"/>
      <c r="Z106" s="2675"/>
      <c r="AA106" s="2675"/>
      <c r="AB106" s="2675"/>
      <c r="AC106" s="2675"/>
      <c r="AD106" s="2675"/>
      <c r="AE106" s="2675"/>
      <c r="AF106" s="2675"/>
      <c r="AG106" s="2675"/>
      <c r="AH106" s="2675"/>
      <c r="AI106" s="2675"/>
      <c r="AJ106" s="2675"/>
      <c r="AK106" s="2675"/>
      <c r="AL106" s="2675"/>
      <c r="AM106" s="2675"/>
      <c r="AN106" s="2675"/>
      <c r="AO106" s="2675"/>
      <c r="AP106" s="2675"/>
      <c r="AQ106" s="2675"/>
      <c r="AR106" s="2675"/>
      <c r="AS106" s="2675"/>
      <c r="AT106" s="2675"/>
      <c r="AU106" s="2675"/>
      <c r="AV106" s="2675"/>
      <c r="AW106" s="2675"/>
      <c r="AX106" s="2676"/>
      <c r="AY106" s="205" t="s">
        <v>447</v>
      </c>
      <c r="AZ106" s="276" t="s">
        <v>152</v>
      </c>
      <c r="BA106" s="276" t="s">
        <v>33</v>
      </c>
      <c r="BB106" s="266" t="s">
        <v>143</v>
      </c>
      <c r="BC106" s="276" t="s">
        <v>479</v>
      </c>
      <c r="BD106" s="276"/>
      <c r="BE106" s="276" t="s">
        <v>281</v>
      </c>
      <c r="BF106" s="276" t="s">
        <v>422</v>
      </c>
      <c r="BG106" s="277">
        <v>9505488</v>
      </c>
      <c r="BH106" s="278">
        <v>173692</v>
      </c>
      <c r="BI106" s="279">
        <f t="shared" si="3"/>
        <v>10927065.210000001</v>
      </c>
      <c r="BJ106" s="279">
        <v>12000</v>
      </c>
      <c r="BK106" s="279"/>
      <c r="BL106" s="279">
        <v>4553038.26</v>
      </c>
      <c r="BM106" s="288"/>
      <c r="BN106" s="279">
        <v>4509891.58</v>
      </c>
      <c r="BO106" s="279">
        <v>1852135.37</v>
      </c>
      <c r="BP106" s="280">
        <f t="shared" si="14"/>
        <v>10927065.210000001</v>
      </c>
      <c r="BQ106" s="280">
        <v>12000</v>
      </c>
      <c r="BR106" s="280"/>
      <c r="BS106" s="280">
        <v>6060582.0700000003</v>
      </c>
      <c r="BT106" s="280"/>
      <c r="BU106" s="280">
        <v>3682197.29</v>
      </c>
      <c r="BV106" s="280">
        <v>1172285.8500000001</v>
      </c>
      <c r="BW106" s="280"/>
      <c r="BX106" s="281"/>
      <c r="BY106" s="282">
        <f t="shared" si="15"/>
        <v>10927065.210000001</v>
      </c>
      <c r="BZ106" s="282">
        <v>175040</v>
      </c>
      <c r="CA106" s="282"/>
      <c r="CB106" s="282">
        <v>6060582.0700000003</v>
      </c>
      <c r="CC106" s="282"/>
      <c r="CD106" s="282">
        <v>3682197.29</v>
      </c>
      <c r="CE106" s="282">
        <v>1009245.85</v>
      </c>
      <c r="CF106" s="282"/>
      <c r="CG106" s="283"/>
      <c r="CH106" s="280">
        <f t="shared" si="16"/>
        <v>10927065.210000001</v>
      </c>
      <c r="CI106" s="280">
        <v>374350</v>
      </c>
      <c r="CJ106" s="280"/>
      <c r="CK106" s="280">
        <v>6107122.0700000003</v>
      </c>
      <c r="CL106" s="280">
        <v>351083.98</v>
      </c>
      <c r="CM106" s="280">
        <v>3933274.24</v>
      </c>
      <c r="CN106" s="280">
        <v>161234.92000000001</v>
      </c>
      <c r="CO106" s="280"/>
      <c r="CP106" s="281"/>
      <c r="CQ106" s="272">
        <f t="shared" si="7"/>
        <v>10927065.210000001</v>
      </c>
      <c r="CR106" s="272">
        <v>186390</v>
      </c>
      <c r="CS106" s="272">
        <v>72000</v>
      </c>
      <c r="CT106" s="272">
        <v>5745842.6900000004</v>
      </c>
      <c r="CU106" s="272">
        <v>242000</v>
      </c>
      <c r="CV106" s="272">
        <v>3793339.83</v>
      </c>
      <c r="CW106" s="272">
        <v>887492.69</v>
      </c>
      <c r="CX106" s="272"/>
      <c r="CY106" s="284"/>
      <c r="CZ106" s="285">
        <f t="shared" si="17"/>
        <v>0</v>
      </c>
      <c r="DA106" s="285"/>
      <c r="DB106" s="285"/>
      <c r="DC106" s="285"/>
      <c r="DD106" s="285"/>
      <c r="DE106" s="285"/>
      <c r="DF106" s="285"/>
      <c r="DG106" s="285"/>
      <c r="DH106" s="286"/>
      <c r="DI106" s="225"/>
      <c r="DJ106" s="175" t="b">
        <f t="shared" si="12"/>
        <v>0</v>
      </c>
      <c r="DK106" s="296"/>
    </row>
    <row r="107" spans="1:115" ht="12.75" hidden="1" x14ac:dyDescent="0.2">
      <c r="A107" s="298"/>
      <c r="B107" s="299"/>
      <c r="C107" s="2675" t="s">
        <v>480</v>
      </c>
      <c r="D107" s="2675"/>
      <c r="E107" s="2675"/>
      <c r="F107" s="2675"/>
      <c r="G107" s="2675"/>
      <c r="H107" s="2675"/>
      <c r="I107" s="2675"/>
      <c r="J107" s="2675"/>
      <c r="K107" s="2675"/>
      <c r="L107" s="2675"/>
      <c r="M107" s="2675"/>
      <c r="N107" s="2675"/>
      <c r="O107" s="2675"/>
      <c r="P107" s="2675"/>
      <c r="Q107" s="2675"/>
      <c r="R107" s="2675"/>
      <c r="S107" s="2675"/>
      <c r="T107" s="2675"/>
      <c r="U107" s="2675"/>
      <c r="V107" s="2675"/>
      <c r="W107" s="2675"/>
      <c r="X107" s="2675"/>
      <c r="Y107" s="2675"/>
      <c r="Z107" s="2675"/>
      <c r="AA107" s="2675"/>
      <c r="AB107" s="2675"/>
      <c r="AC107" s="2675"/>
      <c r="AD107" s="2675"/>
      <c r="AE107" s="2675"/>
      <c r="AF107" s="2675"/>
      <c r="AG107" s="2675"/>
      <c r="AH107" s="2675"/>
      <c r="AI107" s="2675"/>
      <c r="AJ107" s="2675"/>
      <c r="AK107" s="2675"/>
      <c r="AL107" s="2675"/>
      <c r="AM107" s="2675"/>
      <c r="AN107" s="2675"/>
      <c r="AO107" s="2675"/>
      <c r="AP107" s="2675"/>
      <c r="AQ107" s="2675"/>
      <c r="AR107" s="2675"/>
      <c r="AS107" s="2675"/>
      <c r="AT107" s="2675"/>
      <c r="AU107" s="2675"/>
      <c r="AV107" s="2675"/>
      <c r="AW107" s="2675"/>
      <c r="AX107" s="2676"/>
      <c r="AY107" s="300"/>
      <c r="AZ107" s="276" t="s">
        <v>152</v>
      </c>
      <c r="BA107" s="276" t="s">
        <v>33</v>
      </c>
      <c r="BB107" s="276" t="s">
        <v>139</v>
      </c>
      <c r="BC107" s="276" t="s">
        <v>448</v>
      </c>
      <c r="BD107" s="276"/>
      <c r="BE107" s="276" t="s">
        <v>281</v>
      </c>
      <c r="BF107" s="276" t="s">
        <v>422</v>
      </c>
      <c r="BG107" s="277"/>
      <c r="BH107" s="278">
        <f>11200+117.93+20411</f>
        <v>31728.93</v>
      </c>
      <c r="BI107" s="279"/>
      <c r="BJ107" s="279"/>
      <c r="BK107" s="279"/>
      <c r="BL107" s="279"/>
      <c r="BM107" s="288"/>
      <c r="BN107" s="279"/>
      <c r="BO107" s="279"/>
      <c r="BP107" s="280">
        <f t="shared" si="14"/>
        <v>0</v>
      </c>
      <c r="BQ107" s="280"/>
      <c r="BR107" s="280"/>
      <c r="BS107" s="280"/>
      <c r="BT107" s="289"/>
      <c r="BU107" s="280"/>
      <c r="BV107" s="280"/>
      <c r="BW107" s="280"/>
      <c r="BX107" s="281"/>
      <c r="BY107" s="282">
        <f t="shared" si="15"/>
        <v>0</v>
      </c>
      <c r="BZ107" s="282"/>
      <c r="CA107" s="282"/>
      <c r="CB107" s="282"/>
      <c r="CC107" s="290"/>
      <c r="CD107" s="282"/>
      <c r="CE107" s="282"/>
      <c r="CF107" s="282"/>
      <c r="CG107" s="283"/>
      <c r="CH107" s="280">
        <f t="shared" si="16"/>
        <v>0</v>
      </c>
      <c r="CI107" s="280"/>
      <c r="CJ107" s="280"/>
      <c r="CK107" s="280"/>
      <c r="CL107" s="289"/>
      <c r="CM107" s="280"/>
      <c r="CN107" s="280"/>
      <c r="CO107" s="280"/>
      <c r="CP107" s="281"/>
      <c r="CQ107" s="272">
        <f t="shared" si="7"/>
        <v>0</v>
      </c>
      <c r="CR107" s="272"/>
      <c r="CS107" s="272"/>
      <c r="CT107" s="272"/>
      <c r="CU107" s="291"/>
      <c r="CV107" s="272"/>
      <c r="CW107" s="272"/>
      <c r="CX107" s="272"/>
      <c r="CY107" s="284"/>
      <c r="CZ107" s="285">
        <f t="shared" si="17"/>
        <v>0</v>
      </c>
      <c r="DA107" s="285"/>
      <c r="DB107" s="285"/>
      <c r="DC107" s="285"/>
      <c r="DD107" s="292"/>
      <c r="DE107" s="285"/>
      <c r="DF107" s="285"/>
      <c r="DG107" s="285"/>
      <c r="DH107" s="286"/>
      <c r="DI107" s="225"/>
    </row>
    <row r="108" spans="1:115" s="301" customFormat="1" ht="12.75" x14ac:dyDescent="0.2">
      <c r="C108" s="2739" t="s">
        <v>118</v>
      </c>
      <c r="D108" s="2739"/>
      <c r="E108" s="2739"/>
      <c r="F108" s="2739"/>
      <c r="G108" s="2739"/>
      <c r="H108" s="2739"/>
      <c r="I108" s="2739"/>
      <c r="J108" s="2739"/>
      <c r="K108" s="2739"/>
      <c r="L108" s="2739"/>
      <c r="M108" s="2739"/>
      <c r="N108" s="2739"/>
      <c r="O108" s="2739"/>
      <c r="P108" s="2739"/>
      <c r="Q108" s="2739"/>
      <c r="R108" s="2739"/>
      <c r="S108" s="2739"/>
      <c r="T108" s="2739"/>
      <c r="U108" s="2739"/>
      <c r="V108" s="2739"/>
      <c r="W108" s="2739"/>
      <c r="X108" s="2739"/>
      <c r="Y108" s="2739"/>
      <c r="Z108" s="2739"/>
      <c r="AA108" s="2739"/>
      <c r="AB108" s="2739"/>
      <c r="AC108" s="2739"/>
      <c r="AD108" s="2739"/>
      <c r="AE108" s="2739"/>
      <c r="AF108" s="2739"/>
      <c r="AG108" s="2739"/>
      <c r="AH108" s="2739"/>
      <c r="AI108" s="2739"/>
      <c r="AJ108" s="2739"/>
      <c r="AK108" s="2739"/>
      <c r="AL108" s="2739"/>
      <c r="AM108" s="2739"/>
      <c r="AN108" s="2739"/>
      <c r="AO108" s="2739"/>
      <c r="AP108" s="2739"/>
      <c r="AQ108" s="2739"/>
      <c r="AR108" s="2739"/>
      <c r="AS108" s="2739"/>
      <c r="AT108" s="2739"/>
      <c r="AU108" s="2739"/>
      <c r="AV108" s="2739"/>
      <c r="AW108" s="2739"/>
      <c r="AX108" s="2739"/>
      <c r="AY108" s="2739"/>
      <c r="AZ108" s="2739"/>
      <c r="BA108" s="2739"/>
      <c r="BB108" s="2739"/>
      <c r="BC108" s="2739"/>
      <c r="BD108" s="2739"/>
      <c r="BE108" s="2739"/>
      <c r="BF108" s="2739"/>
      <c r="BG108" s="302">
        <f>BG9</f>
        <v>75965297.579999998</v>
      </c>
      <c r="BH108" s="303"/>
      <c r="BI108" s="304">
        <f t="shared" ref="BI108:CN108" si="19">BI9</f>
        <v>102626524.61</v>
      </c>
      <c r="BJ108" s="304">
        <f t="shared" si="19"/>
        <v>1875973.11</v>
      </c>
      <c r="BK108" s="304">
        <f t="shared" si="19"/>
        <v>0</v>
      </c>
      <c r="BL108" s="304">
        <f t="shared" si="19"/>
        <v>38642845.390000001</v>
      </c>
      <c r="BM108" s="304">
        <f t="shared" si="19"/>
        <v>94607.19</v>
      </c>
      <c r="BN108" s="304">
        <f t="shared" si="19"/>
        <v>56456692.810000002</v>
      </c>
      <c r="BO108" s="304">
        <f t="shared" si="19"/>
        <v>5556406.1100000003</v>
      </c>
      <c r="BP108" s="305">
        <f t="shared" si="19"/>
        <v>104886886.03</v>
      </c>
      <c r="BQ108" s="305">
        <f t="shared" si="19"/>
        <v>1936073.9</v>
      </c>
      <c r="BR108" s="305">
        <f t="shared" si="19"/>
        <v>0.02</v>
      </c>
      <c r="BS108" s="305">
        <f t="shared" si="19"/>
        <v>49894743.850000001</v>
      </c>
      <c r="BT108" s="305">
        <f t="shared" si="19"/>
        <v>115460.62</v>
      </c>
      <c r="BU108" s="305">
        <f t="shared" si="19"/>
        <v>48817902.719999999</v>
      </c>
      <c r="BV108" s="305">
        <f t="shared" si="19"/>
        <v>3516857.55</v>
      </c>
      <c r="BW108" s="305">
        <f t="shared" si="19"/>
        <v>5776</v>
      </c>
      <c r="BX108" s="305">
        <f t="shared" si="19"/>
        <v>600071.37</v>
      </c>
      <c r="BY108" s="306">
        <f t="shared" si="19"/>
        <v>105086814.66</v>
      </c>
      <c r="BZ108" s="306">
        <f t="shared" si="19"/>
        <v>3228892.66</v>
      </c>
      <c r="CA108" s="306">
        <f t="shared" si="19"/>
        <v>0.02</v>
      </c>
      <c r="CB108" s="306">
        <f t="shared" si="19"/>
        <v>49107467.520000003</v>
      </c>
      <c r="CC108" s="306">
        <f t="shared" si="19"/>
        <v>99038.19</v>
      </c>
      <c r="CD108" s="306">
        <f t="shared" si="19"/>
        <v>48817902.719999999</v>
      </c>
      <c r="CE108" s="306">
        <f t="shared" si="19"/>
        <v>3027737.55</v>
      </c>
      <c r="CF108" s="306">
        <f t="shared" si="19"/>
        <v>5776</v>
      </c>
      <c r="CG108" s="306">
        <f t="shared" si="19"/>
        <v>800000</v>
      </c>
      <c r="CH108" s="305">
        <f t="shared" si="19"/>
        <v>105032314.20999999</v>
      </c>
      <c r="CI108" s="305">
        <f t="shared" si="19"/>
        <v>4238205.8899999997</v>
      </c>
      <c r="CJ108" s="305">
        <f t="shared" si="19"/>
        <v>3750.2</v>
      </c>
      <c r="CK108" s="305">
        <f t="shared" si="19"/>
        <v>46699734.350000001</v>
      </c>
      <c r="CL108" s="305">
        <f t="shared" si="19"/>
        <v>2423518.04</v>
      </c>
      <c r="CM108" s="305">
        <f t="shared" si="19"/>
        <v>50545399.159999996</v>
      </c>
      <c r="CN108" s="305">
        <f t="shared" si="19"/>
        <v>670500.28</v>
      </c>
      <c r="CO108" s="305">
        <f t="shared" ref="CO108:DH108" si="20">CO9</f>
        <v>5775.55</v>
      </c>
      <c r="CP108" s="305">
        <f t="shared" si="20"/>
        <v>445430.74</v>
      </c>
      <c r="CQ108" s="307">
        <f t="shared" si="20"/>
        <v>105133875.58</v>
      </c>
      <c r="CR108" s="307">
        <f t="shared" si="20"/>
        <v>3770067.79</v>
      </c>
      <c r="CS108" s="307">
        <f t="shared" si="20"/>
        <v>1016000</v>
      </c>
      <c r="CT108" s="307">
        <f t="shared" si="20"/>
        <v>46598700.009999998</v>
      </c>
      <c r="CU108" s="307">
        <f t="shared" si="20"/>
        <v>744187.97</v>
      </c>
      <c r="CV108" s="307">
        <f t="shared" si="20"/>
        <v>47807091.07</v>
      </c>
      <c r="CW108" s="307">
        <f t="shared" si="20"/>
        <v>5111648.63</v>
      </c>
      <c r="CX108" s="307">
        <f t="shared" si="20"/>
        <v>9525.75</v>
      </c>
      <c r="CY108" s="307">
        <f t="shared" si="20"/>
        <v>76654.36</v>
      </c>
      <c r="CZ108" s="308" t="e">
        <f t="shared" si="20"/>
        <v>#REF!</v>
      </c>
      <c r="DA108" s="308" t="e">
        <f t="shared" si="20"/>
        <v>#REF!</v>
      </c>
      <c r="DB108" s="308">
        <f t="shared" si="20"/>
        <v>0</v>
      </c>
      <c r="DC108" s="308" t="e">
        <f t="shared" si="20"/>
        <v>#REF!</v>
      </c>
      <c r="DD108" s="308">
        <f t="shared" si="20"/>
        <v>0</v>
      </c>
      <c r="DE108" s="308" t="e">
        <f t="shared" si="20"/>
        <v>#REF!</v>
      </c>
      <c r="DF108" s="308">
        <f t="shared" si="20"/>
        <v>0</v>
      </c>
      <c r="DG108" s="308" t="e">
        <f t="shared" si="20"/>
        <v>#REF!</v>
      </c>
      <c r="DH108" s="308" t="e">
        <f t="shared" si="20"/>
        <v>#REF!</v>
      </c>
      <c r="DI108" s="309"/>
    </row>
    <row r="109" spans="1:115" ht="15" hidden="1" x14ac:dyDescent="0.25">
      <c r="BE109" s="2746" t="s">
        <v>481</v>
      </c>
      <c r="BF109" s="2747"/>
      <c r="BG109" s="302">
        <f>488706.77+369500.94</f>
        <v>858207.71</v>
      </c>
      <c r="BH109" s="303"/>
      <c r="BI109" s="304"/>
      <c r="BJ109" s="304">
        <f>BJ10</f>
        <v>0</v>
      </c>
      <c r="BK109" s="304">
        <f>BK10</f>
        <v>0</v>
      </c>
      <c r="BL109" s="304">
        <f>BL10</f>
        <v>0</v>
      </c>
      <c r="BM109" s="304">
        <f>BM10</f>
        <v>0</v>
      </c>
      <c r="BN109" s="304">
        <f>488706.77+369500.94+1587599.04</f>
        <v>2445806.75</v>
      </c>
      <c r="BO109" s="304">
        <f>BO10</f>
        <v>0</v>
      </c>
      <c r="BP109" s="305"/>
      <c r="BQ109" s="305">
        <f>BQ10</f>
        <v>0</v>
      </c>
      <c r="BR109" s="305">
        <f>BR10</f>
        <v>0</v>
      </c>
      <c r="BS109" s="305">
        <f>BS10</f>
        <v>0</v>
      </c>
      <c r="BT109" s="305">
        <f>BT10</f>
        <v>0</v>
      </c>
      <c r="BU109" s="305">
        <f>488706.77+369500.94+1587599.04</f>
        <v>2445806.75</v>
      </c>
      <c r="BV109" s="305">
        <f>BV10</f>
        <v>0</v>
      </c>
      <c r="BW109" s="305"/>
      <c r="BX109" s="305">
        <f>BX10</f>
        <v>0</v>
      </c>
      <c r="BY109" s="306"/>
      <c r="BZ109" s="306">
        <f>BZ10</f>
        <v>0</v>
      </c>
      <c r="CA109" s="306">
        <f>CA10</f>
        <v>0</v>
      </c>
      <c r="CB109" s="306">
        <f>CB10</f>
        <v>0</v>
      </c>
      <c r="CC109" s="306">
        <f>CC10</f>
        <v>0</v>
      </c>
      <c r="CD109" s="306">
        <f>488706.77+369500.94+1587599.04</f>
        <v>2445806.75</v>
      </c>
      <c r="CE109" s="306">
        <f>CE10</f>
        <v>0</v>
      </c>
      <c r="CF109" s="306"/>
      <c r="CG109" s="306">
        <f>CG10</f>
        <v>0</v>
      </c>
      <c r="CH109" s="305"/>
      <c r="CI109" s="305">
        <f>CI10</f>
        <v>0</v>
      </c>
      <c r="CJ109" s="305">
        <f>CJ10</f>
        <v>0</v>
      </c>
      <c r="CK109" s="305">
        <f>CK10</f>
        <v>0</v>
      </c>
      <c r="CL109" s="305">
        <f>CL10</f>
        <v>0</v>
      </c>
      <c r="CM109" s="305">
        <f>488706.77+369500.94+1587599.04</f>
        <v>2445806.75</v>
      </c>
      <c r="CN109" s="305">
        <f>CN10</f>
        <v>0</v>
      </c>
      <c r="CO109" s="305"/>
      <c r="CP109" s="305">
        <f>CP10</f>
        <v>0</v>
      </c>
      <c r="CQ109" s="307"/>
      <c r="CR109" s="307">
        <f>CR10</f>
        <v>0</v>
      </c>
      <c r="CS109" s="307">
        <f>CS10</f>
        <v>0</v>
      </c>
      <c r="CT109" s="307">
        <f>CT10</f>
        <v>0</v>
      </c>
      <c r="CU109" s="307">
        <f>CU10</f>
        <v>0</v>
      </c>
      <c r="CV109" s="307">
        <f>488706.77+369500.94+1587599.04</f>
        <v>2445806.75</v>
      </c>
      <c r="CW109" s="307">
        <f>CW10</f>
        <v>0</v>
      </c>
      <c r="CX109" s="307"/>
      <c r="CY109" s="307">
        <f>CY10</f>
        <v>0</v>
      </c>
      <c r="CZ109" s="308"/>
      <c r="DA109" s="308">
        <f>DA10</f>
        <v>0</v>
      </c>
      <c r="DB109" s="308">
        <f>DB10</f>
        <v>0</v>
      </c>
      <c r="DC109" s="308">
        <f>DC10</f>
        <v>0</v>
      </c>
      <c r="DD109" s="308">
        <f>DD10</f>
        <v>0</v>
      </c>
      <c r="DE109" s="308">
        <f>'[24]Расш.бюджет '!J442+'[24]Расш.бюджет '!K444+'[24]Расш.бюджет '!J446+'[24]Расш.бюджет '!J447+'[24]Расш.бюджет '!J448+'[24]Расш.бюджет '!J449+'[24]Расш.бюджет '!J450+'[24]Расш.бюджет '!J464+'[24]Расш.бюджет '!K466+'[24]Расш.бюджет '!J468+'[24]Расш.бюджет '!J469+'[24]Расш.бюджет '!J470+'[24]Расш.бюджет '!J471+'[24]Расш.бюджет '!J472+'[24]Расш.бюджет '!J887+'[24]Расш.бюджет '!J898</f>
        <v>3886953.54</v>
      </c>
      <c r="DF109" s="308">
        <f>DF10</f>
        <v>0</v>
      </c>
      <c r="DG109" s="308"/>
      <c r="DH109" s="308">
        <f>DH10</f>
        <v>0</v>
      </c>
    </row>
    <row r="110" spans="1:115" ht="15" hidden="1" x14ac:dyDescent="0.25">
      <c r="BE110" s="2746" t="s">
        <v>482</v>
      </c>
      <c r="BF110" s="2747"/>
      <c r="BG110" s="302">
        <f>BG108-BG109</f>
        <v>75107089.870000005</v>
      </c>
      <c r="BH110" s="303">
        <f>SUM(BH11:BH107)</f>
        <v>1917745.42</v>
      </c>
      <c r="BI110" s="304">
        <f t="shared" ref="BI110:BV110" si="21">BI108-BI109</f>
        <v>102626524.61</v>
      </c>
      <c r="BJ110" s="304">
        <f t="shared" si="21"/>
        <v>1875973.11</v>
      </c>
      <c r="BK110" s="304">
        <f t="shared" si="21"/>
        <v>0</v>
      </c>
      <c r="BL110" s="304">
        <f t="shared" si="21"/>
        <v>38642845.390000001</v>
      </c>
      <c r="BM110" s="304">
        <f t="shared" si="21"/>
        <v>94607.19</v>
      </c>
      <c r="BN110" s="304">
        <f t="shared" si="21"/>
        <v>54010886.060000002</v>
      </c>
      <c r="BO110" s="304">
        <f t="shared" si="21"/>
        <v>5556406.1100000003</v>
      </c>
      <c r="BP110" s="305">
        <f t="shared" si="21"/>
        <v>104886886.03</v>
      </c>
      <c r="BQ110" s="305">
        <f t="shared" si="21"/>
        <v>1936073.9</v>
      </c>
      <c r="BR110" s="305">
        <f t="shared" si="21"/>
        <v>0.02</v>
      </c>
      <c r="BS110" s="305">
        <f t="shared" si="21"/>
        <v>49894743.850000001</v>
      </c>
      <c r="BT110" s="305">
        <f t="shared" si="21"/>
        <v>115460.62</v>
      </c>
      <c r="BU110" s="305">
        <f t="shared" si="21"/>
        <v>46372095.969999999</v>
      </c>
      <c r="BV110" s="305">
        <f t="shared" si="21"/>
        <v>3516857.55</v>
      </c>
      <c r="BW110" s="305"/>
      <c r="BX110" s="305">
        <f t="shared" ref="BX110:CE110" si="22">BX108-BX109</f>
        <v>600071.37</v>
      </c>
      <c r="BY110" s="306">
        <f t="shared" si="22"/>
        <v>105086814.66</v>
      </c>
      <c r="BZ110" s="306">
        <f t="shared" si="22"/>
        <v>3228892.66</v>
      </c>
      <c r="CA110" s="306">
        <f t="shared" si="22"/>
        <v>0.02</v>
      </c>
      <c r="CB110" s="306">
        <f t="shared" si="22"/>
        <v>49107467.520000003</v>
      </c>
      <c r="CC110" s="306">
        <f t="shared" si="22"/>
        <v>99038.19</v>
      </c>
      <c r="CD110" s="306">
        <f t="shared" si="22"/>
        <v>46372095.969999999</v>
      </c>
      <c r="CE110" s="306">
        <f t="shared" si="22"/>
        <v>3027737.55</v>
      </c>
      <c r="CF110" s="306"/>
      <c r="CG110" s="306">
        <f t="shared" ref="CG110:CN110" si="23">CG108-CG109</f>
        <v>800000</v>
      </c>
      <c r="CH110" s="305">
        <f t="shared" si="23"/>
        <v>105032314.20999999</v>
      </c>
      <c r="CI110" s="305">
        <f t="shared" si="23"/>
        <v>4238205.8899999997</v>
      </c>
      <c r="CJ110" s="305">
        <f t="shared" si="23"/>
        <v>3750.2</v>
      </c>
      <c r="CK110" s="305">
        <f t="shared" si="23"/>
        <v>46699734.350000001</v>
      </c>
      <c r="CL110" s="305">
        <f t="shared" si="23"/>
        <v>2423518.04</v>
      </c>
      <c r="CM110" s="305">
        <f t="shared" si="23"/>
        <v>48099592.409999996</v>
      </c>
      <c r="CN110" s="305">
        <f t="shared" si="23"/>
        <v>670500.28</v>
      </c>
      <c r="CO110" s="305"/>
      <c r="CP110" s="305">
        <f t="shared" ref="CP110:CW110" si="24">CP108-CP109</f>
        <v>445430.74</v>
      </c>
      <c r="CQ110" s="307">
        <f t="shared" si="24"/>
        <v>105133875.58</v>
      </c>
      <c r="CR110" s="307">
        <f t="shared" si="24"/>
        <v>3770067.79</v>
      </c>
      <c r="CS110" s="307">
        <f t="shared" si="24"/>
        <v>1016000</v>
      </c>
      <c r="CT110" s="307">
        <f t="shared" si="24"/>
        <v>46598700.009999998</v>
      </c>
      <c r="CU110" s="307">
        <f t="shared" si="24"/>
        <v>744187.97</v>
      </c>
      <c r="CV110" s="307">
        <f t="shared" si="24"/>
        <v>45361284.32</v>
      </c>
      <c r="CW110" s="307">
        <f t="shared" si="24"/>
        <v>5111648.63</v>
      </c>
      <c r="CX110" s="307"/>
      <c r="CY110" s="307">
        <f>CY108-CY109</f>
        <v>76654.36</v>
      </c>
      <c r="CZ110" s="308" t="e">
        <f>CZ108-CZ109</f>
        <v>#REF!</v>
      </c>
      <c r="DA110" s="308" t="e">
        <f>DA108-DA109</f>
        <v>#REF!</v>
      </c>
      <c r="DB110" s="308">
        <f t="shared" ref="DB110:DH110" si="25">DB108-DB109</f>
        <v>0</v>
      </c>
      <c r="DC110" s="308" t="e">
        <f t="shared" si="25"/>
        <v>#REF!</v>
      </c>
      <c r="DD110" s="308">
        <f t="shared" si="25"/>
        <v>0</v>
      </c>
      <c r="DE110" s="308" t="e">
        <f t="shared" si="25"/>
        <v>#REF!</v>
      </c>
      <c r="DF110" s="308">
        <f t="shared" si="25"/>
        <v>0</v>
      </c>
      <c r="DG110" s="308"/>
      <c r="DH110" s="308" t="e">
        <f t="shared" si="25"/>
        <v>#REF!</v>
      </c>
    </row>
    <row r="111" spans="1:115" ht="15" x14ac:dyDescent="0.25">
      <c r="BC111" s="248"/>
      <c r="BD111" s="248"/>
      <c r="BE111" s="2748" t="s">
        <v>483</v>
      </c>
      <c r="BF111" s="2749"/>
      <c r="BG111" s="346"/>
      <c r="BH111" s="310"/>
      <c r="BI111" s="311"/>
      <c r="BJ111" s="2750">
        <f>BJ110+BK110</f>
        <v>1875973.11</v>
      </c>
      <c r="BK111" s="2751"/>
      <c r="BL111" s="2750">
        <f>BL110+BM110</f>
        <v>38737452.579999998</v>
      </c>
      <c r="BM111" s="2751"/>
      <c r="BN111" s="2750"/>
      <c r="BO111" s="2751"/>
      <c r="BP111" s="312"/>
      <c r="BQ111" s="2721">
        <f>BQ110+BR110</f>
        <v>1936073.92</v>
      </c>
      <c r="BR111" s="2722"/>
      <c r="BS111" s="2721">
        <f>BS110+BT110</f>
        <v>50010204.469999999</v>
      </c>
      <c r="BT111" s="2722"/>
      <c r="BU111" s="2723"/>
      <c r="BV111" s="2724"/>
      <c r="BW111" s="313"/>
      <c r="BX111" s="305"/>
      <c r="BY111" s="314"/>
      <c r="BZ111" s="2729">
        <f>BZ110+CA110</f>
        <v>3228892.68</v>
      </c>
      <c r="CA111" s="2730"/>
      <c r="CB111" s="2729">
        <f>CB110+CC110</f>
        <v>49206505.710000001</v>
      </c>
      <c r="CC111" s="2730"/>
      <c r="CD111" s="2731"/>
      <c r="CE111" s="2732"/>
      <c r="CF111" s="315"/>
      <c r="CG111" s="306"/>
      <c r="CH111" s="312"/>
      <c r="CI111" s="2721">
        <f>CI110+CJ110</f>
        <v>4241956.09</v>
      </c>
      <c r="CJ111" s="2722"/>
      <c r="CK111" s="2721">
        <f>CK110+CL110</f>
        <v>49123252.390000001</v>
      </c>
      <c r="CL111" s="2722"/>
      <c r="CM111" s="2723"/>
      <c r="CN111" s="2724"/>
      <c r="CO111" s="313"/>
      <c r="CP111" s="305"/>
      <c r="CQ111" s="316"/>
      <c r="CR111" s="2725">
        <f>CR110+CS110</f>
        <v>4786067.79</v>
      </c>
      <c r="CS111" s="2726"/>
      <c r="CT111" s="2725">
        <f>CT110+CU110</f>
        <v>47342887.979999997</v>
      </c>
      <c r="CU111" s="2726"/>
      <c r="CV111" s="2727"/>
      <c r="CW111" s="2728"/>
      <c r="CX111" s="317"/>
      <c r="CY111" s="307"/>
      <c r="CZ111" s="318"/>
      <c r="DA111" s="2733" t="e">
        <f>DA110+DB110</f>
        <v>#REF!</v>
      </c>
      <c r="DB111" s="2734"/>
      <c r="DC111" s="2733" t="e">
        <f>DC110+DD110</f>
        <v>#REF!</v>
      </c>
      <c r="DD111" s="2734"/>
      <c r="DE111" s="2714"/>
      <c r="DF111" s="2715"/>
      <c r="DG111" s="319"/>
      <c r="DH111" s="308"/>
    </row>
    <row r="112" spans="1:115" ht="12.75" x14ac:dyDescent="0.2">
      <c r="BC112" s="248"/>
      <c r="BD112" s="248"/>
      <c r="BE112" s="248"/>
      <c r="BF112" s="248"/>
      <c r="DC112" s="2716"/>
      <c r="DD112" s="2716"/>
    </row>
    <row r="113" spans="1:111" ht="12.75" x14ac:dyDescent="0.2">
      <c r="A113" s="175" t="s">
        <v>239</v>
      </c>
      <c r="BC113" s="248"/>
      <c r="BD113" s="248"/>
      <c r="BE113" s="248"/>
      <c r="BF113" s="248"/>
      <c r="BG113" s="324">
        <f>'[25]Расш.бюджет '!$I$239+[25]Расш.внебюд.!$I$209+'[25]Расш.бюджет '!$I$1275</f>
        <v>29385810.969999999</v>
      </c>
      <c r="BH113" s="325"/>
      <c r="BI113" s="324"/>
      <c r="BJ113" s="324" t="b">
        <f>BJ111+BL111+BN108+BO108+BM78=BI110</f>
        <v>0</v>
      </c>
      <c r="BK113" s="326"/>
      <c r="BL113" s="326"/>
      <c r="BM113" s="326"/>
      <c r="BN113" s="326"/>
      <c r="BO113" s="326"/>
      <c r="BP113" s="324">
        <v>35892564.939999998</v>
      </c>
      <c r="BQ113" s="324" t="b">
        <f>BQ111+BS111+BU108+BV108+BX108+BW108=BP110</f>
        <v>1</v>
      </c>
      <c r="BR113" s="326"/>
      <c r="BS113" s="326"/>
      <c r="BT113" s="326"/>
      <c r="BU113" s="326"/>
      <c r="BV113" s="326"/>
      <c r="BW113" s="326"/>
      <c r="BX113" s="326"/>
      <c r="BY113" s="324">
        <v>35892557.009999998</v>
      </c>
      <c r="BZ113" s="324" t="b">
        <f>BZ111+CB111+CD108+CE108+CG108+CF108=BY110</f>
        <v>1</v>
      </c>
      <c r="CA113" s="326"/>
      <c r="CB113" s="326"/>
      <c r="CC113" s="326"/>
      <c r="CD113" s="326"/>
      <c r="CE113" s="326"/>
      <c r="CF113" s="326"/>
      <c r="CH113" s="327">
        <v>35982506.560000002</v>
      </c>
      <c r="CI113" s="327" t="b">
        <f>CI111+CK111+CM108+CN108+CP108+CO108=CH110</f>
        <v>1</v>
      </c>
      <c r="CJ113" s="328"/>
      <c r="CK113" s="328"/>
      <c r="CL113" s="328"/>
      <c r="CM113" s="328"/>
      <c r="CN113" s="328"/>
      <c r="CO113" s="328"/>
      <c r="CQ113" s="329">
        <v>36084165.93</v>
      </c>
      <c r="CR113" s="329" t="b">
        <f>CR111+CT111+CV108+CW108+CY108+CX108=CQ110</f>
        <v>1</v>
      </c>
      <c r="CS113" s="330"/>
      <c r="CT113" s="330"/>
      <c r="CU113" s="330"/>
      <c r="CV113" s="330"/>
      <c r="CW113" s="330"/>
      <c r="CX113" s="330"/>
      <c r="CZ113" s="324" t="e">
        <f>'4 (2025)'!J223+#REF!+#REF!+'4 (2025)'!#REF!+#REF!+#REF!</f>
        <v>#REF!</v>
      </c>
      <c r="DA113" s="324" t="e">
        <f>DA111+DC111+DE108+DF108+DH108+DG108=CZ110</f>
        <v>#REF!</v>
      </c>
      <c r="DB113" s="326"/>
      <c r="DC113" s="326"/>
      <c r="DD113" s="326"/>
      <c r="DE113" s="326"/>
      <c r="DF113" s="326"/>
      <c r="DG113" s="326"/>
    </row>
    <row r="114" spans="1:111" ht="12.75" x14ac:dyDescent="0.2">
      <c r="BC114" s="248"/>
      <c r="BD114" s="248"/>
      <c r="BE114" s="248"/>
      <c r="BF114" s="248"/>
      <c r="BG114" s="324" t="b">
        <f>29385810.97=BG108</f>
        <v>0</v>
      </c>
      <c r="BH114" s="325"/>
      <c r="BI114" s="324" t="b">
        <f>35892564.57=BI108</f>
        <v>0</v>
      </c>
      <c r="BJ114" s="324"/>
      <c r="BK114" s="326"/>
      <c r="BL114" s="326"/>
      <c r="BM114" s="326"/>
      <c r="BN114" s="326"/>
      <c r="BO114" s="326"/>
      <c r="BP114" s="324" t="b">
        <f>BP108=BP113</f>
        <v>0</v>
      </c>
      <c r="BQ114" s="324"/>
      <c r="BR114" s="326"/>
      <c r="BS114" s="326"/>
      <c r="BT114" s="326"/>
      <c r="BU114" s="326"/>
      <c r="BV114" s="326"/>
      <c r="BW114" s="326"/>
      <c r="BX114" s="326"/>
      <c r="BY114" s="324" t="b">
        <f>BY108=BY113</f>
        <v>0</v>
      </c>
      <c r="BZ114" s="324"/>
      <c r="CA114" s="326"/>
      <c r="CB114" s="326"/>
      <c r="CC114" s="326"/>
      <c r="CD114" s="326"/>
      <c r="CE114" s="326"/>
      <c r="CF114" s="326"/>
      <c r="CH114" s="327" t="b">
        <f>CH108=CH113</f>
        <v>0</v>
      </c>
      <c r="CI114" s="327"/>
      <c r="CJ114" s="328"/>
      <c r="CK114" s="328"/>
      <c r="CL114" s="328"/>
      <c r="CM114" s="328"/>
      <c r="CN114" s="328"/>
      <c r="CO114" s="328"/>
      <c r="CQ114" s="329" t="b">
        <f>CQ108=CQ113</f>
        <v>0</v>
      </c>
      <c r="CR114" s="329"/>
      <c r="CS114" s="330"/>
      <c r="CT114" s="330"/>
      <c r="CU114" s="330"/>
      <c r="CV114" s="330"/>
      <c r="CW114" s="330"/>
      <c r="CX114" s="330"/>
      <c r="CZ114" s="324" t="e">
        <f>CZ108=CZ113</f>
        <v>#REF!</v>
      </c>
      <c r="DA114" s="324"/>
      <c r="DB114" s="326"/>
      <c r="DC114" s="326"/>
      <c r="DD114" s="326"/>
      <c r="DE114" s="326"/>
      <c r="DF114" s="326"/>
      <c r="DG114" s="326"/>
    </row>
    <row r="115" spans="1:111" ht="12.75" x14ac:dyDescent="0.2">
      <c r="BG115" s="296">
        <f>BG113-BG108</f>
        <v>-46579486.609999999</v>
      </c>
      <c r="BH115" s="331"/>
      <c r="BI115" s="324"/>
      <c r="BL115" s="296"/>
      <c r="BQ115" s="2717">
        <f>BP113*5%</f>
        <v>1794628.25</v>
      </c>
      <c r="BR115" s="2718"/>
      <c r="BS115" s="2717">
        <f>BP113*50%</f>
        <v>17946282.469999999</v>
      </c>
      <c r="BT115" s="2718"/>
      <c r="BZ115" s="2717">
        <v>1794627.85</v>
      </c>
      <c r="CA115" s="2718"/>
      <c r="CB115" s="2717">
        <v>17946278.510000002</v>
      </c>
      <c r="CC115" s="2718"/>
      <c r="CH115" s="332">
        <f>CH113-CH108</f>
        <v>-69049807.650000006</v>
      </c>
      <c r="CI115" s="2719">
        <f>CH113*5%</f>
        <v>1799125.33</v>
      </c>
      <c r="CJ115" s="2720"/>
      <c r="CK115" s="2719">
        <f>CH113*50%</f>
        <v>17991253.280000001</v>
      </c>
      <c r="CL115" s="2720"/>
      <c r="CQ115" s="333">
        <f>CQ113-CQ108</f>
        <v>-69049709.650000006</v>
      </c>
      <c r="CR115" s="2737">
        <f>CQ113*5%</f>
        <v>1804208.3</v>
      </c>
      <c r="CS115" s="2738"/>
      <c r="CT115" s="2737">
        <f>CQ113*50%</f>
        <v>18042082.969999999</v>
      </c>
      <c r="CU115" s="2738"/>
      <c r="CZ115" s="296" t="e">
        <f>CZ113-CZ108</f>
        <v>#REF!</v>
      </c>
      <c r="DA115" s="2717" t="e">
        <f>CZ113*10%</f>
        <v>#REF!</v>
      </c>
      <c r="DB115" s="2718"/>
      <c r="DC115" s="2717" t="e">
        <f>CZ113*50%</f>
        <v>#REF!</v>
      </c>
      <c r="DD115" s="2718"/>
    </row>
    <row r="116" spans="1:111" ht="12.75" x14ac:dyDescent="0.2">
      <c r="BQ116" s="2717" t="s">
        <v>484</v>
      </c>
      <c r="BR116" s="2718"/>
      <c r="BS116" s="2717" t="s">
        <v>485</v>
      </c>
      <c r="BT116" s="2718"/>
      <c r="BZ116" s="2717" t="s">
        <v>484</v>
      </c>
      <c r="CA116" s="2718"/>
      <c r="CB116" s="2717" t="s">
        <v>485</v>
      </c>
      <c r="CC116" s="2718"/>
      <c r="CI116" s="2719" t="s">
        <v>484</v>
      </c>
      <c r="CJ116" s="2720"/>
      <c r="CK116" s="2719" t="s">
        <v>485</v>
      </c>
      <c r="CL116" s="2720"/>
      <c r="CR116" s="2737" t="s">
        <v>484</v>
      </c>
      <c r="CS116" s="2738"/>
      <c r="CT116" s="2737" t="s">
        <v>485</v>
      </c>
      <c r="CU116" s="2738"/>
      <c r="DA116" s="2717" t="s">
        <v>512</v>
      </c>
      <c r="DB116" s="2718"/>
      <c r="DC116" s="2717" t="s">
        <v>486</v>
      </c>
      <c r="DD116" s="2718"/>
    </row>
    <row r="117" spans="1:111" ht="12.75" x14ac:dyDescent="0.2">
      <c r="BQ117" s="2717" t="s">
        <v>487</v>
      </c>
      <c r="BR117" s="2718"/>
      <c r="BZ117" s="2717" t="s">
        <v>487</v>
      </c>
      <c r="CA117" s="2718"/>
      <c r="CI117" s="2719" t="s">
        <v>487</v>
      </c>
      <c r="CJ117" s="2720"/>
      <c r="CR117" s="2737" t="s">
        <v>487</v>
      </c>
      <c r="CS117" s="2738"/>
      <c r="DA117" s="2717" t="s">
        <v>487</v>
      </c>
      <c r="DB117" s="2718"/>
      <c r="DC117" s="2717" t="s">
        <v>502</v>
      </c>
      <c r="DD117" s="2718"/>
    </row>
    <row r="118" spans="1:111" ht="12.75" x14ac:dyDescent="0.2">
      <c r="BQ118" s="2742">
        <f>2000000-BQ111</f>
        <v>63926.080000000002</v>
      </c>
      <c r="BR118" s="2743"/>
      <c r="BS118" s="2742">
        <f>BS115-BS111</f>
        <v>-32063922</v>
      </c>
      <c r="BT118" s="2743"/>
      <c r="BZ118" s="2742">
        <f>2000000-BZ111</f>
        <v>-1228892.68</v>
      </c>
      <c r="CA118" s="2743"/>
      <c r="CB118" s="2742">
        <f>CB115-CB111</f>
        <v>-31260227.199999999</v>
      </c>
      <c r="CC118" s="2743"/>
      <c r="CI118" s="2744">
        <f>2000000-CI111</f>
        <v>-2241956.09</v>
      </c>
      <c r="CJ118" s="2745"/>
      <c r="CK118" s="2744">
        <f>CK115-CK111-CP87-101658.37-300000</f>
        <v>-31733657.48</v>
      </c>
      <c r="CL118" s="2745"/>
      <c r="CR118" s="2740">
        <f>2000000-CR111</f>
        <v>-2786067.79</v>
      </c>
      <c r="CS118" s="2741"/>
      <c r="CT118" s="2740">
        <f>CT115-CT111-300000-CY110</f>
        <v>-29677459.370000001</v>
      </c>
      <c r="CU118" s="2741"/>
      <c r="DA118" s="2735" t="e">
        <f>DA115-DA111</f>
        <v>#REF!</v>
      </c>
      <c r="DB118" s="2736"/>
      <c r="DC118" s="2735" t="e">
        <f>30000000-DC111</f>
        <v>#REF!</v>
      </c>
      <c r="DD118" s="2736"/>
    </row>
    <row r="119" spans="1:111" ht="12.75" x14ac:dyDescent="0.2">
      <c r="BQ119" s="334"/>
      <c r="BR119" s="335"/>
      <c r="BS119" s="334"/>
      <c r="BT119" s="335"/>
      <c r="BZ119" s="334"/>
      <c r="CA119" s="335"/>
      <c r="CB119" s="334"/>
      <c r="CC119" s="335"/>
      <c r="CI119" s="336"/>
      <c r="CJ119" s="337"/>
      <c r="CK119" s="336"/>
      <c r="CL119" s="337"/>
      <c r="CR119" s="338"/>
      <c r="CS119" s="339"/>
      <c r="CT119" s="338"/>
      <c r="CU119" s="339"/>
      <c r="DA119" s="334"/>
      <c r="DB119" s="335"/>
      <c r="DC119" s="334"/>
      <c r="DD119" s="335"/>
    </row>
    <row r="120" spans="1:111" ht="12.75" x14ac:dyDescent="0.2">
      <c r="BQ120" s="334"/>
      <c r="BR120" s="335"/>
      <c r="BS120" s="334"/>
      <c r="BT120" s="335"/>
      <c r="BZ120" s="334"/>
      <c r="CA120" s="335"/>
      <c r="CB120" s="334"/>
      <c r="CC120" s="335"/>
      <c r="CI120" s="336"/>
      <c r="CJ120" s="337"/>
      <c r="CK120" s="336"/>
      <c r="CL120" s="337"/>
      <c r="CR120" s="338"/>
      <c r="CS120" s="339"/>
      <c r="CT120" s="338"/>
      <c r="CU120" s="339"/>
      <c r="DA120" s="334"/>
      <c r="DB120" s="335"/>
      <c r="DC120" s="334"/>
      <c r="DD120" s="335"/>
    </row>
    <row r="121" spans="1:111" ht="12.75" x14ac:dyDescent="0.2">
      <c r="BQ121" s="334"/>
      <c r="BR121" s="335"/>
      <c r="BS121" s="334"/>
      <c r="BT121" s="335"/>
      <c r="BZ121" s="334"/>
      <c r="CA121" s="335"/>
      <c r="CB121" s="334"/>
      <c r="CC121" s="335"/>
      <c r="CI121" s="336"/>
      <c r="CJ121" s="337"/>
      <c r="CK121" s="336"/>
      <c r="CL121" s="337"/>
      <c r="CR121" s="338"/>
      <c r="CS121" s="339"/>
      <c r="CT121" s="338"/>
      <c r="CU121" s="339"/>
      <c r="DA121" s="334"/>
      <c r="DB121" s="335"/>
      <c r="DC121" s="334"/>
      <c r="DD121" s="335"/>
    </row>
    <row r="122" spans="1:111" ht="12.75" x14ac:dyDescent="0.2">
      <c r="BQ122" s="334"/>
      <c r="BR122" s="335"/>
      <c r="BS122" s="334"/>
      <c r="BT122" s="335"/>
      <c r="BZ122" s="334"/>
      <c r="CA122" s="335"/>
      <c r="CB122" s="334"/>
      <c r="CC122" s="335"/>
      <c r="CI122" s="336"/>
      <c r="CJ122" s="337"/>
      <c r="CK122" s="336"/>
      <c r="CL122" s="337"/>
      <c r="CR122" s="338"/>
      <c r="CS122" s="339"/>
      <c r="CT122" s="338"/>
      <c r="CU122" s="339"/>
      <c r="DA122" s="334"/>
      <c r="DB122" s="335"/>
      <c r="DC122" s="334"/>
      <c r="DD122" s="335"/>
    </row>
    <row r="123" spans="1:111" ht="12.75" x14ac:dyDescent="0.2">
      <c r="BQ123" s="334"/>
      <c r="BR123" s="335"/>
      <c r="BS123" s="334"/>
      <c r="BT123" s="335"/>
      <c r="BZ123" s="334"/>
      <c r="CA123" s="335"/>
      <c r="CB123" s="334"/>
      <c r="CC123" s="335"/>
      <c r="CI123" s="336"/>
      <c r="CJ123" s="337"/>
      <c r="CK123" s="336"/>
      <c r="CL123" s="337"/>
      <c r="CR123" s="338"/>
      <c r="CS123" s="339"/>
      <c r="CT123" s="338"/>
      <c r="CU123" s="339"/>
      <c r="DA123" s="334"/>
      <c r="DB123" s="335"/>
      <c r="DC123" s="334"/>
      <c r="DD123" s="335"/>
    </row>
    <row r="124" spans="1:111" ht="12.75" x14ac:dyDescent="0.2">
      <c r="BQ124" s="334"/>
      <c r="BR124" s="335"/>
      <c r="BS124" s="334"/>
      <c r="BT124" s="335"/>
      <c r="BZ124" s="334"/>
      <c r="CA124" s="335"/>
      <c r="CB124" s="334"/>
      <c r="CC124" s="335"/>
      <c r="CI124" s="336"/>
      <c r="CJ124" s="337"/>
      <c r="CK124" s="336"/>
      <c r="CL124" s="337"/>
      <c r="CR124" s="338"/>
      <c r="CS124" s="339"/>
      <c r="CT124" s="338"/>
      <c r="CU124" s="339"/>
      <c r="DA124" s="334"/>
      <c r="DB124" s="335"/>
      <c r="DC124" s="334"/>
      <c r="DD124" s="335"/>
    </row>
    <row r="125" spans="1:111" ht="12.75" x14ac:dyDescent="0.2">
      <c r="CI125" s="332"/>
      <c r="CK125" s="327"/>
      <c r="CR125" s="333"/>
      <c r="CT125" s="329"/>
      <c r="DA125" s="296"/>
      <c r="DC125" s="324"/>
    </row>
    <row r="126" spans="1:111" ht="12.75" x14ac:dyDescent="0.2">
      <c r="CI126" s="327"/>
      <c r="CK126" s="327"/>
      <c r="CR126" s="329"/>
      <c r="CT126" s="329"/>
      <c r="DA126" s="324"/>
      <c r="DC126" s="324"/>
    </row>
    <row r="127" spans="1:111" ht="12.75" x14ac:dyDescent="0.2">
      <c r="CI127" s="328"/>
      <c r="CK127" s="328"/>
      <c r="CR127" s="330"/>
      <c r="CT127" s="330"/>
      <c r="DA127" s="326"/>
      <c r="DC127" s="326"/>
    </row>
    <row r="128" spans="1:111" ht="12.75" x14ac:dyDescent="0.2"/>
    <row r="129" ht="12.75" x14ac:dyDescent="0.2"/>
    <row r="130" ht="12.75" x14ac:dyDescent="0.2"/>
    <row r="131" ht="12.75" x14ac:dyDescent="0.2"/>
    <row r="132" ht="12.75" x14ac:dyDescent="0.2"/>
  </sheetData>
  <mergeCells count="213">
    <mergeCell ref="C58:AX58"/>
    <mergeCell ref="C60:AX60"/>
    <mergeCell ref="C48:AX48"/>
    <mergeCell ref="C49:AX49"/>
    <mergeCell ref="C50:AX50"/>
    <mergeCell ref="C52:AX52"/>
    <mergeCell ref="C53:AX53"/>
    <mergeCell ref="C54:AX54"/>
    <mergeCell ref="C55:AX55"/>
    <mergeCell ref="C56:AX56"/>
    <mergeCell ref="C57:AX57"/>
    <mergeCell ref="BQ116:BR116"/>
    <mergeCell ref="BS116:BT116"/>
    <mergeCell ref="BZ116:CA116"/>
    <mergeCell ref="CB116:CC116"/>
    <mergeCell ref="CI116:CJ116"/>
    <mergeCell ref="CK116:CL116"/>
    <mergeCell ref="C41:AX41"/>
    <mergeCell ref="C42:AX42"/>
    <mergeCell ref="C43:AX43"/>
    <mergeCell ref="C44:AX44"/>
    <mergeCell ref="C46:AX46"/>
    <mergeCell ref="C47:AX47"/>
    <mergeCell ref="C51:AX51"/>
    <mergeCell ref="C101:AX101"/>
    <mergeCell ref="C102:AX102"/>
    <mergeCell ref="C90:AX90"/>
    <mergeCell ref="C91:AX91"/>
    <mergeCell ref="C92:AX92"/>
    <mergeCell ref="C93:AX93"/>
    <mergeCell ref="C94:AX94"/>
    <mergeCell ref="C95:AX95"/>
    <mergeCell ref="C100:AX100"/>
    <mergeCell ref="C82:AX82"/>
    <mergeCell ref="C83:AX83"/>
    <mergeCell ref="C103:AX103"/>
    <mergeCell ref="C104:AX104"/>
    <mergeCell ref="C105:AX105"/>
    <mergeCell ref="C106:AX106"/>
    <mergeCell ref="C107:AX107"/>
    <mergeCell ref="C108:BF108"/>
    <mergeCell ref="CR118:CS118"/>
    <mergeCell ref="CT118:CU118"/>
    <mergeCell ref="DA118:DB118"/>
    <mergeCell ref="BQ118:BR118"/>
    <mergeCell ref="BS118:BT118"/>
    <mergeCell ref="BZ118:CA118"/>
    <mergeCell ref="CB118:CC118"/>
    <mergeCell ref="CI118:CJ118"/>
    <mergeCell ref="CK118:CL118"/>
    <mergeCell ref="BE109:BF109"/>
    <mergeCell ref="BE110:BF110"/>
    <mergeCell ref="BE111:BF111"/>
    <mergeCell ref="BJ111:BK111"/>
    <mergeCell ref="BL111:BM111"/>
    <mergeCell ref="BN111:BO111"/>
    <mergeCell ref="BQ117:BR117"/>
    <mergeCell ref="BZ117:CA117"/>
    <mergeCell ref="CI117:CJ117"/>
    <mergeCell ref="DC118:DD118"/>
    <mergeCell ref="DA116:DB116"/>
    <mergeCell ref="DC116:DD116"/>
    <mergeCell ref="DA117:DB117"/>
    <mergeCell ref="DC117:DD117"/>
    <mergeCell ref="DA115:DB115"/>
    <mergeCell ref="CR116:CS116"/>
    <mergeCell ref="CT116:CU116"/>
    <mergeCell ref="CR117:CS117"/>
    <mergeCell ref="CR115:CS115"/>
    <mergeCell ref="CT115:CU115"/>
    <mergeCell ref="DE111:DF111"/>
    <mergeCell ref="DC112:DD112"/>
    <mergeCell ref="BQ115:BR115"/>
    <mergeCell ref="BS115:BT115"/>
    <mergeCell ref="BZ115:CA115"/>
    <mergeCell ref="CB115:CC115"/>
    <mergeCell ref="CI115:CJ115"/>
    <mergeCell ref="CK115:CL115"/>
    <mergeCell ref="CI111:CJ111"/>
    <mergeCell ref="CK111:CL111"/>
    <mergeCell ref="CM111:CN111"/>
    <mergeCell ref="CR111:CS111"/>
    <mergeCell ref="CT111:CU111"/>
    <mergeCell ref="CV111:CW111"/>
    <mergeCell ref="BQ111:BR111"/>
    <mergeCell ref="BS111:BT111"/>
    <mergeCell ref="BU111:BV111"/>
    <mergeCell ref="BZ111:CA111"/>
    <mergeCell ref="CB111:CC111"/>
    <mergeCell ref="CD111:CE111"/>
    <mergeCell ref="DC115:DD115"/>
    <mergeCell ref="DA111:DB111"/>
    <mergeCell ref="DC111:DD111"/>
    <mergeCell ref="C98:AX98"/>
    <mergeCell ref="C99:AX99"/>
    <mergeCell ref="C86:AX86"/>
    <mergeCell ref="C77:AX77"/>
    <mergeCell ref="C78:AX78"/>
    <mergeCell ref="C79:AX79"/>
    <mergeCell ref="C88:AX88"/>
    <mergeCell ref="C70:AX70"/>
    <mergeCell ref="C71:AX71"/>
    <mergeCell ref="C80:AX80"/>
    <mergeCell ref="C81:AX81"/>
    <mergeCell ref="C84:AX84"/>
    <mergeCell ref="C85:AX85"/>
    <mergeCell ref="C87:AX87"/>
    <mergeCell ref="C89:AX89"/>
    <mergeCell ref="C96:AX96"/>
    <mergeCell ref="C97:AX97"/>
    <mergeCell ref="C64:AX64"/>
    <mergeCell ref="C66:AX66"/>
    <mergeCell ref="C67:AX67"/>
    <mergeCell ref="C59:AX59"/>
    <mergeCell ref="C65:AX65"/>
    <mergeCell ref="C74:AX74"/>
    <mergeCell ref="C75:AX75"/>
    <mergeCell ref="C76:AX76"/>
    <mergeCell ref="C68:AX68"/>
    <mergeCell ref="C69:AX69"/>
    <mergeCell ref="C72:AX72"/>
    <mergeCell ref="C73:AX73"/>
    <mergeCell ref="C63:AX63"/>
    <mergeCell ref="C61:AX61"/>
    <mergeCell ref="C62:AX62"/>
    <mergeCell ref="C36:AX36"/>
    <mergeCell ref="C38:AX38"/>
    <mergeCell ref="C39:AX39"/>
    <mergeCell ref="C45:AX45"/>
    <mergeCell ref="C27:AX27"/>
    <mergeCell ref="C28:AX28"/>
    <mergeCell ref="C29:AX29"/>
    <mergeCell ref="C30:AX30"/>
    <mergeCell ref="C31:AX31"/>
    <mergeCell ref="C32:AX32"/>
    <mergeCell ref="F33:AX33"/>
    <mergeCell ref="C40:AX40"/>
    <mergeCell ref="F34:AX34"/>
    <mergeCell ref="F35:AX35"/>
    <mergeCell ref="F37:AX37"/>
    <mergeCell ref="C19:AX19"/>
    <mergeCell ref="C20:AX20"/>
    <mergeCell ref="C21:AX21"/>
    <mergeCell ref="C22:AX22"/>
    <mergeCell ref="C24:AX24"/>
    <mergeCell ref="C25:AX25"/>
    <mergeCell ref="C26:AX26"/>
    <mergeCell ref="C12:AX12"/>
    <mergeCell ref="C13:AX13"/>
    <mergeCell ref="C14:AX14"/>
    <mergeCell ref="C15:AX15"/>
    <mergeCell ref="C18:AX18"/>
    <mergeCell ref="C23:AX23"/>
    <mergeCell ref="C16:AX16"/>
    <mergeCell ref="C17:AX17"/>
    <mergeCell ref="DC6:DD6"/>
    <mergeCell ref="DE6:DF6"/>
    <mergeCell ref="A8:AX8"/>
    <mergeCell ref="B9:AX9"/>
    <mergeCell ref="B10:AX10"/>
    <mergeCell ref="C11:AX11"/>
    <mergeCell ref="CK6:CL6"/>
    <mergeCell ref="CM6:CN6"/>
    <mergeCell ref="CR6:CS6"/>
    <mergeCell ref="CT6:CU6"/>
    <mergeCell ref="CV6:CW6"/>
    <mergeCell ref="DA6:DB6"/>
    <mergeCell ref="CZ5:CZ7"/>
    <mergeCell ref="DA5:DF5"/>
    <mergeCell ref="BF4:BF7"/>
    <mergeCell ref="BG4:DH4"/>
    <mergeCell ref="BG5:BG7"/>
    <mergeCell ref="BH5:BH7"/>
    <mergeCell ref="BI5:BI7"/>
    <mergeCell ref="CP5:CP7"/>
    <mergeCell ref="CQ5:CQ7"/>
    <mergeCell ref="CR5:CW5"/>
    <mergeCell ref="CX5:CX7"/>
    <mergeCell ref="CY5:CY7"/>
    <mergeCell ref="BY5:BY7"/>
    <mergeCell ref="BZ5:CE5"/>
    <mergeCell ref="CF5:CF7"/>
    <mergeCell ref="CG5:CG7"/>
    <mergeCell ref="CH5:CH7"/>
    <mergeCell ref="CI5:CN5"/>
    <mergeCell ref="BZ6:CA6"/>
    <mergeCell ref="CB6:CC6"/>
    <mergeCell ref="CD6:CE6"/>
    <mergeCell ref="CI6:CJ6"/>
    <mergeCell ref="BJ5:BO5"/>
    <mergeCell ref="BP5:BP7"/>
    <mergeCell ref="BQ5:BV5"/>
    <mergeCell ref="BW5:BW7"/>
    <mergeCell ref="BX5:BX7"/>
    <mergeCell ref="A1:DH1"/>
    <mergeCell ref="A2:DH2"/>
    <mergeCell ref="A4:AX7"/>
    <mergeCell ref="AY4:AY7"/>
    <mergeCell ref="AZ4:AZ7"/>
    <mergeCell ref="BA4:BA7"/>
    <mergeCell ref="BB4:BB7"/>
    <mergeCell ref="BC4:BC7"/>
    <mergeCell ref="BD4:BD7"/>
    <mergeCell ref="BE4:BE7"/>
    <mergeCell ref="DG5:DG7"/>
    <mergeCell ref="DH5:DH7"/>
    <mergeCell ref="BJ6:BK6"/>
    <mergeCell ref="BL6:BM6"/>
    <mergeCell ref="BN6:BO6"/>
    <mergeCell ref="BQ6:BR6"/>
    <mergeCell ref="BS6:BT6"/>
    <mergeCell ref="BU6:BV6"/>
    <mergeCell ref="CO5:CO7"/>
  </mergeCells>
  <pageMargins left="0" right="0" top="0" bottom="0" header="0.31496062992125984" footer="0.31496062992125984"/>
  <pageSetup paperSize="9" scale="74" fitToHeight="1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21</vt:i4>
      </vt:variant>
    </vt:vector>
  </HeadingPairs>
  <TitlesOfParts>
    <vt:vector size="40" baseType="lpstr">
      <vt:lpstr>Тит.лист</vt:lpstr>
      <vt:lpstr>Р1</vt:lpstr>
      <vt:lpstr>Р2</vt:lpstr>
      <vt:lpstr>Лист согласования</vt:lpstr>
      <vt:lpstr>Остатки 2024</vt:lpstr>
      <vt:lpstr>4 (2025)</vt:lpstr>
      <vt:lpstr>Анализ КП</vt:lpstr>
      <vt:lpstr>4 (2026)</vt:lpstr>
      <vt:lpstr>4 (2027)</vt:lpstr>
      <vt:lpstr>5 (2025)</vt:lpstr>
      <vt:lpstr>5 (2026)</vt:lpstr>
      <vt:lpstr>5 (2027)</vt:lpstr>
      <vt:lpstr>2 (2025)</vt:lpstr>
      <vt:lpstr>ПГ 24</vt:lpstr>
      <vt:lpstr>Аналитика</vt:lpstr>
      <vt:lpstr>ЛО</vt:lpstr>
      <vt:lpstr>КП</vt:lpstr>
      <vt:lpstr>КП Коммуналка </vt:lpstr>
      <vt:lpstr>ПГ</vt:lpstr>
      <vt:lpstr>Тит.лист!_ednref1</vt:lpstr>
      <vt:lpstr>Тит.лист!_ednref2</vt:lpstr>
      <vt:lpstr>Р1!IS_DOCUMENT</vt:lpstr>
      <vt:lpstr>КП!Заголовки_для_печати</vt:lpstr>
      <vt:lpstr>ПГ!Заголовки_для_печати</vt:lpstr>
      <vt:lpstr>Р1!Заголовки_для_печати</vt:lpstr>
      <vt:lpstr>'2 (2025)'!Область_печати</vt:lpstr>
      <vt:lpstr>'4 (2025)'!Область_печати</vt:lpstr>
      <vt:lpstr>'4 (2026)'!Область_печати</vt:lpstr>
      <vt:lpstr>'4 (2027)'!Область_печати</vt:lpstr>
      <vt:lpstr>'5 (2025)'!Область_печати</vt:lpstr>
      <vt:lpstr>'5 (2026)'!Область_печати</vt:lpstr>
      <vt:lpstr>'5 (2027)'!Область_печати</vt:lpstr>
      <vt:lpstr>Аналитика!Область_печати</vt:lpstr>
      <vt:lpstr>КП!Область_печати</vt:lpstr>
      <vt:lpstr>'КП Коммуналка '!Область_печати</vt:lpstr>
      <vt:lpstr>'Остатки 2024'!Область_печати</vt:lpstr>
      <vt:lpstr>ПГ!Область_печати</vt:lpstr>
      <vt:lpstr>Р1!Область_печати</vt:lpstr>
      <vt:lpstr>Р2!Область_печати</vt:lpstr>
      <vt:lpstr>Тит.лист!Область_печати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Глазкова</dc:creator>
  <cp:lastModifiedBy>AHR</cp:lastModifiedBy>
  <cp:lastPrinted>2025-02-13T14:36:07Z</cp:lastPrinted>
  <dcterms:created xsi:type="dcterms:W3CDTF">2006-09-28T05:33:49Z</dcterms:created>
  <dcterms:modified xsi:type="dcterms:W3CDTF">2025-02-13T14:38:22Z</dcterms:modified>
</cp:coreProperties>
</file>